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C:\!PanD\Prezentacje\DVD dla DH\Kalkulatory doborowe\!2023\"/>
    </mc:Choice>
  </mc:AlternateContent>
  <xr:revisionPtr revIDLastSave="0" documentId="13_ncr:1_{2BCAEA2D-4A60-40FB-ACBE-4CD0F6FD9191}" xr6:coauthVersionLast="46" xr6:coauthVersionMax="46" xr10:uidLastSave="{00000000-0000-0000-0000-000000000000}"/>
  <bookViews>
    <workbookView xWindow="-108" yWindow="-108" windowWidth="23256" windowHeight="12720" tabRatio="813" xr2:uid="{00000000-000D-0000-FFFF-FFFF00000000}"/>
  </bookViews>
  <sheets>
    <sheet name="Koszty 2023" sheetId="62" r:id="rId1"/>
    <sheet name="Sources" sheetId="64" state="hidden" r:id="rId2"/>
    <sheet name="EE" sheetId="58" state="hidden" r:id="rId3"/>
    <sheet name="Enea" sheetId="59" state="hidden" r:id="rId4"/>
    <sheet name="Tauron" sheetId="63" state="hidden" r:id="rId5"/>
    <sheet name="PGNiG" sheetId="61" state="hidden" r:id="rId6"/>
  </sheets>
  <externalReferences>
    <externalReference r:id="rId7"/>
    <externalReference r:id="rId8"/>
  </externalReferences>
  <definedNames>
    <definedName name="analiza_danych">#REF!</definedName>
    <definedName name="dane_meteo">#REF!</definedName>
    <definedName name="drugie_zr_c">'[1]rozwiazanie 1'!$B$139:$B$147</definedName>
    <definedName name="koszty_kwh">#REF!</definedName>
    <definedName name="koszty_kWh_nazwy">#REF!</definedName>
    <definedName name="koszty_kWh_nazwy2023">#REF!</definedName>
    <definedName name="koszty_kWh2023">#REF!</definedName>
    <definedName name="lista">#REF!</definedName>
    <definedName name="meteo_pelne">#REF!</definedName>
    <definedName name="miasta">[2]Arkusz1!$D$4:$AN$4</definedName>
    <definedName name="miasta_lista">#REF!</definedName>
    <definedName name="miasta_lista2">#REF!</definedName>
    <definedName name="miasta_meteo">#REF!</definedName>
    <definedName name="miasta_old">[1]Klimat!$A$64:$A$73</definedName>
    <definedName name="_xlnm.Print_Area" localSheetId="0">'Koszty 2023'!$B$1:$V$220</definedName>
    <definedName name="pompy_ciepla_wybor">'[1]dane pomp ciepla'!$M$3:$M$21</definedName>
    <definedName name="pompy_lista">#REF!</definedName>
    <definedName name="rodzaj_ogrz">'[1]rozwiazanie 1'!$B$133:$B$136</definedName>
    <definedName name="strefy_klim">#REF!</definedName>
    <definedName name="strefy_klim2">#REF!</definedName>
    <definedName name="system_grzewczy">#REF!</definedName>
    <definedName name="tabela_urzadzen">#REF!</definedName>
    <definedName name="tabela_urzadzen_2">#REF!</definedName>
    <definedName name="taryfa_gaz">#REF!</definedName>
    <definedName name="taryfa_gaz_2023_całosc">#REF!</definedName>
    <definedName name="taryfa_gaz_cala_firma">#REF!</definedName>
    <definedName name="taryfa_gaz_calosc">#REF!</definedName>
    <definedName name="taryfa_gaz_firma">#REF!</definedName>
    <definedName name="taryfa_gaz_firma2023">#REF!</definedName>
    <definedName name="vitocal100">INDEX([1]Obliczenia!$AD$283:$AD$284,MATCH([1]Obliczenia!$B$197,[1]Obliczenia!$AC$283:$AC$284,0),1)</definedName>
    <definedName name="vitocal200">INDEX([1]Obliczenia!$AD$283:$AD$284,MATCH([1]Obliczenia!$I$197,[1]Obliczenia!$AC$283:$AC$284,0),1)</definedName>
    <definedName name="wybrany_model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82" i="62" l="1"/>
  <c r="I183" i="62"/>
  <c r="H181" i="62"/>
  <c r="F181" i="62"/>
  <c r="D181" i="62"/>
  <c r="K139" i="62"/>
  <c r="K138" i="62"/>
  <c r="K137" i="62"/>
  <c r="K135" i="62"/>
  <c r="K134" i="62"/>
  <c r="K133" i="62"/>
  <c r="K129" i="62"/>
  <c r="K128" i="62"/>
  <c r="K127" i="62"/>
  <c r="D96" i="62"/>
  <c r="D94" i="62"/>
  <c r="D92" i="62"/>
  <c r="D112" i="62"/>
  <c r="D110" i="62"/>
  <c r="D108" i="62"/>
  <c r="D5" i="58"/>
  <c r="F35" i="61"/>
  <c r="J74" i="61"/>
  <c r="Q63" i="62"/>
  <c r="G65" i="62"/>
  <c r="G63" i="62"/>
  <c r="Q49" i="62"/>
  <c r="Q47" i="62"/>
  <c r="D4" i="58"/>
  <c r="E35" i="61"/>
  <c r="E41" i="61"/>
  <c r="J75" i="61"/>
  <c r="E81" i="61"/>
  <c r="B36" i="61"/>
  <c r="D42" i="61"/>
  <c r="D82" i="61"/>
  <c r="F82" i="61"/>
  <c r="H82" i="61"/>
  <c r="J82" i="61"/>
  <c r="D41" i="61"/>
  <c r="D81" i="61"/>
  <c r="F81" i="61"/>
  <c r="H81" i="61"/>
  <c r="J81" i="61"/>
  <c r="I82" i="61"/>
  <c r="I81" i="61"/>
  <c r="M149" i="62"/>
  <c r="B35" i="61"/>
  <c r="K82" i="61"/>
  <c r="F42" i="61"/>
  <c r="H42" i="61"/>
  <c r="J42" i="61"/>
  <c r="I42" i="61"/>
  <c r="K42" i="61"/>
  <c r="I49" i="62"/>
  <c r="K81" i="61"/>
  <c r="F41" i="61"/>
  <c r="H41" i="61"/>
  <c r="J41" i="61"/>
  <c r="I41" i="61"/>
  <c r="K41" i="61"/>
  <c r="I47" i="62"/>
  <c r="M152" i="62"/>
  <c r="E42" i="61"/>
  <c r="E82" i="61"/>
  <c r="G74" i="61"/>
  <c r="G75" i="61"/>
  <c r="M82" i="61"/>
  <c r="M42" i="61"/>
  <c r="O82" i="61"/>
  <c r="M81" i="61"/>
  <c r="M41" i="61"/>
  <c r="O81" i="61"/>
  <c r="G49" i="62"/>
  <c r="G47" i="62"/>
  <c r="G82" i="61"/>
  <c r="G81" i="61"/>
  <c r="N82" i="61"/>
  <c r="L82" i="61"/>
  <c r="N81" i="61"/>
  <c r="L81" i="61"/>
  <c r="G72" i="61"/>
  <c r="M14" i="63"/>
  <c r="AC14" i="63"/>
  <c r="N14" i="63"/>
  <c r="V14" i="63"/>
  <c r="N12" i="63"/>
  <c r="AD12" i="63"/>
  <c r="M12" i="63"/>
  <c r="AK12" i="63"/>
  <c r="L10" i="59"/>
  <c r="AJ10" i="59"/>
  <c r="L10" i="63"/>
  <c r="AB10" i="63"/>
  <c r="AL29" i="63"/>
  <c r="AK29" i="63"/>
  <c r="AH29" i="63"/>
  <c r="AG29" i="63"/>
  <c r="AD29" i="63"/>
  <c r="AC29" i="63"/>
  <c r="Z29" i="63"/>
  <c r="Y29" i="63"/>
  <c r="AL27" i="63"/>
  <c r="AK27" i="63"/>
  <c r="AH27" i="63"/>
  <c r="AG27" i="63"/>
  <c r="AD27" i="63"/>
  <c r="AC27" i="63"/>
  <c r="Z27" i="63"/>
  <c r="Y27" i="63"/>
  <c r="AJ25" i="63"/>
  <c r="AF25" i="63"/>
  <c r="AB25" i="63"/>
  <c r="X25" i="63"/>
  <c r="AL23" i="63"/>
  <c r="AK23" i="63"/>
  <c r="AJ23" i="63"/>
  <c r="AD23" i="63"/>
  <c r="AC23" i="63"/>
  <c r="AB23" i="63"/>
  <c r="AH23" i="63"/>
  <c r="AG23" i="63"/>
  <c r="AF23" i="63"/>
  <c r="Z23" i="63"/>
  <c r="Y23" i="63"/>
  <c r="X23" i="63"/>
  <c r="V29" i="63"/>
  <c r="U29" i="63"/>
  <c r="V27" i="63"/>
  <c r="U27" i="63"/>
  <c r="T25" i="63"/>
  <c r="R29" i="63"/>
  <c r="Q29" i="63"/>
  <c r="R27" i="63"/>
  <c r="Q27" i="63"/>
  <c r="P25" i="63"/>
  <c r="V23" i="63"/>
  <c r="U23" i="63"/>
  <c r="T23" i="63"/>
  <c r="R23" i="63"/>
  <c r="Q23" i="63"/>
  <c r="P23" i="63"/>
  <c r="N29" i="63"/>
  <c r="M29" i="63"/>
  <c r="N27" i="63"/>
  <c r="M27" i="63"/>
  <c r="L25" i="63"/>
  <c r="N23" i="63"/>
  <c r="M23" i="63"/>
  <c r="L23" i="63"/>
  <c r="J29" i="63"/>
  <c r="J27" i="63"/>
  <c r="I29" i="63"/>
  <c r="I27" i="63"/>
  <c r="H25" i="63"/>
  <c r="J23" i="63"/>
  <c r="I23" i="63"/>
  <c r="H23" i="63"/>
  <c r="H66" i="61"/>
  <c r="H64" i="61"/>
  <c r="AL31" i="59"/>
  <c r="AK31" i="59"/>
  <c r="AJ31" i="59"/>
  <c r="AD31" i="59"/>
  <c r="AC31" i="59"/>
  <c r="AB31" i="59"/>
  <c r="AL29" i="59"/>
  <c r="AK29" i="59"/>
  <c r="AD29" i="59"/>
  <c r="AC29" i="59"/>
  <c r="AL27" i="59"/>
  <c r="AK27" i="59"/>
  <c r="AD27" i="59"/>
  <c r="AC27" i="59"/>
  <c r="AL23" i="59"/>
  <c r="AK23" i="59"/>
  <c r="AJ23" i="59"/>
  <c r="AD23" i="59"/>
  <c r="AC23" i="59"/>
  <c r="AB23" i="59"/>
  <c r="V31" i="59"/>
  <c r="U31" i="59"/>
  <c r="T31" i="59"/>
  <c r="V29" i="59"/>
  <c r="U29" i="59"/>
  <c r="V27" i="59"/>
  <c r="U27" i="59"/>
  <c r="T25" i="59"/>
  <c r="V23" i="59"/>
  <c r="U23" i="59"/>
  <c r="T23" i="59"/>
  <c r="D7" i="58"/>
  <c r="D11" i="58"/>
  <c r="F13" i="58"/>
  <c r="M13" i="58"/>
  <c r="H26" i="59"/>
  <c r="H38" i="59"/>
  <c r="N38" i="59"/>
  <c r="AL38" i="59"/>
  <c r="M38" i="59"/>
  <c r="AK38" i="59"/>
  <c r="L38" i="59"/>
  <c r="AJ38" i="59"/>
  <c r="AD38" i="59"/>
  <c r="AC38" i="59"/>
  <c r="AB38" i="59"/>
  <c r="T38" i="59"/>
  <c r="U38" i="59"/>
  <c r="V38" i="59"/>
  <c r="AH29" i="59"/>
  <c r="AG29" i="59"/>
  <c r="Z29" i="59"/>
  <c r="Y29" i="59"/>
  <c r="AH27" i="59"/>
  <c r="AG27" i="59"/>
  <c r="Z27" i="59"/>
  <c r="Y27" i="59"/>
  <c r="AF25" i="59"/>
  <c r="X25" i="59"/>
  <c r="AH23" i="59"/>
  <c r="AG23" i="59"/>
  <c r="AF23" i="59"/>
  <c r="Z23" i="59"/>
  <c r="Y23" i="59"/>
  <c r="X23" i="59"/>
  <c r="R29" i="59"/>
  <c r="Q29" i="59"/>
  <c r="P25" i="59"/>
  <c r="R23" i="59"/>
  <c r="Q23" i="59"/>
  <c r="P23" i="59"/>
  <c r="R27" i="59"/>
  <c r="Q27" i="59"/>
  <c r="AL14" i="59"/>
  <c r="AK14" i="59"/>
  <c r="AD14" i="59"/>
  <c r="AC14" i="59"/>
  <c r="AL12" i="59"/>
  <c r="AK12" i="59"/>
  <c r="AD12" i="59"/>
  <c r="AC12" i="59"/>
  <c r="AH14" i="59"/>
  <c r="AG14" i="59"/>
  <c r="Z14" i="59"/>
  <c r="Y14" i="59"/>
  <c r="AH12" i="59"/>
  <c r="AG12" i="59"/>
  <c r="Z12" i="59"/>
  <c r="Y12" i="59"/>
  <c r="AF10" i="59"/>
  <c r="X10" i="59"/>
  <c r="V14" i="59"/>
  <c r="U14" i="59"/>
  <c r="V12" i="59"/>
  <c r="U12" i="59"/>
  <c r="R14" i="59"/>
  <c r="Q14" i="59"/>
  <c r="R12" i="59"/>
  <c r="Q12" i="59"/>
  <c r="P10" i="59"/>
  <c r="M14" i="59"/>
  <c r="N12" i="59"/>
  <c r="M12" i="59"/>
  <c r="AL14" i="63"/>
  <c r="AJ10" i="63"/>
  <c r="AH14" i="63"/>
  <c r="AG14" i="63"/>
  <c r="AH12" i="63"/>
  <c r="AG12" i="63"/>
  <c r="AF10" i="63"/>
  <c r="AD14" i="63"/>
  <c r="Z14" i="63"/>
  <c r="Y14" i="63"/>
  <c r="Z12" i="63"/>
  <c r="Y12" i="63"/>
  <c r="X10" i="63"/>
  <c r="U12" i="63"/>
  <c r="Q14" i="63"/>
  <c r="R14" i="63"/>
  <c r="R12" i="63"/>
  <c r="Q12" i="63"/>
  <c r="P10" i="63"/>
  <c r="I13" i="58"/>
  <c r="N13" i="58"/>
  <c r="N16" i="58"/>
  <c r="F59" i="58"/>
  <c r="M59" i="58"/>
  <c r="X11" i="63"/>
  <c r="F17" i="58"/>
  <c r="F20" i="58"/>
  <c r="I20" i="58"/>
  <c r="N20" i="58"/>
  <c r="N23" i="58"/>
  <c r="F63" i="58"/>
  <c r="M63" i="58"/>
  <c r="Y13" i="63"/>
  <c r="F66" i="58"/>
  <c r="M66" i="58"/>
  <c r="Z13" i="63"/>
  <c r="F24" i="58"/>
  <c r="F27" i="58"/>
  <c r="I27" i="58"/>
  <c r="N27" i="58"/>
  <c r="N30" i="58"/>
  <c r="F70" i="58"/>
  <c r="M70" i="58"/>
  <c r="Y15" i="63"/>
  <c r="F73" i="58"/>
  <c r="M73" i="58"/>
  <c r="Z15" i="63"/>
  <c r="F82" i="58"/>
  <c r="M82" i="58"/>
  <c r="AF11" i="63"/>
  <c r="F86" i="58"/>
  <c r="M86" i="58"/>
  <c r="AG13" i="63"/>
  <c r="F89" i="58"/>
  <c r="M89" i="58"/>
  <c r="AH13" i="63"/>
  <c r="AK14" i="63"/>
  <c r="U14" i="63"/>
  <c r="V12" i="63"/>
  <c r="AL12" i="63"/>
  <c r="AC12" i="63"/>
  <c r="AB10" i="59"/>
  <c r="T10" i="59"/>
  <c r="T10" i="63"/>
  <c r="J4" i="58"/>
  <c r="C47" i="62"/>
  <c r="C49" i="62"/>
  <c r="F29" i="61"/>
  <c r="F28" i="61"/>
  <c r="F27" i="61"/>
  <c r="F26" i="61"/>
  <c r="F25" i="61"/>
  <c r="F24" i="61"/>
  <c r="F23" i="61"/>
  <c r="AC33" i="63"/>
  <c r="AD33" i="63"/>
  <c r="AD36" i="63"/>
  <c r="AD41" i="63"/>
  <c r="AC36" i="63"/>
  <c r="AC41" i="63"/>
  <c r="AB36" i="63"/>
  <c r="M33" i="63"/>
  <c r="N33" i="63"/>
  <c r="N36" i="63"/>
  <c r="N41" i="63"/>
  <c r="I33" i="63"/>
  <c r="J33" i="63"/>
  <c r="J36" i="63"/>
  <c r="J41" i="63"/>
  <c r="M36" i="63"/>
  <c r="M41" i="63"/>
  <c r="I36" i="63"/>
  <c r="I41" i="63"/>
  <c r="L36" i="63"/>
  <c r="H36" i="63"/>
  <c r="M4" i="58"/>
  <c r="K5" i="58"/>
  <c r="M5" i="58"/>
  <c r="AG33" i="63"/>
  <c r="AH33" i="63"/>
  <c r="AH36" i="63"/>
  <c r="AH41" i="63"/>
  <c r="AK33" i="63"/>
  <c r="AL33" i="63"/>
  <c r="AL36" i="63"/>
  <c r="AL41" i="63"/>
  <c r="Y33" i="63"/>
  <c r="Z33" i="63"/>
  <c r="Z36" i="63"/>
  <c r="Z41" i="63"/>
  <c r="G4" i="58"/>
  <c r="Q33" i="63"/>
  <c r="R33" i="63"/>
  <c r="R36" i="63"/>
  <c r="R41" i="63"/>
  <c r="U33" i="63"/>
  <c r="V33" i="63"/>
  <c r="V36" i="63"/>
  <c r="V41" i="63"/>
  <c r="AG36" i="63"/>
  <c r="AG41" i="63"/>
  <c r="AK36" i="63"/>
  <c r="AK41" i="63"/>
  <c r="Y36" i="63"/>
  <c r="Y41" i="63"/>
  <c r="Q36" i="63"/>
  <c r="Q41" i="63"/>
  <c r="U36" i="63"/>
  <c r="U41" i="63"/>
  <c r="AF36" i="63"/>
  <c r="AJ36" i="63"/>
  <c r="X36" i="63"/>
  <c r="P36" i="63"/>
  <c r="T36" i="63"/>
  <c r="AG64" i="63"/>
  <c r="AL64" i="63"/>
  <c r="Y64" i="63"/>
  <c r="AD64" i="63"/>
  <c r="Q64" i="63"/>
  <c r="V64" i="63"/>
  <c r="I64" i="63"/>
  <c r="N64" i="63"/>
  <c r="K91" i="62"/>
  <c r="K107" i="62"/>
  <c r="M146" i="62"/>
  <c r="E42" i="62"/>
  <c r="K22" i="62"/>
  <c r="Q2" i="62"/>
  <c r="U22" i="58"/>
  <c r="AG64" i="59"/>
  <c r="Y64" i="59"/>
  <c r="Q64" i="59"/>
  <c r="AL41" i="59"/>
  <c r="AK41" i="59"/>
  <c r="AH41" i="59"/>
  <c r="AG41" i="59"/>
  <c r="AL36" i="59"/>
  <c r="AK36" i="59"/>
  <c r="AJ36" i="59"/>
  <c r="AH36" i="59"/>
  <c r="AG36" i="59"/>
  <c r="AF36" i="59"/>
  <c r="AK33" i="59"/>
  <c r="AL33" i="59"/>
  <c r="AG33" i="59"/>
  <c r="AH33" i="59"/>
  <c r="AD41" i="59"/>
  <c r="AC41" i="59"/>
  <c r="Z41" i="59"/>
  <c r="Y41" i="59"/>
  <c r="AD36" i="59"/>
  <c r="AC36" i="59"/>
  <c r="AB36" i="59"/>
  <c r="Z36" i="59"/>
  <c r="Y36" i="59"/>
  <c r="X36" i="59"/>
  <c r="AC33" i="59"/>
  <c r="AD33" i="59"/>
  <c r="Y33" i="59"/>
  <c r="Z33" i="59"/>
  <c r="V41" i="59"/>
  <c r="U41" i="59"/>
  <c r="R41" i="59"/>
  <c r="Q41" i="59"/>
  <c r="V36" i="59"/>
  <c r="U36" i="59"/>
  <c r="T36" i="59"/>
  <c r="R36" i="59"/>
  <c r="Q36" i="59"/>
  <c r="P36" i="59"/>
  <c r="U33" i="59"/>
  <c r="V33" i="59"/>
  <c r="Q33" i="59"/>
  <c r="R33" i="59"/>
  <c r="AL64" i="59"/>
  <c r="AD64" i="59"/>
  <c r="V64" i="59"/>
  <c r="I33" i="59"/>
  <c r="J33" i="59"/>
  <c r="J36" i="59"/>
  <c r="J41" i="59"/>
  <c r="M33" i="59"/>
  <c r="N33" i="59"/>
  <c r="N36" i="59"/>
  <c r="N41" i="59"/>
  <c r="I36" i="59"/>
  <c r="I41" i="59"/>
  <c r="M36" i="59"/>
  <c r="M41" i="59"/>
  <c r="H36" i="59"/>
  <c r="L36" i="59"/>
  <c r="I64" i="59"/>
  <c r="N64" i="59"/>
  <c r="Q148" i="62"/>
  <c r="S49" i="62"/>
  <c r="R13" i="58"/>
  <c r="AB13" i="58"/>
  <c r="H4" i="58"/>
  <c r="H5" i="58"/>
  <c r="N5" i="58"/>
  <c r="H19" i="58"/>
  <c r="H22" i="58"/>
  <c r="I22" i="58"/>
  <c r="J22" i="58"/>
  <c r="G18" i="58"/>
  <c r="I18" i="58"/>
  <c r="J18" i="58"/>
  <c r="H26" i="58"/>
  <c r="H29" i="58"/>
  <c r="I29" i="58"/>
  <c r="J29" i="58"/>
  <c r="G14" i="58"/>
  <c r="I14" i="58"/>
  <c r="J14" i="58"/>
  <c r="G25" i="58"/>
  <c r="G28" i="58"/>
  <c r="I28" i="58"/>
  <c r="J28" i="58"/>
  <c r="H15" i="58"/>
  <c r="I15" i="58"/>
  <c r="J15" i="58"/>
  <c r="I128" i="62"/>
  <c r="N4" i="58"/>
  <c r="K4" i="58"/>
  <c r="K7" i="58"/>
  <c r="D57" i="58"/>
  <c r="I24" i="58"/>
  <c r="N24" i="58"/>
  <c r="I17" i="58"/>
  <c r="N17" i="58"/>
  <c r="Q80" i="62"/>
  <c r="S63" i="62"/>
  <c r="R16" i="58"/>
  <c r="AB16" i="58"/>
  <c r="I63" i="62"/>
  <c r="R14" i="58"/>
  <c r="AB14" i="58"/>
  <c r="S47" i="62"/>
  <c r="R12" i="58"/>
  <c r="AB12" i="58"/>
  <c r="I65" i="62"/>
  <c r="R15" i="58"/>
  <c r="AB15" i="58"/>
  <c r="G80" i="62"/>
  <c r="I80" i="62"/>
  <c r="R17" i="58"/>
  <c r="AB17" i="58"/>
  <c r="H7" i="58"/>
  <c r="D34" i="58"/>
  <c r="G37" i="58"/>
  <c r="I37" i="58"/>
  <c r="J37" i="58"/>
  <c r="N7" i="58"/>
  <c r="D80" i="58"/>
  <c r="G94" i="58"/>
  <c r="G21" i="58"/>
  <c r="I21" i="58"/>
  <c r="J21" i="58"/>
  <c r="I26" i="58"/>
  <c r="J26" i="58"/>
  <c r="I25" i="58"/>
  <c r="J25" i="58"/>
  <c r="I19" i="58"/>
  <c r="J19" i="58"/>
  <c r="H65" i="58"/>
  <c r="G64" i="58"/>
  <c r="G67" i="58"/>
  <c r="I67" i="58"/>
  <c r="J67" i="58"/>
  <c r="G71" i="58"/>
  <c r="G74" i="58"/>
  <c r="I74" i="58"/>
  <c r="J74" i="58"/>
  <c r="H61" i="58"/>
  <c r="I61" i="58"/>
  <c r="J61" i="58"/>
  <c r="G60" i="58"/>
  <c r="I60" i="58"/>
  <c r="J60" i="58"/>
  <c r="H72" i="58"/>
  <c r="I72" i="58"/>
  <c r="J72" i="58"/>
  <c r="M13" i="63"/>
  <c r="M28" i="63"/>
  <c r="M28" i="59"/>
  <c r="M13" i="59"/>
  <c r="H26" i="63"/>
  <c r="H11" i="59"/>
  <c r="I51" i="59"/>
  <c r="H11" i="63"/>
  <c r="I51" i="63"/>
  <c r="M24" i="58"/>
  <c r="J24" i="58"/>
  <c r="N28" i="63"/>
  <c r="M15" i="63"/>
  <c r="M15" i="59"/>
  <c r="N28" i="59"/>
  <c r="G42" i="61"/>
  <c r="M17" i="58"/>
  <c r="J17" i="58"/>
  <c r="X80" i="62"/>
  <c r="Y80" i="62"/>
  <c r="Z80" i="62"/>
  <c r="S81" i="62"/>
  <c r="S80" i="62"/>
  <c r="R18" i="58"/>
  <c r="AB18" i="58"/>
  <c r="H38" i="58"/>
  <c r="I38" i="58"/>
  <c r="J38" i="58"/>
  <c r="H42" i="58"/>
  <c r="H45" i="58"/>
  <c r="I45" i="58"/>
  <c r="J45" i="58"/>
  <c r="G48" i="58"/>
  <c r="I48" i="58"/>
  <c r="J48" i="58"/>
  <c r="H49" i="58"/>
  <c r="I49" i="58"/>
  <c r="J49" i="58"/>
  <c r="G41" i="58"/>
  <c r="I41" i="58"/>
  <c r="J41" i="58"/>
  <c r="G83" i="58"/>
  <c r="I83" i="58"/>
  <c r="J83" i="58"/>
  <c r="H84" i="58"/>
  <c r="I84" i="58"/>
  <c r="J84" i="58"/>
  <c r="I94" i="58"/>
  <c r="J94" i="58"/>
  <c r="H88" i="58"/>
  <c r="I88" i="58"/>
  <c r="J88" i="58"/>
  <c r="G97" i="58"/>
  <c r="I97" i="58"/>
  <c r="J97" i="58"/>
  <c r="H95" i="58"/>
  <c r="H98" i="58"/>
  <c r="I98" i="58"/>
  <c r="J98" i="58"/>
  <c r="G87" i="58"/>
  <c r="G90" i="58"/>
  <c r="I90" i="58"/>
  <c r="J90" i="58"/>
  <c r="I71" i="58"/>
  <c r="J71" i="58"/>
  <c r="H68" i="58"/>
  <c r="I68" i="58"/>
  <c r="J68" i="58"/>
  <c r="I65" i="58"/>
  <c r="J65" i="58"/>
  <c r="H75" i="58"/>
  <c r="I75" i="58"/>
  <c r="J75" i="58"/>
  <c r="I64" i="58"/>
  <c r="J64" i="58"/>
  <c r="M20" i="58"/>
  <c r="I13" i="63"/>
  <c r="I28" i="63"/>
  <c r="I28" i="59"/>
  <c r="O128" i="62"/>
  <c r="I13" i="59"/>
  <c r="G41" i="61"/>
  <c r="M27" i="58"/>
  <c r="H35" i="63"/>
  <c r="I35" i="63"/>
  <c r="H37" i="63"/>
  <c r="I37" i="63"/>
  <c r="H38" i="63"/>
  <c r="J35" i="63"/>
  <c r="J37" i="63"/>
  <c r="H32" i="63"/>
  <c r="J28" i="63"/>
  <c r="I15" i="63"/>
  <c r="J28" i="59"/>
  <c r="O129" i="62"/>
  <c r="I15" i="59"/>
  <c r="H37" i="59"/>
  <c r="I35" i="59"/>
  <c r="J37" i="59"/>
  <c r="H32" i="59"/>
  <c r="I37" i="59"/>
  <c r="H35" i="59"/>
  <c r="J35" i="59"/>
  <c r="J13" i="58"/>
  <c r="G44" i="58"/>
  <c r="I44" i="58"/>
  <c r="J44" i="58"/>
  <c r="I95" i="58"/>
  <c r="J95" i="58"/>
  <c r="I87" i="58"/>
  <c r="J87" i="58"/>
  <c r="H52" i="58"/>
  <c r="I52" i="58"/>
  <c r="J52" i="58"/>
  <c r="G51" i="58"/>
  <c r="I51" i="58"/>
  <c r="J51" i="58"/>
  <c r="I42" i="58"/>
  <c r="J42" i="58"/>
  <c r="H91" i="58"/>
  <c r="I91" i="58"/>
  <c r="J91" i="58"/>
  <c r="J27" i="58"/>
  <c r="N15" i="63"/>
  <c r="K53" i="63"/>
  <c r="N30" i="59"/>
  <c r="N32" i="59"/>
  <c r="N15" i="59"/>
  <c r="K53" i="59"/>
  <c r="N30" i="63"/>
  <c r="N32" i="63"/>
  <c r="J20" i="58"/>
  <c r="J30" i="63"/>
  <c r="J15" i="63"/>
  <c r="I53" i="63"/>
  <c r="J30" i="59"/>
  <c r="J32" i="59"/>
  <c r="P129" i="62"/>
  <c r="J15" i="59"/>
  <c r="I53" i="59"/>
  <c r="N13" i="63"/>
  <c r="K52" i="63"/>
  <c r="M30" i="63"/>
  <c r="M32" i="63"/>
  <c r="M30" i="59"/>
  <c r="M32" i="59"/>
  <c r="N13" i="59"/>
  <c r="K52" i="59"/>
  <c r="J38" i="63"/>
  <c r="L38" i="63"/>
  <c r="M38" i="63"/>
  <c r="I38" i="63"/>
  <c r="N38" i="63"/>
  <c r="J13" i="63"/>
  <c r="I52" i="63"/>
  <c r="I30" i="59"/>
  <c r="I32" i="59"/>
  <c r="P128" i="62"/>
  <c r="J13" i="59"/>
  <c r="I52" i="59"/>
  <c r="I30" i="63"/>
  <c r="I32" i="63"/>
  <c r="I38" i="59"/>
  <c r="J38" i="59"/>
  <c r="L26" i="59"/>
  <c r="L26" i="63"/>
  <c r="L11" i="63"/>
  <c r="K51" i="63"/>
  <c r="L11" i="59"/>
  <c r="K51" i="59"/>
  <c r="P127" i="62"/>
  <c r="J32" i="63"/>
  <c r="M52" i="59"/>
  <c r="M52" i="63"/>
  <c r="M53" i="63"/>
  <c r="M51" i="59"/>
  <c r="F36" i="58"/>
  <c r="M51" i="63"/>
  <c r="F93" i="58"/>
  <c r="F47" i="58"/>
  <c r="F96" i="58"/>
  <c r="F50" i="58"/>
  <c r="M53" i="59"/>
  <c r="M35" i="63"/>
  <c r="N35" i="63"/>
  <c r="M37" i="63"/>
  <c r="N37" i="63"/>
  <c r="L32" i="63"/>
  <c r="L35" i="63"/>
  <c r="L37" i="63"/>
  <c r="H24" i="63"/>
  <c r="H39" i="63"/>
  <c r="N35" i="59"/>
  <c r="N37" i="59"/>
  <c r="M35" i="59"/>
  <c r="M37" i="59"/>
  <c r="L35" i="59"/>
  <c r="L32" i="59"/>
  <c r="L37" i="59"/>
  <c r="H39" i="59"/>
  <c r="H24" i="59"/>
  <c r="F40" i="58"/>
  <c r="F43" i="58"/>
  <c r="R11" i="58"/>
  <c r="AB11" i="58"/>
  <c r="M43" i="58"/>
  <c r="I43" i="58"/>
  <c r="N43" i="58"/>
  <c r="I73" i="58"/>
  <c r="N73" i="58"/>
  <c r="AD15" i="63"/>
  <c r="J24" i="63"/>
  <c r="L24" i="63"/>
  <c r="I24" i="63"/>
  <c r="I58" i="63"/>
  <c r="N51" i="59"/>
  <c r="N53" i="63"/>
  <c r="I70" i="58"/>
  <c r="N70" i="58"/>
  <c r="AC15" i="63"/>
  <c r="I39" i="63"/>
  <c r="J39" i="63"/>
  <c r="L39" i="63"/>
  <c r="M47" i="58"/>
  <c r="I47" i="58"/>
  <c r="N47" i="58"/>
  <c r="M40" i="58"/>
  <c r="I40" i="58"/>
  <c r="N40" i="58"/>
  <c r="N53" i="59"/>
  <c r="I89" i="58"/>
  <c r="N89" i="58"/>
  <c r="N51" i="63"/>
  <c r="N52" i="63"/>
  <c r="I82" i="58"/>
  <c r="M36" i="58"/>
  <c r="I36" i="58"/>
  <c r="I50" i="58"/>
  <c r="N50" i="58"/>
  <c r="M50" i="58"/>
  <c r="R10" i="58"/>
  <c r="N41" i="61"/>
  <c r="L41" i="61"/>
  <c r="N52" i="59"/>
  <c r="I66" i="58"/>
  <c r="N66" i="58"/>
  <c r="AD13" i="63"/>
  <c r="M93" i="58"/>
  <c r="AG15" i="63"/>
  <c r="I93" i="58"/>
  <c r="N93" i="58"/>
  <c r="I63" i="58"/>
  <c r="N63" i="58"/>
  <c r="AC13" i="63"/>
  <c r="I86" i="58"/>
  <c r="N86" i="58"/>
  <c r="I24" i="59"/>
  <c r="J24" i="59"/>
  <c r="I58" i="59"/>
  <c r="L24" i="59"/>
  <c r="L39" i="59"/>
  <c r="I39" i="59"/>
  <c r="J39" i="59"/>
  <c r="M96" i="58"/>
  <c r="AH15" i="63"/>
  <c r="I96" i="58"/>
  <c r="N96" i="58"/>
  <c r="I59" i="58"/>
  <c r="V15" i="63"/>
  <c r="T75" i="63"/>
  <c r="V30" i="63"/>
  <c r="L42" i="61"/>
  <c r="N42" i="61"/>
  <c r="J40" i="58"/>
  <c r="J50" i="58"/>
  <c r="I60" i="59"/>
  <c r="I76" i="59"/>
  <c r="J76" i="59"/>
  <c r="K76" i="59"/>
  <c r="I59" i="59"/>
  <c r="I74" i="63"/>
  <c r="J74" i="63"/>
  <c r="K74" i="63"/>
  <c r="R13" i="59"/>
  <c r="R13" i="63"/>
  <c r="Q30" i="63"/>
  <c r="G94" i="62"/>
  <c r="Q30" i="59"/>
  <c r="Y28" i="59"/>
  <c r="Y28" i="63"/>
  <c r="Y13" i="59"/>
  <c r="P94" i="62"/>
  <c r="M39" i="63"/>
  <c r="N39" i="63"/>
  <c r="AD28" i="63"/>
  <c r="AC15" i="59"/>
  <c r="AD28" i="59"/>
  <c r="I59" i="63"/>
  <c r="J43" i="58"/>
  <c r="Q28" i="63"/>
  <c r="F94" i="62"/>
  <c r="Q13" i="63"/>
  <c r="Q13" i="59"/>
  <c r="Q52" i="59"/>
  <c r="Q28" i="59"/>
  <c r="J93" i="58"/>
  <c r="AH15" i="59"/>
  <c r="AH30" i="63"/>
  <c r="G112" i="62"/>
  <c r="AH30" i="59"/>
  <c r="AC30" i="59"/>
  <c r="AC30" i="63"/>
  <c r="AD13" i="59"/>
  <c r="AB10" i="58"/>
  <c r="N82" i="58"/>
  <c r="G108" i="62"/>
  <c r="J82" i="58"/>
  <c r="AG30" i="63"/>
  <c r="AH13" i="59"/>
  <c r="G110" i="62"/>
  <c r="AG30" i="59"/>
  <c r="J70" i="58"/>
  <c r="K58" i="63"/>
  <c r="L74" i="63"/>
  <c r="M74" i="63"/>
  <c r="N74" i="63"/>
  <c r="N24" i="63"/>
  <c r="K60" i="63"/>
  <c r="L76" i="63"/>
  <c r="M76" i="63"/>
  <c r="N76" i="63"/>
  <c r="M24" i="63"/>
  <c r="I74" i="59"/>
  <c r="J74" i="59"/>
  <c r="K74" i="59"/>
  <c r="Z30" i="59"/>
  <c r="Z30" i="63"/>
  <c r="Z15" i="59"/>
  <c r="Q96" i="62"/>
  <c r="Y51" i="63"/>
  <c r="X11" i="59"/>
  <c r="Y51" i="59"/>
  <c r="X26" i="59"/>
  <c r="X26" i="63"/>
  <c r="AL15" i="63"/>
  <c r="AL30" i="59"/>
  <c r="AL15" i="59"/>
  <c r="AL30" i="63"/>
  <c r="J96" i="58"/>
  <c r="AG53" i="63"/>
  <c r="AH28" i="63"/>
  <c r="AG15" i="59"/>
  <c r="AH28" i="59"/>
  <c r="F112" i="62"/>
  <c r="J66" i="58"/>
  <c r="AG51" i="63"/>
  <c r="AF11" i="59"/>
  <c r="AG51" i="59"/>
  <c r="AF26" i="63"/>
  <c r="AF26" i="59"/>
  <c r="P96" i="62"/>
  <c r="Z28" i="63"/>
  <c r="Y15" i="59"/>
  <c r="Y53" i="59"/>
  <c r="Z28" i="59"/>
  <c r="Z32" i="59"/>
  <c r="I60" i="63"/>
  <c r="N59" i="58"/>
  <c r="J59" i="58"/>
  <c r="Q15" i="63"/>
  <c r="R28" i="63"/>
  <c r="Q15" i="59"/>
  <c r="F96" i="62"/>
  <c r="R28" i="59"/>
  <c r="I75" i="59"/>
  <c r="J75" i="59"/>
  <c r="K75" i="59"/>
  <c r="AK30" i="63"/>
  <c r="AL13" i="63"/>
  <c r="AK30" i="59"/>
  <c r="AL13" i="59"/>
  <c r="P11" i="63"/>
  <c r="Q51" i="63"/>
  <c r="P26" i="63"/>
  <c r="P26" i="59"/>
  <c r="P11" i="59"/>
  <c r="Q51" i="59"/>
  <c r="J86" i="58"/>
  <c r="AC28" i="59"/>
  <c r="AC28" i="63"/>
  <c r="AC13" i="59"/>
  <c r="R15" i="59"/>
  <c r="G96" i="62"/>
  <c r="R15" i="63"/>
  <c r="R30" i="59"/>
  <c r="R30" i="63"/>
  <c r="V28" i="63"/>
  <c r="V28" i="59"/>
  <c r="U15" i="63"/>
  <c r="T74" i="63"/>
  <c r="U15" i="59"/>
  <c r="AD30" i="63"/>
  <c r="AD15" i="59"/>
  <c r="AD30" i="59"/>
  <c r="AK15" i="63"/>
  <c r="AL28" i="63"/>
  <c r="AL28" i="59"/>
  <c r="AK15" i="59"/>
  <c r="U30" i="59"/>
  <c r="V13" i="59"/>
  <c r="U30" i="63"/>
  <c r="V13" i="63"/>
  <c r="N36" i="58"/>
  <c r="G92" i="62"/>
  <c r="J36" i="58"/>
  <c r="AK13" i="63"/>
  <c r="AK28" i="63"/>
  <c r="AK28" i="59"/>
  <c r="AK13" i="59"/>
  <c r="J89" i="58"/>
  <c r="AG13" i="59"/>
  <c r="AG28" i="63"/>
  <c r="AG32" i="63"/>
  <c r="AG28" i="59"/>
  <c r="AG32" i="59"/>
  <c r="F110" i="62"/>
  <c r="N39" i="59"/>
  <c r="M39" i="59"/>
  <c r="Y30" i="63"/>
  <c r="Z13" i="59"/>
  <c r="Q94" i="62"/>
  <c r="Y30" i="59"/>
  <c r="K58" i="59"/>
  <c r="L74" i="59"/>
  <c r="M74" i="59"/>
  <c r="N74" i="59"/>
  <c r="N24" i="59"/>
  <c r="M24" i="59"/>
  <c r="J63" i="58"/>
  <c r="V15" i="59"/>
  <c r="V30" i="59"/>
  <c r="U13" i="63"/>
  <c r="U28" i="63"/>
  <c r="U13" i="59"/>
  <c r="U28" i="59"/>
  <c r="J47" i="58"/>
  <c r="J73" i="58"/>
  <c r="U32" i="63"/>
  <c r="S53" i="63"/>
  <c r="AI53" i="63"/>
  <c r="AK53" i="63"/>
  <c r="Q92" i="62"/>
  <c r="U91" i="62"/>
  <c r="AB11" i="63"/>
  <c r="AA51" i="63"/>
  <c r="AC51" i="63"/>
  <c r="K59" i="63"/>
  <c r="L75" i="63"/>
  <c r="M75" i="63"/>
  <c r="N75" i="63"/>
  <c r="Q32" i="59"/>
  <c r="AA52" i="63"/>
  <c r="U32" i="59"/>
  <c r="V32" i="59"/>
  <c r="Q53" i="59"/>
  <c r="Q60" i="59"/>
  <c r="AC32" i="63"/>
  <c r="K60" i="59"/>
  <c r="L76" i="59"/>
  <c r="M76" i="59"/>
  <c r="N76" i="59"/>
  <c r="AH32" i="63"/>
  <c r="AC32" i="59"/>
  <c r="AI52" i="63"/>
  <c r="AL32" i="59"/>
  <c r="AL32" i="63"/>
  <c r="Y52" i="63"/>
  <c r="Y59" i="63"/>
  <c r="S52" i="63"/>
  <c r="AG52" i="59"/>
  <c r="AG59" i="59"/>
  <c r="R32" i="63"/>
  <c r="AK32" i="63"/>
  <c r="AH37" i="63"/>
  <c r="AF38" i="63"/>
  <c r="AF32" i="63"/>
  <c r="AF35" i="63"/>
  <c r="AF37" i="63"/>
  <c r="AH35" i="63"/>
  <c r="AG37" i="63"/>
  <c r="AF24" i="63"/>
  <c r="AF39" i="63"/>
  <c r="AG35" i="63"/>
  <c r="AG52" i="63"/>
  <c r="AA52" i="59"/>
  <c r="AB26" i="59"/>
  <c r="AB11" i="59"/>
  <c r="AA51" i="59"/>
  <c r="AC51" i="59"/>
  <c r="AB26" i="63"/>
  <c r="I75" i="63"/>
  <c r="J75" i="63"/>
  <c r="K75" i="63"/>
  <c r="M58" i="59"/>
  <c r="T26" i="63"/>
  <c r="T26" i="59"/>
  <c r="T11" i="63"/>
  <c r="S51" i="63"/>
  <c r="U51" i="63"/>
  <c r="T11" i="59"/>
  <c r="S51" i="59"/>
  <c r="U51" i="59"/>
  <c r="V32" i="63"/>
  <c r="Q37" i="63"/>
  <c r="R35" i="63"/>
  <c r="P37" i="63"/>
  <c r="P24" i="63"/>
  <c r="R37" i="63"/>
  <c r="P38" i="63"/>
  <c r="Q35" i="63"/>
  <c r="P32" i="63"/>
  <c r="P39" i="63"/>
  <c r="P35" i="63"/>
  <c r="R32" i="59"/>
  <c r="M60" i="63"/>
  <c r="I76" i="63"/>
  <c r="J76" i="63"/>
  <c r="K76" i="63"/>
  <c r="AH32" i="59"/>
  <c r="AA53" i="63"/>
  <c r="Y52" i="59"/>
  <c r="P38" i="59"/>
  <c r="P39" i="59"/>
  <c r="P37" i="59"/>
  <c r="R35" i="59"/>
  <c r="Q35" i="59"/>
  <c r="R37" i="59"/>
  <c r="Q37" i="59"/>
  <c r="P24" i="59"/>
  <c r="P32" i="59"/>
  <c r="P35" i="59"/>
  <c r="Y58" i="63"/>
  <c r="S52" i="59"/>
  <c r="U52" i="59"/>
  <c r="K59" i="59"/>
  <c r="Q58" i="63"/>
  <c r="AF39" i="59"/>
  <c r="AH35" i="59"/>
  <c r="AF32" i="59"/>
  <c r="AH37" i="59"/>
  <c r="AF35" i="59"/>
  <c r="AF38" i="59"/>
  <c r="AF24" i="59"/>
  <c r="AG37" i="59"/>
  <c r="AF37" i="59"/>
  <c r="AG35" i="59"/>
  <c r="AG53" i="59"/>
  <c r="Q59" i="59"/>
  <c r="AD32" i="59"/>
  <c r="Y32" i="63"/>
  <c r="AJ11" i="63"/>
  <c r="AI51" i="63"/>
  <c r="AK51" i="63"/>
  <c r="AJ11" i="59"/>
  <c r="AI51" i="59"/>
  <c r="AK51" i="59"/>
  <c r="AJ26" i="63"/>
  <c r="AJ26" i="59"/>
  <c r="AA53" i="59"/>
  <c r="AC53" i="59"/>
  <c r="AI52" i="59"/>
  <c r="Q52" i="63"/>
  <c r="AD32" i="63"/>
  <c r="Y32" i="59"/>
  <c r="M58" i="63"/>
  <c r="Y60" i="59"/>
  <c r="AG58" i="59"/>
  <c r="AG60" i="63"/>
  <c r="X39" i="63"/>
  <c r="X35" i="63"/>
  <c r="Z37" i="63"/>
  <c r="X37" i="63"/>
  <c r="Y35" i="63"/>
  <c r="X24" i="63"/>
  <c r="Y37" i="63"/>
  <c r="X38" i="63"/>
  <c r="Z35" i="63"/>
  <c r="X32" i="63"/>
  <c r="AK32" i="59"/>
  <c r="Y53" i="63"/>
  <c r="AG58" i="63"/>
  <c r="X35" i="59"/>
  <c r="X24" i="59"/>
  <c r="X38" i="59"/>
  <c r="X39" i="59"/>
  <c r="Y35" i="59"/>
  <c r="Y37" i="59"/>
  <c r="Z35" i="59"/>
  <c r="Z37" i="59"/>
  <c r="X32" i="59"/>
  <c r="X37" i="59"/>
  <c r="AI53" i="59"/>
  <c r="S53" i="59"/>
  <c r="Q58" i="59"/>
  <c r="Q53" i="63"/>
  <c r="Z32" i="63"/>
  <c r="Y58" i="59"/>
  <c r="Q32" i="63"/>
  <c r="U53" i="59"/>
  <c r="V53" i="59"/>
  <c r="AC52" i="63"/>
  <c r="AD52" i="63"/>
  <c r="M59" i="63"/>
  <c r="I70" i="63"/>
  <c r="M70" i="63"/>
  <c r="N70" i="63"/>
  <c r="M60" i="59"/>
  <c r="I71" i="59"/>
  <c r="M71" i="59"/>
  <c r="AK52" i="59"/>
  <c r="AL52" i="59"/>
  <c r="AD51" i="63"/>
  <c r="AL51" i="63"/>
  <c r="V51" i="63"/>
  <c r="Q39" i="59"/>
  <c r="R39" i="59"/>
  <c r="T39" i="59"/>
  <c r="N60" i="63"/>
  <c r="I71" i="63"/>
  <c r="M71" i="63"/>
  <c r="N71" i="63"/>
  <c r="Q24" i="63"/>
  <c r="R24" i="63"/>
  <c r="T24" i="63"/>
  <c r="V35" i="63"/>
  <c r="U37" i="63"/>
  <c r="T32" i="63"/>
  <c r="V37" i="63"/>
  <c r="T35" i="63"/>
  <c r="U35" i="63"/>
  <c r="T37" i="63"/>
  <c r="AG38" i="63"/>
  <c r="AL38" i="63"/>
  <c r="AK38" i="63"/>
  <c r="AJ38" i="63"/>
  <c r="AH38" i="63"/>
  <c r="Y38" i="59"/>
  <c r="Z38" i="59"/>
  <c r="AD53" i="59"/>
  <c r="Y24" i="59"/>
  <c r="AB24" i="59"/>
  <c r="Z24" i="59"/>
  <c r="N58" i="63"/>
  <c r="I69" i="63"/>
  <c r="M69" i="63"/>
  <c r="N69" i="63"/>
  <c r="V52" i="59"/>
  <c r="AG24" i="59"/>
  <c r="AH24" i="59"/>
  <c r="AJ24" i="59"/>
  <c r="R38" i="59"/>
  <c r="Q38" i="59"/>
  <c r="N58" i="59"/>
  <c r="I69" i="59"/>
  <c r="M69" i="59"/>
  <c r="AB32" i="59"/>
  <c r="AD35" i="59"/>
  <c r="AB35" i="59"/>
  <c r="AD37" i="59"/>
  <c r="AB37" i="59"/>
  <c r="AC35" i="59"/>
  <c r="AC37" i="59"/>
  <c r="AG39" i="63"/>
  <c r="AH39" i="63"/>
  <c r="AJ39" i="63"/>
  <c r="AB39" i="59"/>
  <c r="Y39" i="59"/>
  <c r="Z39" i="59"/>
  <c r="AD51" i="59"/>
  <c r="U53" i="63"/>
  <c r="Q60" i="63"/>
  <c r="AB39" i="63"/>
  <c r="Y39" i="63"/>
  <c r="Z39" i="63"/>
  <c r="AH38" i="59"/>
  <c r="AG38" i="59"/>
  <c r="T24" i="59"/>
  <c r="R24" i="59"/>
  <c r="Q24" i="59"/>
  <c r="AH24" i="63"/>
  <c r="AG24" i="63"/>
  <c r="AJ24" i="63"/>
  <c r="AC52" i="59"/>
  <c r="Y59" i="59"/>
  <c r="T39" i="63"/>
  <c r="Q39" i="63"/>
  <c r="R39" i="63"/>
  <c r="AK52" i="63"/>
  <c r="AG59" i="63"/>
  <c r="Q38" i="63"/>
  <c r="U38" i="63"/>
  <c r="V38" i="63"/>
  <c r="T38" i="63"/>
  <c r="R38" i="63"/>
  <c r="AJ39" i="59"/>
  <c r="AG39" i="59"/>
  <c r="AH39" i="59"/>
  <c r="T37" i="59"/>
  <c r="V37" i="59"/>
  <c r="U35" i="59"/>
  <c r="U37" i="59"/>
  <c r="T32" i="59"/>
  <c r="T35" i="59"/>
  <c r="V35" i="59"/>
  <c r="AD38" i="63"/>
  <c r="AB38" i="63"/>
  <c r="Z38" i="63"/>
  <c r="AC38" i="63"/>
  <c r="Y38" i="63"/>
  <c r="U52" i="63"/>
  <c r="Q59" i="63"/>
  <c r="AL37" i="63"/>
  <c r="AK37" i="63"/>
  <c r="AJ37" i="63"/>
  <c r="AL35" i="63"/>
  <c r="AK35" i="63"/>
  <c r="AJ35" i="63"/>
  <c r="AJ32" i="63"/>
  <c r="L75" i="59"/>
  <c r="M75" i="59"/>
  <c r="N75" i="59"/>
  <c r="M59" i="59"/>
  <c r="AB32" i="63"/>
  <c r="AB35" i="63"/>
  <c r="AB37" i="63"/>
  <c r="AD35" i="63"/>
  <c r="AC35" i="63"/>
  <c r="AD37" i="63"/>
  <c r="AC37" i="63"/>
  <c r="V51" i="59"/>
  <c r="AL53" i="63"/>
  <c r="AJ37" i="59"/>
  <c r="AK35" i="59"/>
  <c r="AL35" i="59"/>
  <c r="AL37" i="59"/>
  <c r="AJ32" i="59"/>
  <c r="AJ35" i="59"/>
  <c r="AK37" i="59"/>
  <c r="AC53" i="63"/>
  <c r="Y60" i="63"/>
  <c r="Y24" i="63"/>
  <c r="Z24" i="63"/>
  <c r="AB24" i="63"/>
  <c r="AL51" i="59"/>
  <c r="AG60" i="59"/>
  <c r="AK53" i="59"/>
  <c r="N59" i="63"/>
  <c r="N60" i="59"/>
  <c r="AC24" i="59"/>
  <c r="AA58" i="59"/>
  <c r="AC58" i="59"/>
  <c r="AD24" i="59"/>
  <c r="V39" i="63"/>
  <c r="U39" i="63"/>
  <c r="U24" i="59"/>
  <c r="S58" i="59"/>
  <c r="U58" i="59"/>
  <c r="V24" i="59"/>
  <c r="N59" i="59"/>
  <c r="I70" i="59"/>
  <c r="M70" i="59"/>
  <c r="AC39" i="63"/>
  <c r="AD39" i="63"/>
  <c r="AD39" i="59"/>
  <c r="AC39" i="59"/>
  <c r="V39" i="59"/>
  <c r="U39" i="59"/>
  <c r="AD52" i="59"/>
  <c r="AD53" i="63"/>
  <c r="AL39" i="59"/>
  <c r="AK39" i="59"/>
  <c r="AK24" i="63"/>
  <c r="AI58" i="63"/>
  <c r="AK58" i="63"/>
  <c r="AL24" i="63"/>
  <c r="V53" i="63"/>
  <c r="AC24" i="63"/>
  <c r="AA58" i="63"/>
  <c r="AC58" i="63"/>
  <c r="AD24" i="63"/>
  <c r="AL53" i="59"/>
  <c r="V52" i="63"/>
  <c r="AL52" i="63"/>
  <c r="R129" i="62"/>
  <c r="N71" i="59"/>
  <c r="AK39" i="63"/>
  <c r="AL39" i="63"/>
  <c r="V24" i="63"/>
  <c r="U24" i="63"/>
  <c r="S59" i="63"/>
  <c r="U59" i="63"/>
  <c r="S58" i="63"/>
  <c r="U58" i="63"/>
  <c r="R127" i="62"/>
  <c r="N69" i="59"/>
  <c r="AL24" i="59"/>
  <c r="AK24" i="59"/>
  <c r="AI58" i="59"/>
  <c r="AK58" i="59"/>
  <c r="S60" i="59"/>
  <c r="U60" i="59"/>
  <c r="Q71" i="59"/>
  <c r="U71" i="59"/>
  <c r="V71" i="59"/>
  <c r="T77" i="63"/>
  <c r="T80" i="63"/>
  <c r="U80" i="63"/>
  <c r="T78" i="63"/>
  <c r="T81" i="63"/>
  <c r="U81" i="63"/>
  <c r="AA59" i="63"/>
  <c r="AC59" i="63"/>
  <c r="Y70" i="63"/>
  <c r="AC70" i="63"/>
  <c r="AI60" i="59"/>
  <c r="AK60" i="59"/>
  <c r="AL60" i="59"/>
  <c r="S60" i="63"/>
  <c r="U60" i="63"/>
  <c r="V60" i="63"/>
  <c r="AI60" i="63"/>
  <c r="AK60" i="63"/>
  <c r="AG71" i="63"/>
  <c r="AK71" i="63"/>
  <c r="AL71" i="63"/>
  <c r="S59" i="59"/>
  <c r="U59" i="59"/>
  <c r="Q70" i="59"/>
  <c r="U70" i="59"/>
  <c r="V70" i="59"/>
  <c r="V59" i="63"/>
  <c r="Q70" i="63"/>
  <c r="U70" i="63"/>
  <c r="V70" i="63"/>
  <c r="AL58" i="63"/>
  <c r="AG69" i="63"/>
  <c r="AK69" i="63"/>
  <c r="AL69" i="63"/>
  <c r="V58" i="59"/>
  <c r="Q69" i="59"/>
  <c r="U69" i="59"/>
  <c r="V69" i="59"/>
  <c r="AI59" i="63"/>
  <c r="AK59" i="63"/>
  <c r="AA60" i="63"/>
  <c r="AC60" i="63"/>
  <c r="V58" i="63"/>
  <c r="Q69" i="63"/>
  <c r="U69" i="63"/>
  <c r="V69" i="63"/>
  <c r="R128" i="62"/>
  <c r="N70" i="59"/>
  <c r="AA60" i="59"/>
  <c r="AC60" i="59"/>
  <c r="AD58" i="59"/>
  <c r="Y69" i="59"/>
  <c r="AC69" i="59"/>
  <c r="AD58" i="63"/>
  <c r="Y69" i="63"/>
  <c r="AC69" i="63"/>
  <c r="AL58" i="59"/>
  <c r="AG69" i="59"/>
  <c r="AK69" i="59"/>
  <c r="AL69" i="59"/>
  <c r="AI59" i="59"/>
  <c r="AK59" i="59"/>
  <c r="AA59" i="59"/>
  <c r="AC59" i="59"/>
  <c r="V60" i="59"/>
  <c r="AD59" i="63"/>
  <c r="AG71" i="59"/>
  <c r="AK71" i="59"/>
  <c r="AL71" i="59"/>
  <c r="K112" i="62"/>
  <c r="I112" i="62"/>
  <c r="R27" i="58"/>
  <c r="AB27" i="58"/>
  <c r="V59" i="59"/>
  <c r="AL60" i="63"/>
  <c r="Q71" i="63"/>
  <c r="U71" i="63"/>
  <c r="V71" i="63"/>
  <c r="AD69" i="63"/>
  <c r="AC73" i="63"/>
  <c r="K108" i="62"/>
  <c r="I108" i="62"/>
  <c r="R25" i="58"/>
  <c r="AB25" i="58"/>
  <c r="AC73" i="59"/>
  <c r="AD69" i="59"/>
  <c r="AD70" i="63"/>
  <c r="AC74" i="63"/>
  <c r="I94" i="62"/>
  <c r="R20" i="58"/>
  <c r="AB20" i="58"/>
  <c r="AD59" i="59"/>
  <c r="Y70" i="59"/>
  <c r="AC70" i="59"/>
  <c r="I96" i="62"/>
  <c r="R21" i="58"/>
  <c r="AB21" i="58"/>
  <c r="AL59" i="59"/>
  <c r="AG70" i="59"/>
  <c r="AK70" i="59"/>
  <c r="AL70" i="59"/>
  <c r="AD60" i="59"/>
  <c r="Y71" i="59"/>
  <c r="AC71" i="59"/>
  <c r="AD60" i="63"/>
  <c r="Y71" i="63"/>
  <c r="AC71" i="63"/>
  <c r="I92" i="62"/>
  <c r="R19" i="58"/>
  <c r="AL59" i="63"/>
  <c r="AG70" i="63"/>
  <c r="AK70" i="63"/>
  <c r="AL70" i="63"/>
  <c r="AC75" i="63"/>
  <c r="AD71" i="63"/>
  <c r="N92" i="62"/>
  <c r="S92" i="62"/>
  <c r="R22" i="58"/>
  <c r="AB22" i="58"/>
  <c r="AC75" i="59"/>
  <c r="AD71" i="59"/>
  <c r="AD70" i="59"/>
  <c r="AC74" i="59"/>
  <c r="AB19" i="58"/>
  <c r="K110" i="62"/>
  <c r="I110" i="62"/>
  <c r="R26" i="58"/>
  <c r="AB26" i="58"/>
  <c r="N94" i="62"/>
  <c r="S94" i="62"/>
  <c r="R23" i="58"/>
  <c r="AB23" i="58"/>
  <c r="N96" i="62"/>
  <c r="S96" i="62"/>
  <c r="R24" i="58"/>
  <c r="AB24" i="58"/>
  <c r="AD10" i="58" a="1"/>
  <c r="AE17" i="58"/>
  <c r="W10" i="58" a="1"/>
  <c r="AE12" i="58"/>
  <c r="AE18" i="58"/>
  <c r="AE20" i="58"/>
  <c r="AE26" i="58"/>
  <c r="AE19" i="58"/>
  <c r="AE23" i="58"/>
  <c r="AE24" i="58"/>
  <c r="AE11" i="58"/>
  <c r="AE22" i="58"/>
  <c r="AE13" i="58"/>
  <c r="AE27" i="58"/>
  <c r="AE14" i="58"/>
  <c r="AE25" i="58"/>
  <c r="AE15" i="58"/>
  <c r="AE16" i="58"/>
  <c r="AE21" i="58"/>
  <c r="AD10" i="58"/>
  <c r="AE10" i="58"/>
  <c r="X16" i="58"/>
  <c r="X14" i="58"/>
  <c r="W10" i="58"/>
  <c r="X10" i="58"/>
  <c r="X24" i="58"/>
  <c r="X22" i="58"/>
  <c r="X18" i="58"/>
  <c r="X12" i="58"/>
  <c r="X26" i="58"/>
  <c r="X20" i="58"/>
  <c r="X15" i="58"/>
  <c r="X11" i="58"/>
  <c r="X13" i="58"/>
  <c r="X23" i="58"/>
  <c r="X19" i="58"/>
  <c r="X21" i="58"/>
  <c r="X27" i="58"/>
  <c r="X17" i="58"/>
  <c r="X25" i="5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<sst xmlns="http://schemas.openxmlformats.org/spreadsheetml/2006/main" count="1180" uniqueCount="300">
  <si>
    <t>kWh/rok</t>
  </si>
  <si>
    <t>zł/kWh</t>
  </si>
  <si>
    <t>kWh</t>
  </si>
  <si>
    <t>Koszt paliwa</t>
  </si>
  <si>
    <t>Olej opałowy</t>
  </si>
  <si>
    <t>Granulat węglowy</t>
  </si>
  <si>
    <t>Drewno</t>
  </si>
  <si>
    <t>Wartość energetyczna</t>
  </si>
  <si>
    <t xml:space="preserve">Data:   </t>
  </si>
  <si>
    <t>Powierzchnia grzewcza budynku</t>
  </si>
  <si>
    <t>Standard wykonania budynku</t>
  </si>
  <si>
    <r>
      <t>[ kWh/m</t>
    </r>
    <r>
      <rPr>
        <vertAlign val="superscript"/>
        <sz val="11"/>
        <color theme="1" tint="0.34998626667073579"/>
        <rFont val="Roboto Condensed"/>
        <charset val="238"/>
      </rPr>
      <t>2</t>
    </r>
    <r>
      <rPr>
        <sz val="11"/>
        <color theme="1" tint="0.34998626667073579"/>
        <rFont val="Roboto Condensed"/>
        <charset val="238"/>
      </rPr>
      <t>/rok ]</t>
    </r>
  </si>
  <si>
    <r>
      <t>[ m</t>
    </r>
    <r>
      <rPr>
        <vertAlign val="superscript"/>
        <sz val="11"/>
        <color theme="1" tint="0.34998626667073579"/>
        <rFont val="Roboto Condensed"/>
        <charset val="238"/>
      </rPr>
      <t xml:space="preserve">2 </t>
    </r>
    <r>
      <rPr>
        <sz val="11"/>
        <color theme="1" tint="0.34998626667073579"/>
        <rFont val="Roboto Condensed"/>
        <charset val="238"/>
      </rPr>
      <t>]</t>
    </r>
  </si>
  <si>
    <t>Liczba mieszkańców</t>
  </si>
  <si>
    <t>Zużycie ciepłej wody użytkowej</t>
  </si>
  <si>
    <t>Temperatura ciepłej wody użytkowej</t>
  </si>
  <si>
    <r>
      <t xml:space="preserve">[ </t>
    </r>
    <r>
      <rPr>
        <sz val="11"/>
        <color theme="1" tint="0.34998626667073579"/>
        <rFont val="Calibri"/>
        <family val="2"/>
        <charset val="238"/>
      </rPr>
      <t>°</t>
    </r>
    <r>
      <rPr>
        <sz val="11"/>
        <color theme="1" tint="0.34998626667073579"/>
        <rFont val="Roboto Condensed"/>
        <charset val="238"/>
      </rPr>
      <t>C ]</t>
    </r>
  </si>
  <si>
    <t>[ litry / dobę / os ]</t>
  </si>
  <si>
    <t>Dom budowany obecnie WT2021</t>
  </si>
  <si>
    <t>Dom istniejący, dobra izolacja cieplna</t>
  </si>
  <si>
    <t>Dom istniejący, słaba izolacja cieplna</t>
  </si>
  <si>
    <t>Dom istniejący, bez izolacji cieplnej</t>
  </si>
  <si>
    <r>
      <t>[kWh/m</t>
    </r>
    <r>
      <rPr>
        <vertAlign val="superscript"/>
        <sz val="9"/>
        <color rgb="FF585858"/>
        <rFont val="Roboto Condensed"/>
        <charset val="238"/>
      </rPr>
      <t>2</t>
    </r>
    <r>
      <rPr>
        <sz val="9"/>
        <color rgb="FF585858"/>
        <rFont val="Roboto Condensed"/>
        <charset val="238"/>
      </rPr>
      <t>rok]</t>
    </r>
  </si>
  <si>
    <t>50-60</t>
  </si>
  <si>
    <t>70-80</t>
  </si>
  <si>
    <r>
      <t>Standard wykonania budynku | E</t>
    </r>
    <r>
      <rPr>
        <b/>
        <vertAlign val="subscript"/>
        <sz val="9"/>
        <color rgb="FF585858"/>
        <rFont val="Roboto Condensed"/>
        <charset val="238"/>
      </rPr>
      <t>U</t>
    </r>
  </si>
  <si>
    <t>90-120</t>
  </si>
  <si>
    <t>130-160</t>
  </si>
  <si>
    <t>&gt; 170</t>
  </si>
  <si>
    <t>%</t>
  </si>
  <si>
    <t>Kocioł na pelet</t>
  </si>
  <si>
    <t>Autor:</t>
  </si>
  <si>
    <t>[ zł / kWh ]</t>
  </si>
  <si>
    <t>Kocioł tradycyjny</t>
  </si>
  <si>
    <t>Kocioł kondensacyjny</t>
  </si>
  <si>
    <t>Węgiel</t>
  </si>
  <si>
    <t>Zużycie paliwa</t>
  </si>
  <si>
    <t>Szacowane koszty</t>
  </si>
  <si>
    <t>[ kWh / m3 ]</t>
  </si>
  <si>
    <t>[ zł / rok ]</t>
  </si>
  <si>
    <t>[ zł / tona ]</t>
  </si>
  <si>
    <t>[ zł / m.p. ]</t>
  </si>
  <si>
    <t>[ zł / litr ]</t>
  </si>
  <si>
    <t>Pompa ciepła solanka/woda</t>
  </si>
  <si>
    <t>Pompa ciepła powietrze/woda</t>
  </si>
  <si>
    <t>[ MJ / kg ]</t>
  </si>
  <si>
    <t>Gaz płynny, kocioł tradycyjny</t>
  </si>
  <si>
    <t>Gaz płynny, kocioł kondensacyjny</t>
  </si>
  <si>
    <t>Olej opałowy, kocioł tradycyjny</t>
  </si>
  <si>
    <t>Olej opałowy, kocioł kondensacyjny</t>
  </si>
  <si>
    <t>5 - 300</t>
  </si>
  <si>
    <t>25 - 100</t>
  </si>
  <si>
    <t>35 - 60</t>
  </si>
  <si>
    <t>W-3.6</t>
  </si>
  <si>
    <t>W-4</t>
  </si>
  <si>
    <t>Abonament</t>
  </si>
  <si>
    <t>m3/rok</t>
  </si>
  <si>
    <t>G11</t>
  </si>
  <si>
    <t>G12</t>
  </si>
  <si>
    <t>G12w</t>
  </si>
  <si>
    <t>Zużycie</t>
  </si>
  <si>
    <t>Koszt kWh</t>
  </si>
  <si>
    <t>Dystrybucja</t>
  </si>
  <si>
    <t>Sprzedaż</t>
  </si>
  <si>
    <t>Szacowana moc obliczeniowa budynku</t>
  </si>
  <si>
    <t>[kW]</t>
  </si>
  <si>
    <t>Dom energooszczędny</t>
  </si>
  <si>
    <t>Kalkulator kosztów ogrzewania i energii cieplnej</t>
  </si>
  <si>
    <t>35 - 700</t>
  </si>
  <si>
    <t>[kWh]</t>
  </si>
  <si>
    <t>[ m3 ]</t>
  </si>
  <si>
    <t>[ kg ]</t>
  </si>
  <si>
    <t>[ m.p. ]</t>
  </si>
  <si>
    <t>[ kWh ]</t>
  </si>
  <si>
    <t>Grupa taryfowa</t>
  </si>
  <si>
    <t>Dzień i Noc</t>
  </si>
  <si>
    <t>[zł/kWh]</t>
  </si>
  <si>
    <t>całodobowa</t>
  </si>
  <si>
    <t>dzienna</t>
  </si>
  <si>
    <t>nocna</t>
  </si>
  <si>
    <t>[zł/kWh] netto</t>
  </si>
  <si>
    <t>Podatek akcyzowy</t>
  </si>
  <si>
    <t>zł/MWh</t>
  </si>
  <si>
    <t xml:space="preserve">Stan: </t>
  </si>
  <si>
    <t>Grupy taryfowe G</t>
  </si>
  <si>
    <t>Składnik stały stawki sieciowej</t>
  </si>
  <si>
    <t>zł/miesiąc</t>
  </si>
  <si>
    <t>Liczba miesięcy</t>
  </si>
  <si>
    <t>P(i)</t>
  </si>
  <si>
    <t>S(ZVnm)</t>
  </si>
  <si>
    <t>S(SVn)</t>
  </si>
  <si>
    <t>E(ok)</t>
  </si>
  <si>
    <t>Ilość energii zużytej</t>
  </si>
  <si>
    <t>S(oSJ)</t>
  </si>
  <si>
    <t>stawka jakosciowa</t>
  </si>
  <si>
    <t>S(op)</t>
  </si>
  <si>
    <t>stawka opłaty przejściowej</t>
  </si>
  <si>
    <t>S(OZE)</t>
  </si>
  <si>
    <t>stawka OZE</t>
  </si>
  <si>
    <t>E(okOZE)</t>
  </si>
  <si>
    <t>S(ok)</t>
  </si>
  <si>
    <t>stawka opłaty kogeneracyjnej</t>
  </si>
  <si>
    <t>E(okKOG)</t>
  </si>
  <si>
    <t>ilość energii zużytej</t>
  </si>
  <si>
    <t>S(om)</t>
  </si>
  <si>
    <t>Stawka opłaty mocowej</t>
  </si>
  <si>
    <t>E(om)</t>
  </si>
  <si>
    <t>ilość energii pobranej z sieci</t>
  </si>
  <si>
    <t>ilość miesięcy</t>
  </si>
  <si>
    <t>E(okm)</t>
  </si>
  <si>
    <t>O(a)</t>
  </si>
  <si>
    <t>opłata abonamentowa</t>
  </si>
  <si>
    <t>Opłata łączna:</t>
  </si>
  <si>
    <t>Składnik zmienny stawki sieciowej</t>
  </si>
  <si>
    <t>Składnik zmienny stawki sieciowej dzień</t>
  </si>
  <si>
    <t>Składnik zmienny stawki sieciowej noc</t>
  </si>
  <si>
    <t>ENERGIA</t>
  </si>
  <si>
    <t>DYSTRYBUCJA</t>
  </si>
  <si>
    <t>Zużycie energii</t>
  </si>
  <si>
    <t>G12 dzień</t>
  </si>
  <si>
    <t>G12 noc</t>
  </si>
  <si>
    <t>G12w dzień</t>
  </si>
  <si>
    <t>G12w noc</t>
  </si>
  <si>
    <t>Energia</t>
  </si>
  <si>
    <t>netto</t>
  </si>
  <si>
    <t>próg 2000</t>
  </si>
  <si>
    <t>próg 2600</t>
  </si>
  <si>
    <t>próg 3000</t>
  </si>
  <si>
    <t>Ceny energii poniżej progu</t>
  </si>
  <si>
    <t>Ceny powyżej progu</t>
  </si>
  <si>
    <t>powyżej</t>
  </si>
  <si>
    <t>suma</t>
  </si>
  <si>
    <t>E(oim)</t>
  </si>
  <si>
    <t>= S(SVn)*P(i) + S(ZVnm)*E(oim) + S(oSJ)*E(ok) + S(op)*P(i) + S(OZE)*E(okOZE) + S(ok)*E(okOKG) + S(om)*E(om) + O(a)*P(i)</t>
  </si>
  <si>
    <t>Obowiązuje dla roku 2023</t>
  </si>
  <si>
    <t>TAK</t>
  </si>
  <si>
    <t>Opłaty poniżej progu</t>
  </si>
  <si>
    <t>Opłaty powyżej progu</t>
  </si>
  <si>
    <t>poniżej progu</t>
  </si>
  <si>
    <t>powyżej progu</t>
  </si>
  <si>
    <t>powyże progu</t>
  </si>
  <si>
    <t>Opłaty cząstkowe - SPRZEDAŻ ENERGII:</t>
  </si>
  <si>
    <t>z VAT 23%</t>
  </si>
  <si>
    <t>Opłaty cząstkowe - DYSTRYBUCJA ENERGII:</t>
  </si>
  <si>
    <t>Opłaty cząstkowe - AKCYZA:</t>
  </si>
  <si>
    <t>Opłaty łączne - SPRZEDAŻ I DYSTRYBUCJA ENERGII:</t>
  </si>
  <si>
    <t>Taryfa</t>
  </si>
  <si>
    <t>Energia elektryczna</t>
  </si>
  <si>
    <t>Szacowane zapotrzebowanie na energię grzewczą do ogrzewania budynku</t>
  </si>
  <si>
    <t>Szacowane zapotrzebowanie na energię grzewczą do przygotowania ciepłej wody użytkowej</t>
  </si>
  <si>
    <t>W-1.1</t>
  </si>
  <si>
    <t>W-1.2</t>
  </si>
  <si>
    <t>W-2.1</t>
  </si>
  <si>
    <t>W-2.2</t>
  </si>
  <si>
    <t>W-3.9</t>
  </si>
  <si>
    <t>PALIWO</t>
  </si>
  <si>
    <t>Ceny</t>
  </si>
  <si>
    <t>Paliwo</t>
  </si>
  <si>
    <t>[zł/m-c]</t>
  </si>
  <si>
    <t>Stawka opłaty stałej</t>
  </si>
  <si>
    <t>Stawka opłaty zmiennej</t>
  </si>
  <si>
    <t>Taryfy W</t>
  </si>
  <si>
    <t>Roczna ilość paliwa</t>
  </si>
  <si>
    <t>[m3/rok]</t>
  </si>
  <si>
    <t>&lt;300</t>
  </si>
  <si>
    <t>Ilość rozliczeń</t>
  </si>
  <si>
    <t>[i/rok]</t>
  </si>
  <si>
    <t>300 &lt; a &lt; 1200</t>
  </si>
  <si>
    <t>1200 &lt; a &lt; 8000</t>
  </si>
  <si>
    <t>&gt; 8000</t>
  </si>
  <si>
    <t>[kWh/m3]</t>
  </si>
  <si>
    <t>grupa E</t>
  </si>
  <si>
    <t>[zł/rok/netto]</t>
  </si>
  <si>
    <t>Suma 23%</t>
  </si>
  <si>
    <t>BUDYNEK</t>
  </si>
  <si>
    <t>CO</t>
  </si>
  <si>
    <t>CWU</t>
  </si>
  <si>
    <t>COP</t>
  </si>
  <si>
    <t>BW</t>
  </si>
  <si>
    <t>AW</t>
  </si>
  <si>
    <t>POMPA CIEPŁA SOLANKA / WODA</t>
  </si>
  <si>
    <t>POMPA CIEPŁA POWIETRZE / WODA</t>
  </si>
  <si>
    <t>OGRZEWANIE BEZPOŚREDNIE</t>
  </si>
  <si>
    <t>Bespośrednio</t>
  </si>
  <si>
    <t>Pozostało</t>
  </si>
  <si>
    <t>Energia elektryczna dla gospodarstwa domowego</t>
  </si>
  <si>
    <t>Szacowane koszty ogrzewania budynku i przygotowania ciepłej wody użytkowej</t>
  </si>
  <si>
    <t>tylko poniżej progu</t>
  </si>
  <si>
    <t>tylko powyżej progu</t>
  </si>
  <si>
    <t>Koszt jednostkowy energii elektrycznej POWYŻEJ limitu 2000 kWh</t>
  </si>
  <si>
    <t>Koszt jednostkowy energii elektrycznej PONIŻEJ limitu 2000 kWh</t>
  </si>
  <si>
    <t>[ kWh / rok ]</t>
  </si>
  <si>
    <t>USTAWA z dnia 27 października 2022 r. o środkach nadzwyczajnych mających na celu ograniczenie wysokości cen energii elektrycznej oraz wsparciu niektórych odbiorców w 2023 roku.</t>
  </si>
  <si>
    <t>Energia CO i CWU</t>
  </si>
  <si>
    <t>Zużycie po sprawności</t>
  </si>
  <si>
    <t>Pelet</t>
  </si>
  <si>
    <t>Zgazowanie drewna</t>
  </si>
  <si>
    <t>Gaz ziemny, kocioł tradycyjny</t>
  </si>
  <si>
    <t>Gaz ziemny, kocioł kondensacyjny</t>
  </si>
  <si>
    <t>Kocioł na zgazowanie drewna</t>
  </si>
  <si>
    <t>Kocioł na granulat węglowy</t>
  </si>
  <si>
    <t>Pompa ciepła solanka/woda G11</t>
  </si>
  <si>
    <t>Pompa ciepła solanka/woda - G12</t>
  </si>
  <si>
    <t>Pompa ciepła solanka/woda - G12w</t>
  </si>
  <si>
    <t>Pompa ciepła solanka/woda - G11</t>
  </si>
  <si>
    <t>Pompa ciepła powietrze/woda - G11</t>
  </si>
  <si>
    <t>Pompa ciepła powietrze/woda - G12</t>
  </si>
  <si>
    <t>Pompa ciepła powietrze/woda - G12w</t>
  </si>
  <si>
    <t>Energia elektryczna - G11</t>
  </si>
  <si>
    <t>Energia elektryczna - G12</t>
  </si>
  <si>
    <t>Energia elektryczna - G12w</t>
  </si>
  <si>
    <t>Gaz ziemny (E)</t>
  </si>
  <si>
    <t>Efektywność</t>
  </si>
  <si>
    <t>Gaz płynny (P)</t>
  </si>
  <si>
    <t>[ kWh / m.p.]</t>
  </si>
  <si>
    <t>Taryfa G11</t>
  </si>
  <si>
    <t>Taryfa G12</t>
  </si>
  <si>
    <t>Zużycie energii elektrycznej</t>
  </si>
  <si>
    <t>Taryfa G12w</t>
  </si>
  <si>
    <t>PanD, 2023</t>
  </si>
  <si>
    <t>Łączne szacowane zużycie energii</t>
  </si>
  <si>
    <t>Kocioł kondensacyjny, ƞ = 92%</t>
  </si>
  <si>
    <r>
      <t xml:space="preserve">Kocioł tradycyjny, </t>
    </r>
    <r>
      <rPr>
        <sz val="9"/>
        <color theme="1" tint="0.34998626667073579"/>
        <rFont val="Calibri"/>
        <family val="2"/>
        <charset val="238"/>
      </rPr>
      <t xml:space="preserve">ƞ </t>
    </r>
    <r>
      <rPr>
        <sz val="9"/>
        <color theme="1" tint="0.34998626667073579"/>
        <rFont val="Roboto Condensed"/>
        <charset val="238"/>
      </rPr>
      <t>= 86%</t>
    </r>
  </si>
  <si>
    <r>
      <t xml:space="preserve">Kocioł tradycyjny, </t>
    </r>
    <r>
      <rPr>
        <sz val="9"/>
        <color theme="1" tint="0.34998626667073579"/>
        <rFont val="Calibri"/>
        <family val="2"/>
        <charset val="238"/>
      </rPr>
      <t xml:space="preserve">ƞ </t>
    </r>
    <r>
      <rPr>
        <sz val="9"/>
        <color theme="1" tint="0.34998626667073579"/>
        <rFont val="Roboto Condensed"/>
        <charset val="238"/>
      </rPr>
      <t>= 83%</t>
    </r>
  </si>
  <si>
    <t>Kocioł kondensacyjny, ƞ = 90%</t>
  </si>
  <si>
    <t>Drewno - zgazowanie</t>
  </si>
  <si>
    <t>Drewno - pelet</t>
  </si>
  <si>
    <r>
      <t xml:space="preserve">Ogrzewanie bezpośrednie, </t>
    </r>
    <r>
      <rPr>
        <b/>
        <sz val="9"/>
        <color theme="1" tint="0.249977111117893"/>
        <rFont val="Calibri"/>
        <family val="2"/>
        <charset val="238"/>
      </rPr>
      <t>ƞ</t>
    </r>
    <r>
      <rPr>
        <b/>
        <sz val="9"/>
        <color theme="1" tint="0.249977111117893"/>
        <rFont val="Roboto Condensed"/>
        <charset val="238"/>
      </rPr>
      <t xml:space="preserve"> = 99%</t>
    </r>
  </si>
  <si>
    <t>1500 kg w cenie 2000 zł w 2023 ?</t>
  </si>
  <si>
    <t>Dodatek elektryczny w 2023 ?</t>
  </si>
  <si>
    <t>Pompa ciepła - powietrze/woda</t>
  </si>
  <si>
    <t>Pompa ciepła - solanka/woda</t>
  </si>
  <si>
    <t>Zestawienie kosztów ogrzewania budynku i przygotowania ciepłej wody użytkowej</t>
  </si>
  <si>
    <t>Gaz ziemny - kocioł tradycyjny</t>
  </si>
  <si>
    <t>Gaz ziemny - kocioł kondensacyjny</t>
  </si>
  <si>
    <t>Gaz płynny - kocioł tradycyjny</t>
  </si>
  <si>
    <t>Gaz płynny - kocioł kondensacyjny</t>
  </si>
  <si>
    <t>Olej opałowy - kocioł tradycyjny</t>
  </si>
  <si>
    <t>Olej opałowy - kocioł kondensacyjny</t>
  </si>
  <si>
    <t>Pompa ciepła solanka/woda G1j2</t>
  </si>
  <si>
    <t>Pompa ciepła solanka/woda G12w</t>
  </si>
  <si>
    <t>Pompa ciepła powietrze/woda G11</t>
  </si>
  <si>
    <t>Pompa ciepła powietrze/woda G1j2</t>
  </si>
  <si>
    <t>Pompa ciepła powietrze/woda G12w</t>
  </si>
  <si>
    <t>Energia elektryczna G11</t>
  </si>
  <si>
    <t>Energia elektryczna G12</t>
  </si>
  <si>
    <t>Energia elektryczna G12w</t>
  </si>
  <si>
    <t xml:space="preserve">Koszty jednostkowe energii cieplnej   [ zł / kWh ] </t>
  </si>
  <si>
    <t>cena powyżej 1500</t>
  </si>
  <si>
    <t>cena poniżej 1500</t>
  </si>
  <si>
    <t>Pelet      Zgazowanie</t>
  </si>
  <si>
    <t>[ kWh / kg ]</t>
  </si>
  <si>
    <t>SCOP na CO</t>
  </si>
  <si>
    <t>Ustawa z dnia 27 października 2022 r. o zakupie preferencyjnym paliwa stałego dla gospodarstw domowych</t>
  </si>
  <si>
    <t>Rozporządzenie Ministra Aktywów Państwowych z dnia 2 listopada 2022 r. w sprawie ilości paliwa stałego dostępnej dla jednego gospodarstwa domowego w ramach zakupu preferencyjnego.</t>
  </si>
  <si>
    <t>średnia arytmetyczna z 2022</t>
  </si>
  <si>
    <t>https://www.psgaz.pl/mapa-orcs-i-jakosc-gazu</t>
  </si>
  <si>
    <r>
      <t>Wsp. konwersji W</t>
    </r>
    <r>
      <rPr>
        <vertAlign val="subscript"/>
        <sz val="9"/>
        <color theme="1"/>
        <rFont val="Roboto Condensed"/>
        <charset val="238"/>
      </rPr>
      <t>k</t>
    </r>
  </si>
  <si>
    <r>
      <t xml:space="preserve">= S(SVn)*P(i) + S(ZVnm)*E(oim) + </t>
    </r>
    <r>
      <rPr>
        <sz val="9"/>
        <color theme="1"/>
        <rFont val="Calibri"/>
        <family val="2"/>
        <charset val="238"/>
      </rPr>
      <t>∑</t>
    </r>
    <r>
      <rPr>
        <sz val="7.2"/>
        <color theme="1"/>
        <rFont val="Roboto Condensed"/>
        <charset val="238"/>
      </rPr>
      <t xml:space="preserve"> [ </t>
    </r>
    <r>
      <rPr>
        <sz val="9"/>
        <color theme="1"/>
        <rFont val="Roboto Condensed"/>
        <charset val="238"/>
      </rPr>
      <t xml:space="preserve">S(oSJ)*E(ok) + S(op)*P(i) + O(a)*P(i) ] + S(OZE)*E(okOZE) + S(ok)*E(okOKG) + S(om)*E(om) </t>
    </r>
  </si>
  <si>
    <t>TAURON</t>
  </si>
  <si>
    <t>ENEA</t>
  </si>
  <si>
    <t>ENERGA</t>
  </si>
  <si>
    <t>PGE</t>
  </si>
  <si>
    <t>Refundacja podatku VAT ?</t>
  </si>
  <si>
    <t>Suma 5%</t>
  </si>
  <si>
    <t>Refundacja VAT</t>
  </si>
  <si>
    <t>Co byłoby gdyby nie zamrożenie cen?</t>
  </si>
  <si>
    <t>https://tge.pl/gaz-otf</t>
  </si>
  <si>
    <t>Cena energii na Towarowej Giełdzie Energii na 16.01.2023 wynosiła średnio</t>
  </si>
  <si>
    <t>PLN/MWh</t>
  </si>
  <si>
    <t>zamrożona</t>
  </si>
  <si>
    <t>Energia powyżej progu - G12w - DZIEŃ</t>
  </si>
  <si>
    <t>Energia powyżej progu - G12w - NOC</t>
  </si>
  <si>
    <t>Dystrybucja powyżej progu - G12w - DZIEŃ</t>
  </si>
  <si>
    <t>Dystrybucja powyżej progu - G12w - NOC</t>
  </si>
  <si>
    <t>Średnia cena (sprzedaż i dystrybucja) - G12w - DZIEŃ</t>
  </si>
  <si>
    <t>Średnia cena (sprzedaż i dystrybucja) - G12w - NOC</t>
  </si>
  <si>
    <t>Dodatek elektryczny to jednorazowe wsparcie finansowe dla odbiorców, dla których głównym źródłem ogrzewania jest energia elektryczna. Na mocy ustawy o szczególnych rozwiązaniach służących ochronie odbiorców energii elektrycznej w 2023 roku w związku z sytuacją na rynku energii elektrycznej (Dz. U. 2022 r. Poz. 2127).
1000 zł przy zużyciu ≤5000 kWh        1500 zł przy zużyciu &gt;5000 kWh</t>
  </si>
  <si>
    <t>Wnioski przyjmowane do 01.02.2023</t>
  </si>
  <si>
    <t>Uwaga! Dodatek NIE przysługuje między innymi gospodarstwom domowym posiadającym mikroinstalacje  PV</t>
  </si>
  <si>
    <t>Ustawa z dnia 15 grudnia 2022 r. o szczególnej ochronie niektórych odbiorców paliw gazowych w 2023r. w związku z sytuacją na rynku gazu, reguluje zasady i tryb refundacji kwoty odpowiadającej podatkowi VAT wynikającej z opłaconej faktury dokumentującej dostarczenie paliw gazowych od dnia 1 stycznia 2023 r. do dnia 31 grudnia 2023r. (Dz.U. 2022 poz. 2687)</t>
  </si>
  <si>
    <t>Instalacja solarna - powierzchnia</t>
  </si>
  <si>
    <t>m2</t>
  </si>
  <si>
    <t>Energia roczna uzyskana z 1 m2 kolektora (optymalnie)</t>
  </si>
  <si>
    <t>kWh/m2/rok</t>
  </si>
  <si>
    <t>Energia roczna uzyskana z instalacji (optymalnie)</t>
  </si>
  <si>
    <t>Instalacja solarna na potrzeby wspomagania przygotowania CWU</t>
  </si>
  <si>
    <t>Ilość ekwiwalentu gazu ziemnego</t>
  </si>
  <si>
    <t>Sprawność kotła</t>
  </si>
  <si>
    <t>bez solarów</t>
  </si>
  <si>
    <t>z solarami</t>
  </si>
  <si>
    <t>Oszczędność dzięki instalacji solarnej</t>
  </si>
  <si>
    <t>2 - 50</t>
  </si>
  <si>
    <t>60% zapotrzebowania</t>
  </si>
  <si>
    <t>wersja 09/05/23</t>
  </si>
  <si>
    <t>https://pl.globalpetrolprices.com/Poland/heating_oil_prices/</t>
  </si>
  <si>
    <t>[ litry ]</t>
  </si>
  <si>
    <t>Instalacja solarna ?</t>
  </si>
  <si>
    <t>Ceny paliw i energii aktualne na 05/2023</t>
  </si>
  <si>
    <t>Operator systemu dystrybucyjnego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</si>
</sst>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\ &quot;zł&quot;"/>
    <numFmt numFmtId="165" formatCode="0.000000"/>
    <numFmt numFmtId="166" formatCode="#,##0.00\ &quot;zł&quot;"/>
    <numFmt numFmtId="167" formatCode="0.0000"/>
    <numFmt numFmtId="168" formatCode="0.00000"/>
  </numFmts>
  <fonts count="8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0"/>
      <name val="Roboto Condensed"/>
      <charset val="238"/>
    </font>
    <font>
      <sz val="16"/>
      <color theme="0"/>
      <name val="Roboto Condensed"/>
      <charset val="238"/>
    </font>
    <font>
      <sz val="20"/>
      <color theme="0"/>
      <name val="Roboto Condensed"/>
      <charset val="238"/>
    </font>
    <font>
      <sz val="10"/>
      <color theme="1"/>
      <name val="Roboto Condensed"/>
      <charset val="238"/>
    </font>
    <font>
      <sz val="10"/>
      <color rgb="FFFF3C09"/>
      <name val="Roboto Condensed"/>
      <charset val="238"/>
    </font>
    <font>
      <sz val="11"/>
      <color theme="1"/>
      <name val="Roboto Condensed"/>
      <charset val="238"/>
    </font>
    <font>
      <sz val="11"/>
      <color theme="1" tint="0.34998626667073579"/>
      <name val="Roboto Condensed"/>
      <charset val="238"/>
    </font>
    <font>
      <i/>
      <sz val="10"/>
      <color theme="0" tint="-0.249977111117893"/>
      <name val="Roboto Condensed"/>
      <charset val="238"/>
    </font>
    <font>
      <b/>
      <sz val="11"/>
      <color theme="1" tint="0.34998626667073579"/>
      <name val="Roboto Condensed"/>
      <charset val="238"/>
    </font>
    <font>
      <vertAlign val="superscript"/>
      <sz val="11"/>
      <color theme="1" tint="0.34998626667073579"/>
      <name val="Roboto Condensed"/>
      <charset val="238"/>
    </font>
    <font>
      <sz val="11"/>
      <color theme="1" tint="0.34998626667073579"/>
      <name val="Calibri"/>
      <family val="2"/>
      <charset val="238"/>
    </font>
    <font>
      <sz val="11"/>
      <color rgb="FF585858"/>
      <name val="Roboto Condensed"/>
      <charset val="238"/>
    </font>
    <font>
      <b/>
      <sz val="14"/>
      <color rgb="FF585858"/>
      <name val="Roboto Condensed"/>
      <charset val="238"/>
    </font>
    <font>
      <b/>
      <sz val="11"/>
      <color rgb="FF585858"/>
      <name val="Roboto Condensed"/>
      <charset val="238"/>
    </font>
    <font>
      <b/>
      <sz val="9"/>
      <color rgb="FF585858"/>
      <name val="Roboto Condensed"/>
      <charset val="238"/>
    </font>
    <font>
      <sz val="9"/>
      <color rgb="FF585858"/>
      <name val="Roboto Condensed"/>
      <charset val="238"/>
    </font>
    <font>
      <vertAlign val="superscript"/>
      <sz val="9"/>
      <color rgb="FF585858"/>
      <name val="Roboto Condensed"/>
      <charset val="238"/>
    </font>
    <font>
      <b/>
      <vertAlign val="subscript"/>
      <sz val="9"/>
      <color rgb="FF585858"/>
      <name val="Roboto Condensed"/>
      <charset val="238"/>
    </font>
    <font>
      <sz val="11"/>
      <color theme="1" tint="0.249977111117893"/>
      <name val="Roboto Condensed"/>
      <charset val="238"/>
    </font>
    <font>
      <b/>
      <sz val="11"/>
      <color theme="1" tint="0.249977111117893"/>
      <name val="Roboto Condensed"/>
      <charset val="238"/>
    </font>
    <font>
      <sz val="11"/>
      <color theme="1" tint="0.249977111117893"/>
      <name val="Calibri"/>
      <family val="2"/>
      <charset val="238"/>
      <scheme val="minor"/>
    </font>
    <font>
      <b/>
      <sz val="11"/>
      <color theme="1"/>
      <name val="Roboto Condensed"/>
      <charset val="238"/>
    </font>
    <font>
      <sz val="8"/>
      <color theme="0" tint="-0.249977111117893"/>
      <name val="Roboto Condensed"/>
      <charset val="238"/>
    </font>
    <font>
      <sz val="11"/>
      <color rgb="FFEF4423"/>
      <name val="Calibri"/>
      <family val="2"/>
      <charset val="238"/>
      <scheme val="minor"/>
    </font>
    <font>
      <sz val="6"/>
      <color rgb="FF585858"/>
      <name val="Roboto Condensed"/>
      <charset val="238"/>
    </font>
    <font>
      <sz val="11"/>
      <color rgb="FFEF4423"/>
      <name val="Roboto Condensed"/>
      <charset val="238"/>
    </font>
    <font>
      <i/>
      <sz val="11"/>
      <color rgb="FF585858"/>
      <name val="Roboto Condensed"/>
      <charset val="238"/>
    </font>
    <font>
      <sz val="11"/>
      <color rgb="FFFF3C09"/>
      <name val="Calibri"/>
      <family val="2"/>
      <charset val="238"/>
      <scheme val="minor"/>
    </font>
    <font>
      <sz val="9"/>
      <color theme="0"/>
      <name val="Roboto Condensed"/>
      <charset val="238"/>
    </font>
    <font>
      <sz val="9"/>
      <color theme="1"/>
      <name val="Roboto Condensed"/>
      <charset val="238"/>
    </font>
    <font>
      <b/>
      <sz val="9"/>
      <color theme="1"/>
      <name val="Roboto Condensed"/>
      <charset val="238"/>
    </font>
    <font>
      <sz val="9"/>
      <name val="Roboto Condensed"/>
      <charset val="238"/>
    </font>
    <font>
      <sz val="9"/>
      <color theme="9"/>
      <name val="Roboto Condensed"/>
      <charset val="238"/>
    </font>
    <font>
      <i/>
      <sz val="9"/>
      <color theme="1"/>
      <name val="Roboto Condensed"/>
      <charset val="238"/>
    </font>
    <font>
      <b/>
      <sz val="9"/>
      <color theme="0"/>
      <name val="Roboto Condensed"/>
      <charset val="238"/>
    </font>
    <font>
      <sz val="11"/>
      <color theme="1"/>
      <name val="Calibri"/>
      <family val="2"/>
      <charset val="238"/>
    </font>
    <font>
      <i/>
      <sz val="9"/>
      <color theme="1" tint="0.499984740745262"/>
      <name val="Roboto Condensed Light"/>
      <charset val="238"/>
    </font>
    <font>
      <sz val="9"/>
      <color theme="0" tint="-0.249977111117893"/>
      <name val="Roboto Condensed"/>
      <charset val="238"/>
    </font>
    <font>
      <b/>
      <sz val="9"/>
      <color theme="0" tint="-0.249977111117893"/>
      <name val="Roboto Condensed"/>
      <charset val="238"/>
    </font>
    <font>
      <sz val="8"/>
      <color rgb="FF3C4043"/>
      <name val="Roboto"/>
      <charset val="238"/>
    </font>
    <font>
      <sz val="9"/>
      <color theme="1"/>
      <name val="Calibri"/>
      <family val="2"/>
      <charset val="238"/>
      <scheme val="minor"/>
    </font>
    <font>
      <sz val="9"/>
      <color theme="1" tint="0.249977111117893"/>
      <name val="Roboto Condensed"/>
      <charset val="238"/>
    </font>
    <font>
      <b/>
      <sz val="16"/>
      <color theme="1" tint="0.34998626667073579"/>
      <name val="Roboto Condensed"/>
      <charset val="238"/>
    </font>
    <font>
      <sz val="9"/>
      <color theme="1" tint="0.34998626667073579"/>
      <name val="Roboto Condensed"/>
      <charset val="238"/>
    </font>
    <font>
      <b/>
      <sz val="9"/>
      <color theme="1" tint="0.249977111117893"/>
      <name val="Roboto Condensed"/>
      <charset val="238"/>
    </font>
    <font>
      <b/>
      <sz val="9"/>
      <color rgb="FFFF3C09"/>
      <name val="Roboto Condensed"/>
      <charset val="238"/>
    </font>
    <font>
      <b/>
      <sz val="11"/>
      <color rgb="FFFF3C09"/>
      <name val="Roboto Condensed"/>
      <charset val="238"/>
    </font>
    <font>
      <i/>
      <sz val="9"/>
      <color rgb="FF585858"/>
      <name val="Roboto Condensed"/>
      <charset val="238"/>
    </font>
    <font>
      <i/>
      <sz val="9"/>
      <color theme="1" tint="0.34998626667073579"/>
      <name val="Roboto Condensed"/>
      <charset val="238"/>
    </font>
    <font>
      <sz val="9"/>
      <color theme="1" tint="0.34998626667073579"/>
      <name val="Calibri"/>
      <family val="2"/>
      <charset val="238"/>
    </font>
    <font>
      <b/>
      <sz val="9"/>
      <color theme="1" tint="0.249977111117893"/>
      <name val="Calibri"/>
      <family val="2"/>
      <charset val="238"/>
    </font>
    <font>
      <b/>
      <sz val="11"/>
      <color theme="0"/>
      <name val="Roboto Condensed"/>
      <charset val="238"/>
    </font>
    <font>
      <i/>
      <sz val="8"/>
      <color theme="1" tint="0.34998626667073579"/>
      <name val="Roboto Condensed"/>
      <charset val="238"/>
    </font>
    <font>
      <sz val="11"/>
      <color theme="1" tint="0.34998626667073579"/>
      <name val="Calibri"/>
      <family val="2"/>
      <charset val="238"/>
      <scheme val="minor"/>
    </font>
    <font>
      <b/>
      <sz val="16"/>
      <color theme="0"/>
      <name val="Roboto Condensed"/>
      <charset val="238"/>
    </font>
    <font>
      <sz val="8"/>
      <color rgb="FF585858"/>
      <name val="Roboto Condensed"/>
      <charset val="238"/>
    </font>
    <font>
      <u/>
      <sz val="11"/>
      <color theme="10"/>
      <name val="Calibri"/>
      <family val="2"/>
      <charset val="238"/>
      <scheme val="minor"/>
    </font>
    <font>
      <vertAlign val="subscript"/>
      <sz val="9"/>
      <color theme="1"/>
      <name val="Roboto Condensed"/>
      <charset val="238"/>
    </font>
    <font>
      <sz val="9"/>
      <color theme="1"/>
      <name val="Calibri"/>
      <family val="2"/>
      <charset val="238"/>
    </font>
    <font>
      <sz val="7.2"/>
      <color theme="1"/>
      <name val="Roboto Condensed"/>
      <charset val="238"/>
    </font>
    <font>
      <b/>
      <i/>
      <sz val="8"/>
      <color theme="1" tint="0.34998626667073579"/>
      <name val="Roboto Condensed"/>
      <charset val="238"/>
    </font>
    <font>
      <i/>
      <sz val="11"/>
      <color theme="1"/>
      <name val="Calibri"/>
      <family val="2"/>
      <charset val="238"/>
      <scheme val="minor"/>
    </font>
    <font>
      <u/>
      <sz val="9"/>
      <color theme="10"/>
      <name val="Roboto Condensed Light"/>
      <charset val="238"/>
    </font>
    <font>
      <b/>
      <sz val="9"/>
      <color theme="5"/>
      <name val="Roboto Condensed"/>
      <charset val="238"/>
    </font>
    <font>
      <sz val="9"/>
      <color theme="0" tint="-0.34998626667073579"/>
      <name val="Roboto Condensed"/>
      <charset val="238"/>
    </font>
    <font>
      <sz val="9"/>
      <color theme="7" tint="-0.249977111117893"/>
      <name val="Roboto Condensed"/>
      <charset val="238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1414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3C0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2A7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74" fillId="0" borderId="0" applyNumberFormat="0" applyFill="0" applyBorder="0" applyAlignment="0" applyProtection="0"/>
  </cellStyleXfs>
  <cellXfs count="349">
    <xf numFmtId="0" fontId="0" fillId="0" borderId="0" xfId="0"/>
    <xf numFmtId="0" fontId="0" fillId="33" borderId="0" xfId="0" applyFill="1" applyBorder="1"/>
    <xf numFmtId="0" fontId="0" fillId="33" borderId="0" xfId="0" applyFill="1"/>
    <xf numFmtId="0" fontId="0" fillId="33" borderId="11" xfId="0" applyFill="1" applyBorder="1"/>
    <xf numFmtId="0" fontId="0" fillId="0" borderId="0" xfId="0" applyBorder="1"/>
    <xf numFmtId="0" fontId="18" fillId="0" borderId="0" xfId="0" applyFont="1" applyFill="1"/>
    <xf numFmtId="0" fontId="23" fillId="0" borderId="0" xfId="0" applyFont="1" applyFill="1"/>
    <xf numFmtId="0" fontId="18" fillId="33" borderId="0" xfId="0" applyFont="1" applyFill="1"/>
    <xf numFmtId="0" fontId="18" fillId="35" borderId="0" xfId="0" applyFont="1" applyFill="1"/>
    <xf numFmtId="0" fontId="19" fillId="35" borderId="0" xfId="0" applyFont="1" applyFill="1"/>
    <xf numFmtId="0" fontId="18" fillId="34" borderId="0" xfId="0" applyFont="1" applyFill="1"/>
    <xf numFmtId="0" fontId="36" fillId="34" borderId="0" xfId="0" applyFont="1" applyFill="1"/>
    <xf numFmtId="0" fontId="36" fillId="33" borderId="0" xfId="0" applyFont="1" applyFill="1"/>
    <xf numFmtId="0" fontId="38" fillId="0" borderId="0" xfId="0" applyFont="1"/>
    <xf numFmtId="0" fontId="36" fillId="33" borderId="0" xfId="0" applyFont="1" applyFill="1" applyBorder="1"/>
    <xf numFmtId="0" fontId="41" fillId="0" borderId="0" xfId="0" applyFont="1"/>
    <xf numFmtId="0" fontId="41" fillId="33" borderId="0" xfId="0" applyFont="1" applyFill="1"/>
    <xf numFmtId="0" fontId="43" fillId="0" borderId="0" xfId="0" applyFont="1" applyFill="1"/>
    <xf numFmtId="0" fontId="18" fillId="33" borderId="0" xfId="0" applyFont="1" applyFill="1" applyBorder="1"/>
    <xf numFmtId="0" fontId="45" fillId="33" borderId="0" xfId="0" applyFont="1" applyFill="1"/>
    <xf numFmtId="0" fontId="18" fillId="35" borderId="0" xfId="0" applyFont="1" applyFill="1" applyAlignment="1">
      <alignment horizontal="center" vertical="center"/>
    </xf>
    <xf numFmtId="0" fontId="18" fillId="35" borderId="0" xfId="0" applyFont="1" applyFill="1" applyAlignment="1">
      <alignment horizontal="left" vertical="center"/>
    </xf>
    <xf numFmtId="0" fontId="47" fillId="0" borderId="0" xfId="0" applyFont="1"/>
    <xf numFmtId="0" fontId="47" fillId="0" borderId="0" xfId="0" applyFont="1" applyAlignment="1">
      <alignment horizontal="center"/>
    </xf>
    <xf numFmtId="9" fontId="47" fillId="0" borderId="0" xfId="0" applyNumberFormat="1" applyFont="1"/>
    <xf numFmtId="0" fontId="47" fillId="0" borderId="15" xfId="0" applyFont="1" applyBorder="1"/>
    <xf numFmtId="0" fontId="47" fillId="0" borderId="15" xfId="0" applyFont="1" applyBorder="1" applyAlignment="1">
      <alignment horizontal="center"/>
    </xf>
    <xf numFmtId="167" fontId="47" fillId="0" borderId="15" xfId="0" applyNumberFormat="1" applyFont="1" applyBorder="1" applyAlignment="1">
      <alignment horizontal="center"/>
    </xf>
    <xf numFmtId="0" fontId="47" fillId="37" borderId="0" xfId="0" applyFont="1" applyFill="1"/>
    <xf numFmtId="0" fontId="48" fillId="0" borderId="0" xfId="0" applyFont="1"/>
    <xf numFmtId="14" fontId="48" fillId="37" borderId="0" xfId="0" applyNumberFormat="1" applyFont="1" applyFill="1"/>
    <xf numFmtId="0" fontId="47" fillId="0" borderId="0" xfId="0" quotePrefix="1" applyFont="1"/>
    <xf numFmtId="0" fontId="47" fillId="37" borderId="15" xfId="0" applyFont="1" applyFill="1" applyBorder="1"/>
    <xf numFmtId="0" fontId="47" fillId="38" borderId="15" xfId="0" applyFont="1" applyFill="1" applyBorder="1"/>
    <xf numFmtId="0" fontId="47" fillId="38" borderId="15" xfId="0" applyFont="1" applyFill="1" applyBorder="1" applyAlignment="1">
      <alignment horizontal="center"/>
    </xf>
    <xf numFmtId="0" fontId="47" fillId="39" borderId="0" xfId="0" applyFont="1" applyFill="1"/>
    <xf numFmtId="166" fontId="47" fillId="0" borderId="0" xfId="0" applyNumberFormat="1" applyFont="1"/>
    <xf numFmtId="166" fontId="47" fillId="0" borderId="15" xfId="0" applyNumberFormat="1" applyFont="1" applyBorder="1"/>
    <xf numFmtId="9" fontId="47" fillId="38" borderId="15" xfId="0" applyNumberFormat="1" applyFont="1" applyFill="1" applyBorder="1"/>
    <xf numFmtId="0" fontId="47" fillId="34" borderId="15" xfId="0" applyFont="1" applyFill="1" applyBorder="1"/>
    <xf numFmtId="167" fontId="47" fillId="0" borderId="15" xfId="0" applyNumberFormat="1" applyFont="1" applyFill="1" applyBorder="1" applyAlignment="1">
      <alignment horizontal="center"/>
    </xf>
    <xf numFmtId="0" fontId="47" fillId="0" borderId="0" xfId="0" applyFont="1" applyFill="1"/>
    <xf numFmtId="167" fontId="47" fillId="0" borderId="15" xfId="0" applyNumberFormat="1" applyFont="1" applyFill="1" applyBorder="1"/>
    <xf numFmtId="0" fontId="47" fillId="0" borderId="15" xfId="0" applyFont="1" applyFill="1" applyBorder="1"/>
    <xf numFmtId="0" fontId="47" fillId="0" borderId="15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47" fillId="0" borderId="0" xfId="0" applyFont="1" applyFill="1" applyBorder="1"/>
    <xf numFmtId="9" fontId="47" fillId="0" borderId="0" xfId="0" applyNumberFormat="1" applyFont="1" applyFill="1" applyBorder="1" applyAlignment="1">
      <alignment horizontal="center"/>
    </xf>
    <xf numFmtId="0" fontId="47" fillId="36" borderId="0" xfId="0" applyFont="1" applyFill="1" applyAlignment="1">
      <alignment horizontal="center"/>
    </xf>
    <xf numFmtId="0" fontId="47" fillId="39" borderId="0" xfId="0" applyFont="1" applyFill="1" applyAlignment="1">
      <alignment horizontal="center"/>
    </xf>
    <xf numFmtId="0" fontId="47" fillId="39" borderId="0" xfId="0" applyFont="1" applyFill="1" applyAlignment="1">
      <alignment horizontal="left"/>
    </xf>
    <xf numFmtId="0" fontId="50" fillId="0" borderId="0" xfId="0" applyFont="1"/>
    <xf numFmtId="166" fontId="47" fillId="0" borderId="0" xfId="0" applyNumberFormat="1" applyFont="1" applyBorder="1"/>
    <xf numFmtId="9" fontId="47" fillId="0" borderId="0" xfId="0" applyNumberFormat="1" applyFont="1" applyFill="1" applyBorder="1"/>
    <xf numFmtId="166" fontId="47" fillId="0" borderId="0" xfId="0" applyNumberFormat="1" applyFont="1" applyFill="1" applyBorder="1"/>
    <xf numFmtId="0" fontId="51" fillId="0" borderId="0" xfId="0" applyFont="1"/>
    <xf numFmtId="0" fontId="47" fillId="34" borderId="0" xfId="0" applyFont="1" applyFill="1"/>
    <xf numFmtId="0" fontId="49" fillId="34" borderId="15" xfId="0" applyFont="1" applyFill="1" applyBorder="1"/>
    <xf numFmtId="0" fontId="47" fillId="37" borderId="15" xfId="0" applyFont="1" applyFill="1" applyBorder="1" applyAlignment="1">
      <alignment horizontal="center"/>
    </xf>
    <xf numFmtId="1" fontId="47" fillId="37" borderId="15" xfId="0" applyNumberFormat="1" applyFont="1" applyFill="1" applyBorder="1"/>
    <xf numFmtId="1" fontId="47" fillId="37" borderId="15" xfId="0" applyNumberFormat="1" applyFont="1" applyFill="1" applyBorder="1" applyAlignment="1">
      <alignment horizontal="center"/>
    </xf>
    <xf numFmtId="0" fontId="47" fillId="0" borderId="0" xfId="0" applyFont="1" applyBorder="1"/>
    <xf numFmtId="0" fontId="0" fillId="0" borderId="0" xfId="0" applyFont="1"/>
    <xf numFmtId="0" fontId="23" fillId="33" borderId="0" xfId="0" applyFont="1" applyFill="1"/>
    <xf numFmtId="0" fontId="23" fillId="0" borderId="0" xfId="0" applyFont="1" applyFill="1" applyAlignment="1">
      <alignment horizontal="center"/>
    </xf>
    <xf numFmtId="166" fontId="0" fillId="0" borderId="0" xfId="0" applyNumberFormat="1" applyFont="1"/>
    <xf numFmtId="164" fontId="0" fillId="0" borderId="0" xfId="0" applyNumberFormat="1" applyFont="1"/>
    <xf numFmtId="165" fontId="0" fillId="0" borderId="0" xfId="0" applyNumberFormat="1" applyFont="1" applyFill="1"/>
    <xf numFmtId="0" fontId="0" fillId="0" borderId="0" xfId="0" applyFont="1" applyFill="1"/>
    <xf numFmtId="165" fontId="53" fillId="0" borderId="0" xfId="0" applyNumberFormat="1" applyFont="1" applyFill="1"/>
    <xf numFmtId="0" fontId="24" fillId="33" borderId="0" xfId="0" applyFont="1" applyFill="1" applyBorder="1" applyAlignment="1">
      <alignment vertical="center"/>
    </xf>
    <xf numFmtId="0" fontId="24" fillId="33" borderId="12" xfId="0" applyFont="1" applyFill="1" applyBorder="1" applyAlignment="1">
      <alignment vertical="center"/>
    </xf>
    <xf numFmtId="0" fontId="24" fillId="33" borderId="13" xfId="0" applyFont="1" applyFill="1" applyBorder="1" applyAlignment="1">
      <alignment vertical="center"/>
    </xf>
    <xf numFmtId="0" fontId="24" fillId="33" borderId="0" xfId="0" applyFont="1" applyFill="1"/>
    <xf numFmtId="0" fontId="24" fillId="33" borderId="0" xfId="0" applyFont="1" applyFill="1" applyBorder="1" applyAlignment="1">
      <alignment horizontal="left" vertical="center"/>
    </xf>
    <xf numFmtId="0" fontId="29" fillId="33" borderId="0" xfId="0" applyFont="1" applyFill="1" applyBorder="1"/>
    <xf numFmtId="0" fontId="29" fillId="33" borderId="0" xfId="0" applyFont="1" applyFill="1"/>
    <xf numFmtId="0" fontId="32" fillId="33" borderId="0" xfId="0" applyFont="1" applyFill="1" applyBorder="1"/>
    <xf numFmtId="0" fontId="30" fillId="33" borderId="0" xfId="0" applyFont="1" applyFill="1" applyBorder="1" applyAlignment="1">
      <alignment vertical="center"/>
    </xf>
    <xf numFmtId="0" fontId="33" fillId="33" borderId="0" xfId="0" applyFont="1" applyFill="1"/>
    <xf numFmtId="0" fontId="24" fillId="33" borderId="12" xfId="0" applyFont="1" applyFill="1" applyBorder="1" applyAlignment="1">
      <alignment horizontal="left"/>
    </xf>
    <xf numFmtId="0" fontId="18" fillId="33" borderId="12" xfId="0" applyFont="1" applyFill="1" applyBorder="1" applyAlignment="1">
      <alignment horizontal="left"/>
    </xf>
    <xf numFmtId="0" fontId="32" fillId="33" borderId="0" xfId="0" applyFont="1" applyFill="1" applyBorder="1" applyAlignment="1">
      <alignment vertical="center"/>
    </xf>
    <xf numFmtId="0" fontId="24" fillId="33" borderId="0" xfId="0" applyFont="1" applyFill="1" applyBorder="1" applyAlignment="1">
      <alignment horizontal="left"/>
    </xf>
    <xf numFmtId="0" fontId="33" fillId="33" borderId="0" xfId="0" applyFont="1" applyFill="1" applyAlignment="1">
      <alignment horizontal="right"/>
    </xf>
    <xf numFmtId="0" fontId="26" fillId="33" borderId="12" xfId="0" applyFont="1" applyFill="1" applyBorder="1" applyAlignment="1">
      <alignment horizontal="left" vertical="center"/>
    </xf>
    <xf numFmtId="0" fontId="29" fillId="33" borderId="0" xfId="0" applyFont="1" applyFill="1" applyBorder="1" applyAlignment="1">
      <alignment vertical="center"/>
    </xf>
    <xf numFmtId="0" fontId="33" fillId="33" borderId="0" xfId="0" applyFont="1" applyFill="1" applyBorder="1" applyAlignment="1">
      <alignment vertical="center"/>
    </xf>
    <xf numFmtId="0" fontId="33" fillId="33" borderId="0" xfId="0" applyFont="1" applyFill="1" applyBorder="1"/>
    <xf numFmtId="0" fontId="46" fillId="33" borderId="0" xfId="0" applyFont="1" applyFill="1" applyBorder="1" applyAlignment="1">
      <alignment vertical="top" wrapText="1"/>
    </xf>
    <xf numFmtId="0" fontId="26" fillId="33" borderId="0" xfId="0" applyFont="1" applyFill="1" applyBorder="1" applyAlignment="1">
      <alignment vertical="center"/>
    </xf>
    <xf numFmtId="16" fontId="40" fillId="33" borderId="0" xfId="0" quotePrefix="1" applyNumberFormat="1" applyFont="1" applyFill="1" applyBorder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2" fillId="33" borderId="0" xfId="0" applyFont="1" applyFill="1" applyAlignment="1">
      <alignment vertical="center"/>
    </xf>
    <xf numFmtId="0" fontId="36" fillId="0" borderId="0" xfId="0" applyFont="1" applyBorder="1"/>
    <xf numFmtId="0" fontId="44" fillId="33" borderId="0" xfId="0" applyFont="1" applyFill="1" applyBorder="1" applyAlignment="1">
      <alignment wrapText="1"/>
    </xf>
    <xf numFmtId="0" fontId="29" fillId="33" borderId="0" xfId="0" applyFont="1" applyFill="1" applyBorder="1" applyAlignment="1">
      <alignment wrapText="1"/>
    </xf>
    <xf numFmtId="1" fontId="29" fillId="33" borderId="0" xfId="0" applyNumberFormat="1" applyFont="1" applyFill="1" applyBorder="1" applyProtection="1">
      <protection hidden="1"/>
    </xf>
    <xf numFmtId="0" fontId="24" fillId="33" borderId="11" xfId="0" applyFont="1" applyFill="1" applyBorder="1" applyAlignment="1">
      <alignment vertical="center"/>
    </xf>
    <xf numFmtId="0" fontId="29" fillId="33" borderId="11" xfId="0" applyFont="1" applyFill="1" applyBorder="1"/>
    <xf numFmtId="0" fontId="36" fillId="33" borderId="0" xfId="0" applyFont="1" applyFill="1" applyBorder="1" applyProtection="1">
      <protection hidden="1"/>
    </xf>
    <xf numFmtId="0" fontId="29" fillId="33" borderId="0" xfId="0" applyFont="1" applyFill="1" applyBorder="1" applyProtection="1">
      <protection hidden="1"/>
    </xf>
    <xf numFmtId="0" fontId="31" fillId="33" borderId="0" xfId="0" applyFont="1" applyFill="1" applyBorder="1" applyProtection="1">
      <protection hidden="1"/>
    </xf>
    <xf numFmtId="0" fontId="37" fillId="33" borderId="0" xfId="0" applyFont="1" applyFill="1" applyBorder="1" applyProtection="1">
      <protection hidden="1"/>
    </xf>
    <xf numFmtId="0" fontId="36" fillId="33" borderId="0" xfId="0" applyFont="1" applyFill="1" applyBorder="1" applyAlignment="1">
      <alignment vertical="center" wrapText="1"/>
    </xf>
    <xf numFmtId="0" fontId="36" fillId="33" borderId="11" xfId="0" applyFont="1" applyFill="1" applyBorder="1" applyAlignment="1">
      <alignment vertical="center" wrapText="1"/>
    </xf>
    <xf numFmtId="166" fontId="24" fillId="33" borderId="0" xfId="0" applyNumberFormat="1" applyFont="1" applyFill="1" applyBorder="1" applyAlignment="1" applyProtection="1">
      <alignment horizontal="right" vertical="center"/>
      <protection hidden="1"/>
    </xf>
    <xf numFmtId="0" fontId="29" fillId="33" borderId="0" xfId="0" applyFont="1" applyFill="1" applyAlignment="1" applyProtection="1">
      <alignment horizontal="right"/>
      <protection hidden="1"/>
    </xf>
    <xf numFmtId="0" fontId="24" fillId="33" borderId="11" xfId="0" applyFont="1" applyFill="1" applyBorder="1" applyAlignment="1">
      <alignment horizontal="left" vertical="center"/>
    </xf>
    <xf numFmtId="16" fontId="40" fillId="33" borderId="11" xfId="0" quotePrefix="1" applyNumberFormat="1" applyFont="1" applyFill="1" applyBorder="1" applyAlignment="1">
      <alignment horizontal="center" vertical="center"/>
    </xf>
    <xf numFmtId="0" fontId="26" fillId="33" borderId="11" xfId="0" applyFont="1" applyFill="1" applyBorder="1" applyAlignment="1">
      <alignment vertical="center"/>
    </xf>
    <xf numFmtId="0" fontId="24" fillId="33" borderId="10" xfId="0" applyFont="1" applyFill="1" applyBorder="1" applyAlignment="1">
      <alignment horizontal="left" vertical="center"/>
    </xf>
    <xf numFmtId="0" fontId="24" fillId="33" borderId="10" xfId="0" applyFont="1" applyFill="1" applyBorder="1" applyAlignment="1">
      <alignment vertical="center"/>
    </xf>
    <xf numFmtId="16" fontId="40" fillId="33" borderId="10" xfId="0" quotePrefix="1" applyNumberFormat="1" applyFont="1" applyFill="1" applyBorder="1" applyAlignment="1">
      <alignment horizontal="center" vertical="center"/>
    </xf>
    <xf numFmtId="0" fontId="26" fillId="33" borderId="10" xfId="0" applyFont="1" applyFill="1" applyBorder="1" applyAlignment="1">
      <alignment vertical="center"/>
    </xf>
    <xf numFmtId="0" fontId="18" fillId="33" borderId="10" xfId="0" applyFont="1" applyFill="1" applyBorder="1"/>
    <xf numFmtId="0" fontId="46" fillId="33" borderId="10" xfId="0" applyFont="1" applyFill="1" applyBorder="1" applyAlignment="1">
      <alignment vertical="top" wrapText="1"/>
    </xf>
    <xf numFmtId="0" fontId="46" fillId="33" borderId="11" xfId="0" applyFont="1" applyFill="1" applyBorder="1" applyAlignment="1">
      <alignment vertical="top" wrapText="1"/>
    </xf>
    <xf numFmtId="0" fontId="26" fillId="33" borderId="0" xfId="0" applyFont="1" applyFill="1" applyBorder="1" applyAlignment="1">
      <alignment horizontal="right" vertical="center"/>
    </xf>
    <xf numFmtId="0" fontId="18" fillId="33" borderId="0" xfId="0" applyFont="1" applyFill="1" applyAlignment="1">
      <alignment horizontal="right"/>
    </xf>
    <xf numFmtId="0" fontId="26" fillId="33" borderId="10" xfId="0" applyFont="1" applyFill="1" applyBorder="1" applyAlignment="1">
      <alignment horizontal="right" vertical="center"/>
    </xf>
    <xf numFmtId="0" fontId="29" fillId="33" borderId="10" xfId="0" applyFont="1" applyFill="1" applyBorder="1" applyAlignment="1">
      <alignment horizontal="right"/>
    </xf>
    <xf numFmtId="0" fontId="29" fillId="33" borderId="0" xfId="0" applyFont="1" applyFill="1" applyBorder="1" applyAlignment="1">
      <alignment horizontal="right"/>
    </xf>
    <xf numFmtId="0" fontId="39" fillId="33" borderId="0" xfId="0" applyFont="1" applyFill="1" applyBorder="1"/>
    <xf numFmtId="0" fontId="42" fillId="33" borderId="0" xfId="0" applyFont="1" applyFill="1" applyAlignment="1">
      <alignment horizontal="right" vertical="center"/>
    </xf>
    <xf numFmtId="0" fontId="42" fillId="33" borderId="0" xfId="0" applyFont="1" applyFill="1" applyAlignment="1">
      <alignment horizontal="left" vertical="center"/>
    </xf>
    <xf numFmtId="0" fontId="0" fillId="33" borderId="0" xfId="0" applyFont="1" applyFill="1"/>
    <xf numFmtId="0" fontId="23" fillId="33" borderId="0" xfId="0" applyFont="1" applyFill="1" applyAlignment="1" applyProtection="1">
      <protection hidden="1"/>
    </xf>
    <xf numFmtId="0" fontId="23" fillId="33" borderId="0" xfId="0" applyFont="1" applyFill="1" applyProtection="1">
      <protection hidden="1"/>
    </xf>
    <xf numFmtId="0" fontId="0" fillId="33" borderId="0" xfId="0" applyFont="1" applyFill="1" applyBorder="1"/>
    <xf numFmtId="0" fontId="51" fillId="33" borderId="0" xfId="0" applyFont="1" applyFill="1"/>
    <xf numFmtId="0" fontId="36" fillId="33" borderId="0" xfId="0" applyFont="1" applyFill="1" applyBorder="1" applyAlignment="1">
      <alignment vertical="center"/>
    </xf>
    <xf numFmtId="0" fontId="47" fillId="0" borderId="0" xfId="0" applyFont="1" applyBorder="1" applyAlignment="1">
      <alignment horizontal="center"/>
    </xf>
    <xf numFmtId="166" fontId="47" fillId="0" borderId="15" xfId="0" applyNumberFormat="1" applyFont="1" applyBorder="1" applyAlignment="1">
      <alignment horizontal="center"/>
    </xf>
    <xf numFmtId="166" fontId="47" fillId="0" borderId="15" xfId="0" applyNumberFormat="1" applyFont="1" applyFill="1" applyBorder="1" applyAlignment="1">
      <alignment horizontal="center"/>
    </xf>
    <xf numFmtId="0" fontId="47" fillId="38" borderId="15" xfId="0" applyFont="1" applyFill="1" applyBorder="1" applyAlignment="1">
      <alignment horizontal="left"/>
    </xf>
    <xf numFmtId="168" fontId="47" fillId="0" borderId="15" xfId="0" applyNumberFormat="1" applyFont="1" applyBorder="1" applyAlignment="1">
      <alignment horizontal="center"/>
    </xf>
    <xf numFmtId="0" fontId="47" fillId="38" borderId="18" xfId="0" applyFont="1" applyFill="1" applyBorder="1" applyAlignment="1">
      <alignment horizontal="center"/>
    </xf>
    <xf numFmtId="0" fontId="47" fillId="38" borderId="18" xfId="0" applyFont="1" applyFill="1" applyBorder="1" applyAlignment="1"/>
    <xf numFmtId="0" fontId="47" fillId="38" borderId="19" xfId="0" applyFont="1" applyFill="1" applyBorder="1" applyAlignment="1"/>
    <xf numFmtId="0" fontId="47" fillId="0" borderId="15" xfId="0" quotePrefix="1" applyFont="1" applyBorder="1" applyAlignment="1">
      <alignment horizontal="center"/>
    </xf>
    <xf numFmtId="9" fontId="47" fillId="38" borderId="15" xfId="0" applyNumberFormat="1" applyFont="1" applyFill="1" applyBorder="1" applyAlignment="1">
      <alignment horizontal="center"/>
    </xf>
    <xf numFmtId="168" fontId="47" fillId="0" borderId="15" xfId="0" applyNumberFormat="1" applyFont="1" applyFill="1" applyBorder="1" applyAlignment="1">
      <alignment horizontal="center"/>
    </xf>
    <xf numFmtId="1" fontId="47" fillId="39" borderId="0" xfId="0" applyNumberFormat="1" applyFont="1" applyFill="1" applyAlignment="1">
      <alignment horizontal="center"/>
    </xf>
    <xf numFmtId="2" fontId="47" fillId="0" borderId="0" xfId="0" applyNumberFormat="1" applyFont="1"/>
    <xf numFmtId="2" fontId="47" fillId="0" borderId="15" xfId="0" applyNumberFormat="1" applyFont="1" applyBorder="1"/>
    <xf numFmtId="0" fontId="47" fillId="34" borderId="15" xfId="0" applyFont="1" applyFill="1" applyBorder="1" applyAlignment="1">
      <alignment horizontal="center"/>
    </xf>
    <xf numFmtId="2" fontId="47" fillId="34" borderId="15" xfId="0" applyNumberFormat="1" applyFont="1" applyFill="1" applyBorder="1"/>
    <xf numFmtId="9" fontId="47" fillId="34" borderId="15" xfId="42" applyFont="1" applyFill="1" applyBorder="1" applyAlignment="1">
      <alignment horizontal="center"/>
    </xf>
    <xf numFmtId="2" fontId="47" fillId="34" borderId="0" xfId="0" applyNumberFormat="1" applyFont="1" applyFill="1"/>
    <xf numFmtId="0" fontId="55" fillId="34" borderId="15" xfId="0" applyFont="1" applyFill="1" applyBorder="1"/>
    <xf numFmtId="0" fontId="55" fillId="0" borderId="0" xfId="0" applyFont="1"/>
    <xf numFmtId="0" fontId="55" fillId="0" borderId="15" xfId="0" applyFont="1" applyBorder="1"/>
    <xf numFmtId="0" fontId="56" fillId="0" borderId="0" xfId="0" applyFont="1"/>
    <xf numFmtId="2" fontId="47" fillId="37" borderId="15" xfId="0" applyNumberFormat="1" applyFont="1" applyFill="1" applyBorder="1"/>
    <xf numFmtId="0" fontId="18" fillId="35" borderId="0" xfId="0" applyFont="1" applyFill="1" applyAlignment="1">
      <alignment vertical="center"/>
    </xf>
    <xf numFmtId="0" fontId="19" fillId="35" borderId="0" xfId="0" applyFont="1" applyFill="1" applyAlignment="1">
      <alignment vertical="center"/>
    </xf>
    <xf numFmtId="0" fontId="47" fillId="33" borderId="0" xfId="0" applyFont="1" applyFill="1" applyAlignment="1">
      <alignment vertical="top" wrapText="1"/>
    </xf>
    <xf numFmtId="0" fontId="0" fillId="33" borderId="0" xfId="0" applyFill="1" applyAlignment="1"/>
    <xf numFmtId="9" fontId="47" fillId="38" borderId="21" xfId="0" applyNumberFormat="1" applyFont="1" applyFill="1" applyBorder="1" applyAlignment="1">
      <alignment horizontal="center"/>
    </xf>
    <xf numFmtId="0" fontId="0" fillId="0" borderId="15" xfId="0" applyBorder="1"/>
    <xf numFmtId="9" fontId="47" fillId="0" borderId="15" xfId="42" applyFont="1" applyBorder="1"/>
    <xf numFmtId="1" fontId="47" fillId="0" borderId="15" xfId="0" applyNumberFormat="1" applyFont="1" applyBorder="1"/>
    <xf numFmtId="0" fontId="47" fillId="0" borderId="0" xfId="0" applyFont="1" applyBorder="1" applyAlignment="1">
      <alignment horizontal="left"/>
    </xf>
    <xf numFmtId="164" fontId="47" fillId="0" borderId="0" xfId="0" applyNumberFormat="1" applyFont="1" applyAlignment="1">
      <alignment horizontal="right"/>
    </xf>
    <xf numFmtId="0" fontId="58" fillId="33" borderId="0" xfId="0" applyFont="1" applyFill="1"/>
    <xf numFmtId="0" fontId="58" fillId="33" borderId="0" xfId="0" applyFont="1" applyFill="1" applyBorder="1"/>
    <xf numFmtId="0" fontId="54" fillId="33" borderId="0" xfId="0" quotePrefix="1" applyFont="1" applyFill="1" applyBorder="1"/>
    <xf numFmtId="0" fontId="18" fillId="34" borderId="0" xfId="0" applyFont="1" applyFill="1" applyBorder="1"/>
    <xf numFmtId="165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ont="1" applyBorder="1"/>
    <xf numFmtId="0" fontId="41" fillId="0" borderId="0" xfId="0" applyFont="1" applyBorder="1"/>
    <xf numFmtId="0" fontId="61" fillId="33" borderId="0" xfId="0" applyFont="1" applyFill="1" applyBorder="1" applyAlignment="1">
      <alignment vertical="center"/>
    </xf>
    <xf numFmtId="0" fontId="61" fillId="34" borderId="11" xfId="0" applyFont="1" applyFill="1" applyBorder="1" applyAlignment="1">
      <alignment horizontal="right" vertical="center"/>
    </xf>
    <xf numFmtId="0" fontId="61" fillId="33" borderId="0" xfId="0" applyFont="1" applyFill="1" applyBorder="1" applyAlignment="1">
      <alignment horizontal="left" vertical="center"/>
    </xf>
    <xf numFmtId="0" fontId="59" fillId="33" borderId="0" xfId="0" applyFont="1" applyFill="1"/>
    <xf numFmtId="165" fontId="0" fillId="33" borderId="0" xfId="0" applyNumberFormat="1" applyFont="1" applyFill="1"/>
    <xf numFmtId="0" fontId="60" fillId="33" borderId="0" xfId="0" applyFont="1" applyFill="1" applyBorder="1" applyAlignment="1">
      <alignment horizontal="left" vertical="center"/>
    </xf>
    <xf numFmtId="0" fontId="33" fillId="33" borderId="0" xfId="0" applyFont="1" applyFill="1" applyBorder="1" applyAlignment="1" applyProtection="1">
      <alignment horizontal="center"/>
      <protection hidden="1"/>
    </xf>
    <xf numFmtId="0" fontId="61" fillId="34" borderId="11" xfId="0" applyFont="1" applyFill="1" applyBorder="1" applyAlignment="1">
      <alignment horizontal="center" vertical="center"/>
    </xf>
    <xf numFmtId="1" fontId="33" fillId="33" borderId="0" xfId="0" applyNumberFormat="1" applyFont="1" applyFill="1" applyProtection="1">
      <protection hidden="1"/>
    </xf>
    <xf numFmtId="0" fontId="61" fillId="33" borderId="0" xfId="0" applyFont="1" applyFill="1" applyBorder="1" applyAlignment="1">
      <alignment horizontal="center" vertical="center"/>
    </xf>
    <xf numFmtId="0" fontId="62" fillId="33" borderId="0" xfId="0" applyFont="1" applyFill="1"/>
    <xf numFmtId="0" fontId="46" fillId="33" borderId="0" xfId="0" applyFont="1" applyFill="1"/>
    <xf numFmtId="0" fontId="62" fillId="33" borderId="0" xfId="0" applyFont="1" applyFill="1" applyAlignment="1">
      <alignment horizontal="center"/>
    </xf>
    <xf numFmtId="0" fontId="33" fillId="33" borderId="0" xfId="0" applyFont="1" applyFill="1" applyBorder="1" applyAlignment="1">
      <alignment horizontal="center"/>
    </xf>
    <xf numFmtId="0" fontId="0" fillId="41" borderId="0" xfId="0" applyFill="1"/>
    <xf numFmtId="0" fontId="24" fillId="41" borderId="0" xfId="0" applyFont="1" applyFill="1" applyBorder="1" applyAlignment="1">
      <alignment vertical="center"/>
    </xf>
    <xf numFmtId="0" fontId="0" fillId="41" borderId="0" xfId="0" applyFill="1" applyBorder="1"/>
    <xf numFmtId="0" fontId="54" fillId="41" borderId="0" xfId="0" quotePrefix="1" applyFont="1" applyFill="1" applyBorder="1"/>
    <xf numFmtId="1" fontId="64" fillId="33" borderId="0" xfId="0" applyNumberFormat="1" applyFont="1" applyFill="1" applyProtection="1">
      <protection hidden="1"/>
    </xf>
    <xf numFmtId="0" fontId="64" fillId="33" borderId="0" xfId="0" applyFont="1" applyFill="1" applyProtection="1">
      <protection hidden="1"/>
    </xf>
    <xf numFmtId="0" fontId="59" fillId="34" borderId="11" xfId="0" applyFont="1" applyFill="1" applyBorder="1" applyAlignment="1">
      <alignment horizontal="right"/>
    </xf>
    <xf numFmtId="0" fontId="59" fillId="34" borderId="11" xfId="0" applyFont="1" applyFill="1" applyBorder="1" applyAlignment="1">
      <alignment horizontal="center"/>
    </xf>
    <xf numFmtId="0" fontId="0" fillId="43" borderId="0" xfId="0" applyFill="1"/>
    <xf numFmtId="0" fontId="24" fillId="43" borderId="0" xfId="0" applyFont="1" applyFill="1" applyBorder="1" applyAlignment="1">
      <alignment vertical="center"/>
    </xf>
    <xf numFmtId="0" fontId="0" fillId="43" borderId="0" xfId="0" applyFill="1" applyBorder="1"/>
    <xf numFmtId="0" fontId="54" fillId="43" borderId="0" xfId="0" quotePrefix="1" applyFont="1" applyFill="1" applyBorder="1"/>
    <xf numFmtId="0" fontId="33" fillId="34" borderId="11" xfId="0" applyFont="1" applyFill="1" applyBorder="1" applyAlignment="1">
      <alignment horizontal="center"/>
    </xf>
    <xf numFmtId="0" fontId="59" fillId="33" borderId="0" xfId="0" applyFont="1" applyFill="1" applyBorder="1"/>
    <xf numFmtId="1" fontId="33" fillId="33" borderId="0" xfId="0" applyNumberFormat="1" applyFont="1" applyFill="1" applyBorder="1" applyProtection="1">
      <protection hidden="1"/>
    </xf>
    <xf numFmtId="1" fontId="64" fillId="33" borderId="0" xfId="0" applyNumberFormat="1" applyFont="1" applyFill="1" applyBorder="1" applyProtection="1">
      <protection hidden="1"/>
    </xf>
    <xf numFmtId="0" fontId="0" fillId="38" borderId="0" xfId="0" applyFill="1"/>
    <xf numFmtId="0" fontId="24" fillId="38" borderId="0" xfId="0" applyFont="1" applyFill="1" applyBorder="1" applyAlignment="1">
      <alignment vertical="center"/>
    </xf>
    <xf numFmtId="0" fontId="0" fillId="38" borderId="0" xfId="0" applyFill="1" applyBorder="1"/>
    <xf numFmtId="0" fontId="54" fillId="38" borderId="0" xfId="0" quotePrefix="1" applyFont="1" applyFill="1" applyBorder="1"/>
    <xf numFmtId="0" fontId="62" fillId="33" borderId="0" xfId="0" applyFont="1" applyFill="1" applyAlignment="1"/>
    <xf numFmtId="2" fontId="59" fillId="33" borderId="0" xfId="0" applyNumberFormat="1" applyFont="1" applyFill="1" applyBorder="1" applyProtection="1">
      <protection hidden="1"/>
    </xf>
    <xf numFmtId="2" fontId="59" fillId="33" borderId="0" xfId="0" applyNumberFormat="1" applyFont="1" applyFill="1" applyBorder="1" applyAlignment="1" applyProtection="1">
      <alignment horizontal="right"/>
      <protection hidden="1"/>
    </xf>
    <xf numFmtId="0" fontId="61" fillId="33" borderId="0" xfId="0" applyFont="1" applyFill="1" applyBorder="1" applyAlignment="1">
      <alignment horizontal="right" vertical="center"/>
    </xf>
    <xf numFmtId="0" fontId="33" fillId="33" borderId="0" xfId="0" applyFont="1" applyFill="1" applyBorder="1" applyAlignment="1">
      <alignment wrapText="1"/>
    </xf>
    <xf numFmtId="0" fontId="58" fillId="33" borderId="11" xfId="0" applyFont="1" applyFill="1" applyBorder="1"/>
    <xf numFmtId="0" fontId="65" fillId="33" borderId="0" xfId="0" applyFont="1" applyFill="1" applyBorder="1" applyAlignment="1">
      <alignment wrapText="1"/>
    </xf>
    <xf numFmtId="0" fontId="59" fillId="33" borderId="0" xfId="0" applyFont="1" applyFill="1" applyBorder="1" applyAlignment="1">
      <alignment vertical="center"/>
    </xf>
    <xf numFmtId="0" fontId="46" fillId="33" borderId="0" xfId="0" applyFont="1" applyFill="1" applyBorder="1" applyAlignment="1">
      <alignment horizontal="center" vertical="center"/>
    </xf>
    <xf numFmtId="0" fontId="59" fillId="33" borderId="0" xfId="0" applyFont="1" applyFill="1" applyBorder="1" applyAlignment="1">
      <alignment horizontal="center"/>
    </xf>
    <xf numFmtId="0" fontId="62" fillId="33" borderId="0" xfId="0" applyFont="1" applyFill="1" applyAlignment="1">
      <alignment horizontal="left"/>
    </xf>
    <xf numFmtId="0" fontId="66" fillId="33" borderId="0" xfId="0" applyFont="1" applyFill="1" applyAlignment="1">
      <alignment vertical="top"/>
    </xf>
    <xf numFmtId="0" fontId="57" fillId="33" borderId="0" xfId="0" applyFont="1" applyFill="1"/>
    <xf numFmtId="0" fontId="57" fillId="33" borderId="0" xfId="0" applyFont="1" applyFill="1" applyAlignment="1">
      <alignment vertical="center"/>
    </xf>
    <xf numFmtId="0" fontId="63" fillId="33" borderId="0" xfId="0" applyFont="1" applyFill="1" applyAlignment="1"/>
    <xf numFmtId="0" fontId="18" fillId="33" borderId="0" xfId="0" applyFont="1" applyFill="1" applyBorder="1" applyAlignment="1">
      <alignment vertical="center"/>
    </xf>
    <xf numFmtId="1" fontId="69" fillId="33" borderId="0" xfId="0" applyNumberFormat="1" applyFont="1" applyFill="1" applyBorder="1" applyProtection="1">
      <protection hidden="1"/>
    </xf>
    <xf numFmtId="0" fontId="69" fillId="33" borderId="0" xfId="0" applyFont="1" applyFill="1" applyProtection="1">
      <protection hidden="1"/>
    </xf>
    <xf numFmtId="165" fontId="14" fillId="33" borderId="0" xfId="0" applyNumberFormat="1" applyFont="1" applyFill="1"/>
    <xf numFmtId="0" fontId="70" fillId="33" borderId="0" xfId="0" applyFont="1" applyFill="1" applyBorder="1" applyAlignment="1">
      <alignment vertical="center" wrapText="1"/>
    </xf>
    <xf numFmtId="0" fontId="70" fillId="33" borderId="0" xfId="0" applyFont="1" applyFill="1" applyBorder="1" applyAlignment="1">
      <alignment horizontal="left" vertical="top"/>
    </xf>
    <xf numFmtId="0" fontId="70" fillId="33" borderId="0" xfId="0" applyFont="1" applyFill="1" applyAlignment="1">
      <alignment vertical="top"/>
    </xf>
    <xf numFmtId="166" fontId="47" fillId="0" borderId="0" xfId="0" applyNumberFormat="1" applyFont="1" applyAlignment="1">
      <alignment horizontal="right"/>
    </xf>
    <xf numFmtId="0" fontId="0" fillId="44" borderId="0" xfId="0" applyFont="1" applyFill="1"/>
    <xf numFmtId="0" fontId="0" fillId="42" borderId="0" xfId="0" applyFont="1" applyFill="1"/>
    <xf numFmtId="164" fontId="47" fillId="0" borderId="0" xfId="0" applyNumberFormat="1" applyFont="1" applyBorder="1" applyAlignment="1">
      <alignment horizontal="right"/>
    </xf>
    <xf numFmtId="1" fontId="18" fillId="33" borderId="0" xfId="0" applyNumberFormat="1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 vertical="center"/>
    </xf>
    <xf numFmtId="0" fontId="61" fillId="33" borderId="0" xfId="0" applyFont="1" applyFill="1"/>
    <xf numFmtId="0" fontId="71" fillId="33" borderId="0" xfId="0" applyFont="1" applyFill="1"/>
    <xf numFmtId="0" fontId="61" fillId="33" borderId="0" xfId="0" applyFont="1" applyFill="1" applyAlignment="1">
      <alignment horizontal="right"/>
    </xf>
    <xf numFmtId="165" fontId="17" fillId="0" borderId="0" xfId="0" applyNumberFormat="1" applyFont="1" applyFill="1"/>
    <xf numFmtId="0" fontId="17" fillId="0" borderId="0" xfId="0" applyFont="1" applyFill="1"/>
    <xf numFmtId="1" fontId="69" fillId="33" borderId="0" xfId="0" applyNumberFormat="1" applyFont="1" applyFill="1" applyProtection="1">
      <protection hidden="1"/>
    </xf>
    <xf numFmtId="0" fontId="0" fillId="45" borderId="0" xfId="0" applyFill="1"/>
    <xf numFmtId="0" fontId="0" fillId="45" borderId="0" xfId="0" applyFill="1" applyBorder="1"/>
    <xf numFmtId="0" fontId="24" fillId="45" borderId="0" xfId="0" applyFont="1" applyFill="1" applyBorder="1" applyAlignment="1">
      <alignment vertical="center"/>
    </xf>
    <xf numFmtId="0" fontId="54" fillId="45" borderId="0" xfId="0" quotePrefix="1" applyFont="1" applyFill="1" applyBorder="1"/>
    <xf numFmtId="0" fontId="18" fillId="33" borderId="0" xfId="0" applyFont="1" applyFill="1" applyBorder="1" applyAlignment="1" applyProtection="1">
      <alignment vertical="center"/>
      <protection locked="0" hidden="1"/>
    </xf>
    <xf numFmtId="0" fontId="18" fillId="33" borderId="0" xfId="0" applyFont="1" applyFill="1" applyBorder="1" applyProtection="1">
      <protection locked="0" hidden="1"/>
    </xf>
    <xf numFmtId="0" fontId="33" fillId="33" borderId="0" xfId="0" applyFont="1" applyFill="1" applyBorder="1" applyAlignment="1" applyProtection="1">
      <alignment horizontal="center"/>
    </xf>
    <xf numFmtId="0" fontId="72" fillId="38" borderId="0" xfId="0" applyFont="1" applyFill="1" applyBorder="1" applyAlignment="1">
      <alignment vertical="center"/>
    </xf>
    <xf numFmtId="0" fontId="0" fillId="46" borderId="0" xfId="0" applyFill="1"/>
    <xf numFmtId="0" fontId="0" fillId="46" borderId="0" xfId="0" applyFill="1" applyBorder="1"/>
    <xf numFmtId="0" fontId="24" fillId="46" borderId="0" xfId="0" applyFont="1" applyFill="1" applyBorder="1" applyAlignment="1">
      <alignment vertical="center"/>
    </xf>
    <xf numFmtId="0" fontId="54" fillId="46" borderId="0" xfId="0" quotePrefix="1" applyFont="1" applyFill="1" applyBorder="1"/>
    <xf numFmtId="0" fontId="0" fillId="47" borderId="0" xfId="0" applyFill="1"/>
    <xf numFmtId="0" fontId="0" fillId="47" borderId="0" xfId="0" applyFill="1" applyBorder="1"/>
    <xf numFmtId="0" fontId="24" fillId="47" borderId="0" xfId="0" applyFont="1" applyFill="1" applyBorder="1" applyAlignment="1">
      <alignment vertical="center"/>
    </xf>
    <xf numFmtId="0" fontId="54" fillId="47" borderId="0" xfId="0" quotePrefix="1" applyFont="1" applyFill="1" applyBorder="1"/>
    <xf numFmtId="0" fontId="0" fillId="48" borderId="0" xfId="0" applyFill="1"/>
    <xf numFmtId="0" fontId="0" fillId="48" borderId="0" xfId="0" applyFill="1" applyBorder="1"/>
    <xf numFmtId="0" fontId="24" fillId="48" borderId="0" xfId="0" applyFont="1" applyFill="1" applyBorder="1" applyAlignment="1">
      <alignment vertical="center"/>
    </xf>
    <xf numFmtId="0" fontId="54" fillId="48" borderId="0" xfId="0" quotePrefix="1" applyFont="1" applyFill="1" applyBorder="1"/>
    <xf numFmtId="0" fontId="70" fillId="33" borderId="0" xfId="0" applyFont="1" applyFill="1" applyBorder="1" applyAlignment="1">
      <alignment horizontal="left" vertical="top" wrapText="1"/>
    </xf>
    <xf numFmtId="0" fontId="47" fillId="0" borderId="15" xfId="0" applyFont="1" applyBorder="1" applyAlignment="1">
      <alignment horizontal="center"/>
    </xf>
    <xf numFmtId="2" fontId="73" fillId="33" borderId="0" xfId="0" applyNumberFormat="1" applyFont="1" applyFill="1" applyBorder="1" applyAlignment="1">
      <alignment horizontal="center"/>
    </xf>
    <xf numFmtId="0" fontId="73" fillId="33" borderId="0" xfId="0" applyFont="1" applyFill="1" applyBorder="1" applyAlignment="1">
      <alignment horizontal="left"/>
    </xf>
    <xf numFmtId="0" fontId="70" fillId="33" borderId="0" xfId="0" applyFont="1" applyFill="1" applyBorder="1" applyAlignment="1">
      <alignment vertical="top"/>
    </xf>
    <xf numFmtId="0" fontId="70" fillId="33" borderId="0" xfId="0" applyFont="1" applyFill="1" applyBorder="1" applyAlignment="1">
      <alignment horizontal="left" vertical="center"/>
    </xf>
    <xf numFmtId="0" fontId="63" fillId="33" borderId="0" xfId="0" applyFont="1" applyFill="1" applyAlignment="1">
      <alignment vertical="top"/>
    </xf>
    <xf numFmtId="0" fontId="74" fillId="0" borderId="0" xfId="43"/>
    <xf numFmtId="0" fontId="47" fillId="38" borderId="15" xfId="0" applyFont="1" applyFill="1" applyBorder="1" applyAlignment="1">
      <alignment horizontal="center" wrapText="1"/>
    </xf>
    <xf numFmtId="0" fontId="62" fillId="34" borderId="11" xfId="0" applyFont="1" applyFill="1" applyBorder="1" applyAlignment="1" applyProtection="1">
      <alignment horizontal="center"/>
      <protection locked="0" hidden="1"/>
    </xf>
    <xf numFmtId="0" fontId="59" fillId="34" borderId="11" xfId="0" applyFont="1" applyFill="1" applyBorder="1" applyAlignment="1">
      <alignment horizontal="center" vertical="center"/>
    </xf>
    <xf numFmtId="9" fontId="47" fillId="38" borderId="15" xfId="0" applyNumberFormat="1" applyFont="1" applyFill="1" applyBorder="1" applyAlignment="1">
      <alignment horizontal="left"/>
    </xf>
    <xf numFmtId="0" fontId="78" fillId="33" borderId="0" xfId="0" applyFont="1" applyFill="1" applyAlignment="1">
      <alignment vertical="top"/>
    </xf>
    <xf numFmtId="0" fontId="0" fillId="37" borderId="0" xfId="0" applyFill="1"/>
    <xf numFmtId="0" fontId="16" fillId="37" borderId="0" xfId="0" applyFont="1" applyFill="1"/>
    <xf numFmtId="0" fontId="16" fillId="0" borderId="0" xfId="0" applyFont="1"/>
    <xf numFmtId="0" fontId="79" fillId="0" borderId="0" xfId="0" applyFont="1"/>
    <xf numFmtId="168" fontId="79" fillId="0" borderId="0" xfId="0" applyNumberFormat="1" applyFont="1"/>
    <xf numFmtId="9" fontId="0" fillId="0" borderId="0" xfId="42" applyFont="1"/>
    <xf numFmtId="0" fontId="80" fillId="0" borderId="0" xfId="43" applyFont="1"/>
    <xf numFmtId="0" fontId="47" fillId="0" borderId="15" xfId="0" applyFont="1" applyBorder="1" applyAlignment="1">
      <alignment horizontal="center"/>
    </xf>
    <xf numFmtId="9" fontId="82" fillId="38" borderId="15" xfId="0" applyNumberFormat="1" applyFont="1" applyFill="1" applyBorder="1" applyAlignment="1">
      <alignment horizontal="center"/>
    </xf>
    <xf numFmtId="166" fontId="82" fillId="0" borderId="15" xfId="0" applyNumberFormat="1" applyFont="1" applyBorder="1" applyAlignment="1">
      <alignment horizontal="center"/>
    </xf>
    <xf numFmtId="0" fontId="81" fillId="33" borderId="0" xfId="0" applyFont="1" applyFill="1" applyAlignment="1">
      <alignment horizontal="center"/>
    </xf>
    <xf numFmtId="0" fontId="61" fillId="33" borderId="0" xfId="0" applyFont="1" applyFill="1" applyAlignment="1">
      <alignment horizontal="center"/>
    </xf>
    <xf numFmtId="1" fontId="18" fillId="33" borderId="0" xfId="0" applyNumberFormat="1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 vertical="center"/>
    </xf>
    <xf numFmtId="0" fontId="72" fillId="45" borderId="0" xfId="0" applyFont="1" applyFill="1" applyBorder="1" applyAlignment="1">
      <alignment horizontal="center" vertical="center"/>
    </xf>
    <xf numFmtId="0" fontId="70" fillId="33" borderId="0" xfId="0" applyFont="1" applyFill="1" applyAlignment="1">
      <alignment horizontal="left" vertical="top" wrapText="1"/>
    </xf>
    <xf numFmtId="0" fontId="62" fillId="33" borderId="0" xfId="0" applyFont="1" applyFill="1" applyAlignment="1">
      <alignment horizontal="center"/>
    </xf>
    <xf numFmtId="0" fontId="63" fillId="33" borderId="0" xfId="0" applyFont="1" applyFill="1" applyAlignment="1">
      <alignment horizontal="center"/>
    </xf>
    <xf numFmtId="0" fontId="18" fillId="35" borderId="0" xfId="0" applyFont="1" applyFill="1" applyAlignment="1">
      <alignment horizontal="center" vertical="center"/>
    </xf>
    <xf numFmtId="0" fontId="63" fillId="33" borderId="0" xfId="0" applyFont="1" applyFill="1" applyAlignment="1">
      <alignment horizontal="left" vertical="center"/>
    </xf>
    <xf numFmtId="0" fontId="29" fillId="33" borderId="0" xfId="0" applyFont="1" applyFill="1" applyAlignment="1" applyProtection="1">
      <alignment horizontal="right"/>
      <protection hidden="1"/>
    </xf>
    <xf numFmtId="1" fontId="29" fillId="33" borderId="0" xfId="0" applyNumberFormat="1" applyFont="1" applyFill="1" applyAlignment="1" applyProtection="1">
      <alignment horizontal="right"/>
      <protection hidden="1"/>
    </xf>
    <xf numFmtId="1" fontId="29" fillId="33" borderId="0" xfId="0" applyNumberFormat="1" applyFont="1" applyFill="1" applyBorder="1" applyAlignment="1" applyProtection="1">
      <alignment horizontal="right"/>
      <protection hidden="1"/>
    </xf>
    <xf numFmtId="0" fontId="59" fillId="33" borderId="0" xfId="0" applyFont="1" applyFill="1" applyBorder="1" applyAlignment="1">
      <alignment horizontal="right" vertical="center"/>
    </xf>
    <xf numFmtId="0" fontId="70" fillId="33" borderId="0" xfId="0" applyFont="1" applyFill="1" applyBorder="1" applyAlignment="1">
      <alignment horizontal="left" vertical="top" wrapText="1"/>
    </xf>
    <xf numFmtId="0" fontId="70" fillId="33" borderId="0" xfId="0" quotePrefix="1" applyFont="1" applyFill="1" applyBorder="1" applyAlignment="1">
      <alignment horizontal="left" vertical="top" wrapText="1"/>
    </xf>
    <xf numFmtId="0" fontId="60" fillId="33" borderId="0" xfId="0" applyFont="1" applyFill="1" applyBorder="1" applyAlignment="1">
      <alignment horizontal="left" vertical="center"/>
    </xf>
    <xf numFmtId="0" fontId="62" fillId="33" borderId="0" xfId="0" applyFont="1" applyFill="1" applyBorder="1" applyAlignment="1">
      <alignment horizontal="left"/>
    </xf>
    <xf numFmtId="0" fontId="62" fillId="33" borderId="0" xfId="0" applyFont="1" applyFill="1" applyAlignment="1">
      <alignment horizontal="left"/>
    </xf>
    <xf numFmtId="0" fontId="72" fillId="43" borderId="0" xfId="0" applyFont="1" applyFill="1" applyBorder="1" applyAlignment="1">
      <alignment horizontal="center" vertical="center"/>
    </xf>
    <xf numFmtId="0" fontId="72" fillId="47" borderId="0" xfId="0" applyFont="1" applyFill="1" applyBorder="1" applyAlignment="1">
      <alignment horizontal="center" vertical="center"/>
    </xf>
    <xf numFmtId="16" fontId="40" fillId="33" borderId="14" xfId="0" quotePrefix="1" applyNumberFormat="1" applyFont="1" applyFill="1" applyBorder="1" applyAlignment="1">
      <alignment horizontal="center" vertical="center"/>
    </xf>
    <xf numFmtId="0" fontId="24" fillId="33" borderId="13" xfId="0" applyFont="1" applyFill="1" applyBorder="1" applyAlignment="1">
      <alignment horizontal="left" vertical="center"/>
    </xf>
    <xf numFmtId="0" fontId="24" fillId="33" borderId="0" xfId="0" applyFont="1" applyFill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6" fillId="34" borderId="11" xfId="0" applyFont="1" applyFill="1" applyBorder="1" applyAlignment="1">
      <alignment horizontal="center" vertical="center"/>
    </xf>
    <xf numFmtId="0" fontId="24" fillId="33" borderId="0" xfId="0" quotePrefix="1" applyFont="1" applyFill="1" applyAlignment="1">
      <alignment horizontal="center" vertical="center"/>
    </xf>
    <xf numFmtId="0" fontId="31" fillId="34" borderId="11" xfId="0" applyFont="1" applyFill="1" applyBorder="1" applyAlignment="1">
      <alignment horizontal="center" vertical="center"/>
    </xf>
    <xf numFmtId="16" fontId="40" fillId="33" borderId="10" xfId="0" quotePrefix="1" applyNumberFormat="1" applyFont="1" applyFill="1" applyBorder="1" applyAlignment="1">
      <alignment horizontal="center" vertical="center"/>
    </xf>
    <xf numFmtId="0" fontId="18" fillId="35" borderId="0" xfId="0" applyFont="1" applyFill="1" applyAlignment="1">
      <alignment horizontal="left" vertical="center"/>
    </xf>
    <xf numFmtId="0" fontId="72" fillId="41" borderId="0" xfId="0" applyFont="1" applyFill="1" applyBorder="1" applyAlignment="1">
      <alignment horizontal="center" vertical="center"/>
    </xf>
    <xf numFmtId="0" fontId="72" fillId="38" borderId="0" xfId="0" applyFont="1" applyFill="1" applyBorder="1" applyAlignment="1">
      <alignment horizontal="right" vertical="center"/>
    </xf>
    <xf numFmtId="0" fontId="72" fillId="48" borderId="0" xfId="0" applyFont="1" applyFill="1" applyBorder="1" applyAlignment="1">
      <alignment horizontal="center" vertical="center"/>
    </xf>
    <xf numFmtId="15" fontId="21" fillId="33" borderId="0" xfId="0" quotePrefix="1" applyNumberFormat="1" applyFont="1" applyFill="1" applyAlignment="1">
      <alignment horizontal="right" vertical="center"/>
    </xf>
    <xf numFmtId="15" fontId="21" fillId="33" borderId="0" xfId="0" quotePrefix="1" applyNumberFormat="1" applyFont="1" applyFill="1" applyAlignment="1">
      <alignment horizontal="left" vertical="center"/>
    </xf>
    <xf numFmtId="0" fontId="22" fillId="33" borderId="0" xfId="0" applyFont="1" applyFill="1" applyAlignment="1">
      <alignment horizontal="center" vertical="center"/>
    </xf>
    <xf numFmtId="0" fontId="20" fillId="35" borderId="0" xfId="0" applyFont="1" applyFill="1" applyAlignment="1">
      <alignment horizontal="left" vertical="top"/>
    </xf>
    <xf numFmtId="0" fontId="25" fillId="35" borderId="0" xfId="0" applyFont="1" applyFill="1" applyAlignment="1">
      <alignment horizontal="left" vertical="center"/>
    </xf>
    <xf numFmtId="0" fontId="25" fillId="35" borderId="12" xfId="0" applyFont="1" applyFill="1" applyBorder="1" applyAlignment="1">
      <alignment horizontal="left" vertical="center"/>
    </xf>
    <xf numFmtId="0" fontId="24" fillId="33" borderId="0" xfId="0" applyFont="1" applyFill="1" applyBorder="1" applyAlignment="1">
      <alignment horizontal="center" vertical="center"/>
    </xf>
    <xf numFmtId="0" fontId="40" fillId="33" borderId="14" xfId="0" applyFont="1" applyFill="1" applyBorder="1" applyAlignment="1">
      <alignment horizontal="center" vertical="center"/>
    </xf>
    <xf numFmtId="0" fontId="72" fillId="38" borderId="0" xfId="0" applyFont="1" applyFill="1" applyBorder="1" applyAlignment="1">
      <alignment horizontal="center" vertical="center"/>
    </xf>
    <xf numFmtId="0" fontId="72" fillId="46" borderId="0" xfId="0" applyFont="1" applyFill="1" applyBorder="1" applyAlignment="1">
      <alignment horizontal="center" vertical="center"/>
    </xf>
    <xf numFmtId="9" fontId="47" fillId="0" borderId="21" xfId="0" applyNumberFormat="1" applyFont="1" applyBorder="1" applyAlignment="1">
      <alignment horizontal="center" vertical="center"/>
    </xf>
    <xf numFmtId="9" fontId="47" fillId="0" borderId="16" xfId="0" applyNumberFormat="1" applyFont="1" applyBorder="1" applyAlignment="1">
      <alignment horizontal="center" vertical="center"/>
    </xf>
    <xf numFmtId="9" fontId="47" fillId="0" borderId="17" xfId="0" applyNumberFormat="1" applyFont="1" applyBorder="1" applyAlignment="1">
      <alignment horizontal="center" vertical="center"/>
    </xf>
    <xf numFmtId="9" fontId="47" fillId="34" borderId="21" xfId="0" applyNumberFormat="1" applyFont="1" applyFill="1" applyBorder="1" applyAlignment="1">
      <alignment horizontal="center" vertical="center"/>
    </xf>
    <xf numFmtId="9" fontId="47" fillId="34" borderId="16" xfId="0" applyNumberFormat="1" applyFont="1" applyFill="1" applyBorder="1" applyAlignment="1">
      <alignment horizontal="center" vertical="center"/>
    </xf>
    <xf numFmtId="9" fontId="47" fillId="34" borderId="17" xfId="0" applyNumberFormat="1" applyFont="1" applyFill="1" applyBorder="1" applyAlignment="1">
      <alignment horizontal="center" vertical="center"/>
    </xf>
    <xf numFmtId="0" fontId="52" fillId="40" borderId="0" xfId="0" applyFont="1" applyFill="1" applyAlignment="1">
      <alignment horizontal="center"/>
    </xf>
    <xf numFmtId="0" fontId="47" fillId="34" borderId="18" xfId="0" applyFont="1" applyFill="1" applyBorder="1" applyAlignment="1">
      <alignment horizontal="center"/>
    </xf>
    <xf numFmtId="0" fontId="47" fillId="34" borderId="20" xfId="0" applyFont="1" applyFill="1" applyBorder="1" applyAlignment="1">
      <alignment horizontal="center"/>
    </xf>
    <xf numFmtId="0" fontId="47" fillId="34" borderId="19" xfId="0" applyFont="1" applyFill="1" applyBorder="1" applyAlignment="1">
      <alignment horizontal="center"/>
    </xf>
    <xf numFmtId="0" fontId="47" fillId="0" borderId="18" xfId="0" applyFont="1" applyBorder="1" applyAlignment="1">
      <alignment horizontal="center"/>
    </xf>
    <xf numFmtId="0" fontId="47" fillId="0" borderId="20" xfId="0" applyFont="1" applyBorder="1" applyAlignment="1">
      <alignment horizontal="center"/>
    </xf>
    <xf numFmtId="0" fontId="47" fillId="0" borderId="19" xfId="0" applyFont="1" applyBorder="1" applyAlignment="1">
      <alignment horizontal="center"/>
    </xf>
    <xf numFmtId="0" fontId="47" fillId="0" borderId="15" xfId="0" applyFont="1" applyBorder="1" applyAlignment="1">
      <alignment horizontal="center"/>
    </xf>
    <xf numFmtId="0" fontId="48" fillId="38" borderId="15" xfId="0" applyFont="1" applyFill="1" applyBorder="1" applyAlignment="1">
      <alignment horizontal="center"/>
    </xf>
    <xf numFmtId="0" fontId="47" fillId="39" borderId="0" xfId="0" applyFont="1" applyFill="1" applyAlignment="1">
      <alignment horizontal="center"/>
    </xf>
    <xf numFmtId="0" fontId="47" fillId="38" borderId="18" xfId="0" applyFont="1" applyFill="1" applyBorder="1" applyAlignment="1">
      <alignment horizontal="center"/>
    </xf>
    <xf numFmtId="0" fontId="47" fillId="38" borderId="19" xfId="0" applyFont="1" applyFill="1" applyBorder="1" applyAlignment="1">
      <alignment horizontal="center"/>
    </xf>
    <xf numFmtId="2" fontId="59" fillId="33" borderId="0" xfId="0" applyNumberFormat="1" applyFont="1" applyFill="1" applyBorder="1" applyProtection="1">
      <protection locked="0" hidden="1"/>
    </xf>
    <xf numFmtId="2" fontId="59" fillId="33" borderId="0" xfId="0" applyNumberFormat="1" applyFont="1" applyFill="1" applyBorder="1" applyAlignment="1" applyProtection="1">
      <alignment horizontal="right"/>
      <protection locked="0" hidden="1"/>
    </xf>
    <xf numFmtId="0" fontId="83" fillId="33" borderId="0" xfId="0" applyFont="1" applyFill="1" applyAlignment="1">
      <alignment horizontal="center" vertical="top" wrapText="1"/>
    </xf>
    <xf numFmtId="0" fontId="83" fillId="33" borderId="0" xfId="0" applyFont="1" applyFill="1" applyAlignment="1">
      <alignment horizontal="center" vertical="center"/>
    </xf>
  </cellXfs>
  <cellStyles count="44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Hiperłącze" xfId="43" builtinId="8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Procentowy" xfId="42" builtinId="5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colors>
    <mruColors>
      <color rgb="FFFF3C09"/>
      <color rgb="FFE2A700"/>
      <color rgb="FFA4CE4A"/>
      <color rgb="FFEF4423"/>
      <color rgb="FF585858"/>
      <color rgb="FF1EA654"/>
      <color rgb="FF3FB651"/>
      <color rgb="FF414141"/>
      <color rgb="FFEE4423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7"/>
          <c:order val="0"/>
          <c:tx>
            <c:v>Koszt energii cieplnej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Condensed" panose="02000000000000000000" pitchFamily="2" charset="0"/>
                    <a:ea typeface="Roboto Condensed" panose="02000000000000000000" pitchFamily="2" charset="0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EE!$AE$10:$AE$27</c:f>
              <c:strCache>
                <c:ptCount val="18"/>
                <c:pt idx="0">
                  <c:v>Gaz ziemny, kocioł kondensacyjny</c:v>
                </c:pt>
                <c:pt idx="1">
                  <c:v>Pompa ciepła solanka/woda - G12w</c:v>
                </c:pt>
                <c:pt idx="2">
                  <c:v>Pompa ciepła solanka/woda - G12</c:v>
                </c:pt>
                <c:pt idx="3">
                  <c:v>Gaz ziemny, kocioł tradycyjny</c:v>
                </c:pt>
                <c:pt idx="4">
                  <c:v>Pompa ciepła solanka/woda - G11</c:v>
                </c:pt>
                <c:pt idx="5">
                  <c:v>Pompa ciepła powietrze/woda - G12w</c:v>
                </c:pt>
                <c:pt idx="6">
                  <c:v>Pompa ciepła powietrze/woda - G12</c:v>
                </c:pt>
                <c:pt idx="7">
                  <c:v>Pompa ciepła powietrze/woda - G11</c:v>
                </c:pt>
                <c:pt idx="8">
                  <c:v>Kocioł na pelet</c:v>
                </c:pt>
                <c:pt idx="9">
                  <c:v>Kocioł na zgazowanie drewna</c:v>
                </c:pt>
                <c:pt idx="10">
                  <c:v>Kocioł na granulat węglowy</c:v>
                </c:pt>
                <c:pt idx="11">
                  <c:v>Gaz płynny, kocioł kondensacyjny</c:v>
                </c:pt>
                <c:pt idx="12">
                  <c:v>Olej opałowy, kocioł kondensacyjny</c:v>
                </c:pt>
                <c:pt idx="13">
                  <c:v>Gaz płynny, kocioł tradycyjny</c:v>
                </c:pt>
                <c:pt idx="14">
                  <c:v>Olej opałowy, kocioł tradycyjny</c:v>
                </c:pt>
                <c:pt idx="15">
                  <c:v>Energia elektryczna - G12w</c:v>
                </c:pt>
                <c:pt idx="16">
                  <c:v>Energia elektryczna - G12</c:v>
                </c:pt>
                <c:pt idx="17">
                  <c:v>Energia elektryczna - G11</c:v>
                </c:pt>
              </c:strCache>
            </c:strRef>
          </c:cat>
          <c:val>
            <c:numRef>
              <c:f>EE!$AD$10:$AD$27</c:f>
              <c:numCache>
                <c:formatCode>#\ ##0.00\ "zł"</c:formatCode>
                <c:ptCount val="18"/>
                <c:pt idx="0">
                  <c:v>0.289831974917309</c:v>
                </c:pt>
                <c:pt idx="1">
                  <c:v>0.29432491841526276</c:v>
                </c:pt>
                <c:pt idx="2">
                  <c:v>0.30513509374787451</c:v>
                </c:pt>
                <c:pt idx="3">
                  <c:v>0.3094100157007123</c:v>
                </c:pt>
                <c:pt idx="4">
                  <c:v>0.32738501974930362</c:v>
                </c:pt>
                <c:pt idx="5">
                  <c:v>0.33282796102519618</c:v>
                </c:pt>
                <c:pt idx="6">
                  <c:v>0.33863753703403071</c:v>
                </c:pt>
                <c:pt idx="7">
                  <c:v>0.35935354088462662</c:v>
                </c:pt>
                <c:pt idx="8">
                  <c:v>0.37488184100224403</c:v>
                </c:pt>
                <c:pt idx="9">
                  <c:v>0.39473684210526311</c:v>
                </c:pt>
                <c:pt idx="10">
                  <c:v>0.39980952380952378</c:v>
                </c:pt>
                <c:pt idx="11">
                  <c:v>0.45669143445297045</c:v>
                </c:pt>
                <c:pt idx="12">
                  <c:v>0.48230417062223396</c:v>
                </c:pt>
                <c:pt idx="13">
                  <c:v>0.48855362755434045</c:v>
                </c:pt>
                <c:pt idx="14">
                  <c:v>0.52298042597591632</c:v>
                </c:pt>
                <c:pt idx="15">
                  <c:v>1.1256490148315785</c:v>
                </c:pt>
                <c:pt idx="16">
                  <c:v>1.1690126511952146</c:v>
                </c:pt>
                <c:pt idx="17">
                  <c:v>1.2635277725438749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4-4EFB-9F19-52776B7D3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axId val="531487752"/>
        <c:axId val="531481848"/>
      </c:barChart>
      <c:catAx>
        <c:axId val="531487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Condensed" panose="02000000000000000000" pitchFamily="2" charset="0"/>
                <a:ea typeface="Roboto Condensed" panose="02000000000000000000" pitchFamily="2" charset="0"/>
                <a:cs typeface="+mn-cs"/>
              </a:defRPr>
            </a:pPr>
            <a:endParaRPr lang="en-US"/>
          </a:p>
        </c:txPr>
        <c:crossAx val="531481848"/>
        <c:crosses val="autoZero"/>
        <c:auto val="1"/>
        <c:lblAlgn val="ctr"/>
        <c:lblOffset val="100"/>
        <c:noMultiLvlLbl val="0"/>
      </c:catAx>
      <c:valAx>
        <c:axId val="531481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Condensed" panose="02000000000000000000" pitchFamily="2" charset="0"/>
                <a:ea typeface="Roboto Condensed" panose="02000000000000000000" pitchFamily="2" charset="0"/>
                <a:cs typeface="+mn-cs"/>
              </a:defRPr>
            </a:pPr>
            <a:endParaRPr lang="en-US"/>
          </a:p>
        </c:txPr>
        <c:crossAx val="53148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Roboto Condensed" panose="02000000000000000000" pitchFamily="2" charset="0"/>
          <a:ea typeface="Roboto Condensed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53235586930944E-2"/>
          <c:y val="0.13607442909566142"/>
          <c:w val="0.91594216671191964"/>
          <c:h val="0.804898487314904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751-44AA-BB1F-D1466AD7028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51-44AA-BB1F-D1466AD7028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51-44AA-BB1F-D1466AD7028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51-44AA-BB1F-D1466AD7028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751-44AA-BB1F-D1466AD7028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51-44AA-BB1F-D1466AD7028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751-44AA-BB1F-D1466AD7028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51-44AA-BB1F-D1466AD7028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51-44AA-BB1F-D1466AD7028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51-44AA-BB1F-D1466AD7028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51-44AA-BB1F-D1466AD7028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51-44AA-BB1F-D1466AD7028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751-44AA-BB1F-D1466AD7028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51-44AA-BB1F-D1466AD7028E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8751-44AA-BB1F-D1466AD7028E}"/>
              </c:ext>
            </c:extLst>
          </c:dPt>
          <c:dPt>
            <c:idx val="16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751-44AA-BB1F-D1466AD7028E}"/>
              </c:ext>
            </c:extLst>
          </c:dPt>
          <c:dPt>
            <c:idx val="17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751-44AA-BB1F-D1466AD7028E}"/>
              </c:ext>
            </c:extLst>
          </c:dPt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Roboto Condensed" panose="02000000000000000000" pitchFamily="2" charset="0"/>
                    <a:ea typeface="Roboto Condensed" panose="02000000000000000000" pitchFamily="2" charset="0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EE!$S$10:$S$27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G1j2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G1j2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EE!$R$10:$R$27</c:f>
              <c:numCache>
                <c:formatCode>#\ ##0\ "zł"</c:formatCode>
                <c:ptCount val="18"/>
                <c:pt idx="0">
                  <c:v>4228.1490117045869</c:v>
                </c:pt>
                <c:pt idx="1">
                  <c:v>3960.6112152890705</c:v>
                </c:pt>
                <c:pt idx="2">
                  <c:v>6676.181870940708</c:v>
                </c:pt>
                <c:pt idx="3">
                  <c:v>6240.7787054445753</c:v>
                </c:pt>
                <c:pt idx="4">
                  <c:v>7146.6308749675809</c:v>
                </c:pt>
                <c:pt idx="5">
                  <c:v>6590.7818069145469</c:v>
                </c:pt>
                <c:pt idx="6">
                  <c:v>5122.8344433194934</c:v>
                </c:pt>
                <c:pt idx="7">
                  <c:v>5394.1569572368417</c:v>
                </c:pt>
                <c:pt idx="8">
                  <c:v>5463.4761552142854</c:v>
                </c:pt>
                <c:pt idx="9">
                  <c:v>4473.780994338762</c:v>
                </c:pt>
                <c:pt idx="10">
                  <c:v>4169.7313583876075</c:v>
                </c:pt>
                <c:pt idx="11">
                  <c:v>4022.0081761065676</c:v>
                </c:pt>
                <c:pt idx="12">
                  <c:v>4910.6371534319405</c:v>
                </c:pt>
                <c:pt idx="13">
                  <c:v>4627.5488668132866</c:v>
                </c:pt>
                <c:pt idx="14">
                  <c:v>4548.1598625351035</c:v>
                </c:pt>
                <c:pt idx="15">
                  <c:v>17266.356716488102</c:v>
                </c:pt>
                <c:pt idx="16">
                  <c:v>15974.788904707801</c:v>
                </c:pt>
                <c:pt idx="17">
                  <c:v>15382.216244060077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1-44AA-BB1F-D1466AD7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overlap val="-27"/>
        <c:axId val="526756656"/>
        <c:axId val="526754688"/>
      </c:barChart>
      <c:catAx>
        <c:axId val="5267566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6754688"/>
        <c:crosses val="autoZero"/>
        <c:auto val="1"/>
        <c:lblAlgn val="ctr"/>
        <c:lblOffset val="100"/>
        <c:noMultiLvlLbl val="0"/>
      </c:catAx>
      <c:valAx>
        <c:axId val="52675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Condensed" panose="02000000000000000000" pitchFamily="2" charset="0"/>
                <a:ea typeface="Roboto Condensed" panose="02000000000000000000" pitchFamily="2" charset="0"/>
                <a:cs typeface="+mn-cs"/>
              </a:defRPr>
            </a:pPr>
            <a:endParaRPr lang="en-US"/>
          </a:p>
        </c:txPr>
        <c:crossAx val="52675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Roboto Condensed" panose="02000000000000000000" pitchFamily="2" charset="0"/>
          <a:ea typeface="Roboto Condensed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53235586930944E-2"/>
          <c:y val="0.13607442909566142"/>
          <c:w val="0.91594216671191964"/>
          <c:h val="0.586378559019237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Condensed" panose="02000000000000000000" pitchFamily="2" charset="0"/>
                    <a:ea typeface="Roboto Condensed" panose="02000000000000000000" pitchFamily="2" charset="0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EE!$S$10:$S$27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G1j2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G1j2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EE!$R$10:$R$27</c:f>
              <c:numCache>
                <c:formatCode>#\ ##0\ "zł"</c:formatCode>
                <c:ptCount val="18"/>
                <c:pt idx="0">
                  <c:v>4228.1490117045869</c:v>
                </c:pt>
                <c:pt idx="1">
                  <c:v>3960.6112152890705</c:v>
                </c:pt>
                <c:pt idx="2">
                  <c:v>6676.181870940708</c:v>
                </c:pt>
                <c:pt idx="3">
                  <c:v>6240.7787054445753</c:v>
                </c:pt>
                <c:pt idx="4">
                  <c:v>7146.6308749675809</c:v>
                </c:pt>
                <c:pt idx="5">
                  <c:v>6590.7818069145469</c:v>
                </c:pt>
                <c:pt idx="6">
                  <c:v>5122.8344433194934</c:v>
                </c:pt>
                <c:pt idx="7">
                  <c:v>5394.1569572368417</c:v>
                </c:pt>
                <c:pt idx="8">
                  <c:v>5463.4761552142854</c:v>
                </c:pt>
                <c:pt idx="9">
                  <c:v>4473.780994338762</c:v>
                </c:pt>
                <c:pt idx="10">
                  <c:v>4169.7313583876075</c:v>
                </c:pt>
                <c:pt idx="11">
                  <c:v>4022.0081761065676</c:v>
                </c:pt>
                <c:pt idx="12">
                  <c:v>4910.6371534319405</c:v>
                </c:pt>
                <c:pt idx="13">
                  <c:v>4627.5488668132866</c:v>
                </c:pt>
                <c:pt idx="14">
                  <c:v>4548.1598625351035</c:v>
                </c:pt>
                <c:pt idx="15">
                  <c:v>17266.356716488102</c:v>
                </c:pt>
                <c:pt idx="16">
                  <c:v>15974.788904707801</c:v>
                </c:pt>
                <c:pt idx="17">
                  <c:v>15382.216244060077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4-48C1-A35A-728C8FA9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756656"/>
        <c:axId val="526754688"/>
      </c:barChart>
      <c:catAx>
        <c:axId val="52675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754688"/>
        <c:crosses val="autoZero"/>
        <c:auto val="1"/>
        <c:lblAlgn val="ctr"/>
        <c:lblOffset val="100"/>
        <c:noMultiLvlLbl val="0"/>
      </c:catAx>
      <c:valAx>
        <c:axId val="52675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75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7"/>
          <c:order val="0"/>
          <c:tx>
            <c:v>Koszt energii cieplnej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Condensed" panose="02000000000000000000" pitchFamily="2" charset="0"/>
                    <a:ea typeface="Roboto Condensed" panose="02000000000000000000" pitchFamily="2" charset="0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EE!$AE$10:$AE$27</c:f>
              <c:strCache>
                <c:ptCount val="18"/>
                <c:pt idx="0">
                  <c:v>Gaz ziemny, kocioł kondensacyjny</c:v>
                </c:pt>
                <c:pt idx="1">
                  <c:v>Pompa ciepła solanka/woda - G12w</c:v>
                </c:pt>
                <c:pt idx="2">
                  <c:v>Pompa ciepła solanka/woda - G12</c:v>
                </c:pt>
                <c:pt idx="3">
                  <c:v>Gaz ziemny, kocioł tradycyjny</c:v>
                </c:pt>
                <c:pt idx="4">
                  <c:v>Pompa ciepła solanka/woda - G11</c:v>
                </c:pt>
                <c:pt idx="5">
                  <c:v>Pompa ciepła powietrze/woda - G12w</c:v>
                </c:pt>
                <c:pt idx="6">
                  <c:v>Pompa ciepła powietrze/woda - G12</c:v>
                </c:pt>
                <c:pt idx="7">
                  <c:v>Pompa ciepła powietrze/woda - G11</c:v>
                </c:pt>
                <c:pt idx="8">
                  <c:v>Kocioł na pelet</c:v>
                </c:pt>
                <c:pt idx="9">
                  <c:v>Kocioł na zgazowanie drewna</c:v>
                </c:pt>
                <c:pt idx="10">
                  <c:v>Kocioł na granulat węglowy</c:v>
                </c:pt>
                <c:pt idx="11">
                  <c:v>Gaz płynny, kocioł kondensacyjny</c:v>
                </c:pt>
                <c:pt idx="12">
                  <c:v>Olej opałowy, kocioł kondensacyjny</c:v>
                </c:pt>
                <c:pt idx="13">
                  <c:v>Gaz płynny, kocioł tradycyjny</c:v>
                </c:pt>
                <c:pt idx="14">
                  <c:v>Olej opałowy, kocioł tradycyjny</c:v>
                </c:pt>
                <c:pt idx="15">
                  <c:v>Energia elektryczna - G12w</c:v>
                </c:pt>
                <c:pt idx="16">
                  <c:v>Energia elektryczna - G12</c:v>
                </c:pt>
                <c:pt idx="17">
                  <c:v>Energia elektryczna - G11</c:v>
                </c:pt>
              </c:strCache>
            </c:strRef>
          </c:cat>
          <c:val>
            <c:numRef>
              <c:f>EE!$AD$10:$AD$27</c:f>
              <c:numCache>
                <c:formatCode>#\ ##0.00\ "zł"</c:formatCode>
                <c:ptCount val="18"/>
                <c:pt idx="0">
                  <c:v>0.289831974917309</c:v>
                </c:pt>
                <c:pt idx="1">
                  <c:v>0.29432491841526276</c:v>
                </c:pt>
                <c:pt idx="2">
                  <c:v>0.30513509374787451</c:v>
                </c:pt>
                <c:pt idx="3">
                  <c:v>0.3094100157007123</c:v>
                </c:pt>
                <c:pt idx="4">
                  <c:v>0.32738501974930362</c:v>
                </c:pt>
                <c:pt idx="5">
                  <c:v>0.33282796102519618</c:v>
                </c:pt>
                <c:pt idx="6">
                  <c:v>0.33863753703403071</c:v>
                </c:pt>
                <c:pt idx="7">
                  <c:v>0.35935354088462662</c:v>
                </c:pt>
                <c:pt idx="8">
                  <c:v>0.37488184100224403</c:v>
                </c:pt>
                <c:pt idx="9">
                  <c:v>0.39473684210526311</c:v>
                </c:pt>
                <c:pt idx="10">
                  <c:v>0.39980952380952378</c:v>
                </c:pt>
                <c:pt idx="11">
                  <c:v>0.45669143445297045</c:v>
                </c:pt>
                <c:pt idx="12">
                  <c:v>0.48230417062223396</c:v>
                </c:pt>
                <c:pt idx="13">
                  <c:v>0.48855362755434045</c:v>
                </c:pt>
                <c:pt idx="14">
                  <c:v>0.52298042597591632</c:v>
                </c:pt>
                <c:pt idx="15">
                  <c:v>1.1256490148315785</c:v>
                </c:pt>
                <c:pt idx="16">
                  <c:v>1.1690126511952146</c:v>
                </c:pt>
                <c:pt idx="17">
                  <c:v>1.2635277725438749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103-4741-80CE-A6A8FDA0C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axId val="531487752"/>
        <c:axId val="531481848"/>
      </c:barChart>
      <c:catAx>
        <c:axId val="531487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Condensed" panose="02000000000000000000" pitchFamily="2" charset="0"/>
                <a:ea typeface="Roboto Condensed" panose="02000000000000000000" pitchFamily="2" charset="0"/>
                <a:cs typeface="+mn-cs"/>
              </a:defRPr>
            </a:pPr>
            <a:endParaRPr lang="en-US"/>
          </a:p>
        </c:txPr>
        <c:crossAx val="531481848"/>
        <c:crosses val="autoZero"/>
        <c:auto val="1"/>
        <c:lblAlgn val="ctr"/>
        <c:lblOffset val="100"/>
        <c:noMultiLvlLbl val="0"/>
      </c:catAx>
      <c:valAx>
        <c:axId val="531481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Condensed" panose="02000000000000000000" pitchFamily="2" charset="0"/>
                <a:ea typeface="Roboto Condensed" panose="02000000000000000000" pitchFamily="2" charset="0"/>
                <a:cs typeface="+mn-cs"/>
              </a:defRPr>
            </a:pPr>
            <a:endParaRPr lang="en-US"/>
          </a:p>
        </c:txPr>
        <c:crossAx val="53148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Roboto Condensed" panose="02000000000000000000" pitchFamily="2" charset="0"/>
          <a:ea typeface="Roboto Condensed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fmlaLink="$U$76" lockText="1" noThreeD="1"/>
</file>

<file path=xl/ctrlProps/ctrlProp2.xml><?xml version="1.0" encoding="utf-8"?>
<formControlPr xmlns="http://schemas.microsoft.com/office/spreadsheetml/2009/9/main" objectType="CheckBox" fmlaLink="$K$105" lockText="1" noThreeD="1"/>
</file>

<file path=xl/ctrlProps/ctrlProp3.xml><?xml version="1.0" encoding="utf-8"?>
<formControlPr xmlns="http://schemas.microsoft.com/office/spreadsheetml/2009/9/main" objectType="CheckBox" fmlaLink="$U$89" lockText="1" noThreeD="1"/>
</file>

<file path=xl/ctrlProps/ctrlProp4.xml><?xml version="1.0" encoding="utf-8"?>
<formControlPr xmlns="http://schemas.microsoft.com/office/spreadsheetml/2009/9/main" objectType="CheckBox" fmlaLink="$K$89" lockText="1" noThreeD="1"/>
</file>

<file path=xl/ctrlProps/ctrlProp5.xml><?xml version="1.0" encoding="utf-8"?>
<formControlPr xmlns="http://schemas.microsoft.com/office/spreadsheetml/2009/9/main" objectType="CheckBox" fmlaLink="$K$44" lockText="1" noThreeD="1"/>
</file>

<file path=xl/ctrlProps/ctrlProp6.xml><?xml version="1.0" encoding="utf-8"?>
<formControlPr xmlns="http://schemas.microsoft.com/office/spreadsheetml/2009/9/main" objectType="CheckBox" checked="Checked" fmlaLink="$K$42" lockText="1" noThreeD="1"/>
</file>

<file path=xl/ctrlProps/ctrlProp7.xml><?xml version="1.0" encoding="utf-8"?>
<formControlPr xmlns="http://schemas.microsoft.com/office/spreadsheetml/2009/9/main" objectType="CheckBox" checked="Checked" fmlaLink="$U$42" lockText="1" noThreeD="1"/>
</file>

<file path=xl/ctrlProps/ctrlProp8.xml><?xml version="1.0" encoding="utf-8"?>
<formControlPr xmlns="http://schemas.microsoft.com/office/spreadsheetml/2009/9/main" objectType="CheckBox" checked="Checked" fmlaLink="$K$58" lockText="1" noThreeD="1"/>
</file>

<file path=xl/ctrlProps/ctrlProp9.xml><?xml version="1.0" encoding="utf-8"?>
<formControlPr xmlns="http://schemas.microsoft.com/office/spreadsheetml/2009/9/main" objectType="CheckBox" checked="Checked" fmlaLink="$U$58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4.png"/><Relationship Id="rId39" Type="http://schemas.openxmlformats.org/officeDocument/2006/relationships/hyperlink" Target="https://www.gov.pl/web/klimat/juz-mozna-skladac-wnioski-o-dodatek-elektryczny" TargetMode="External"/><Relationship Id="rId3" Type="http://schemas.openxmlformats.org/officeDocument/2006/relationships/image" Target="../media/image3.sv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42" Type="http://schemas.openxmlformats.org/officeDocument/2006/relationships/hyperlink" Target="https://samorzad.pap.pl/sites/default/files/2022-11/Rozp.%20ws.%20ilo%C5%9Bci%20paliwa%20sta%C5%82ego%20dost%C4%99pnej%20dla%20jednego%20gospodarstwa%20domowego%20w%20ramach%20zakupu%20preferencyjnego.pdf" TargetMode="External"/><Relationship Id="rId7" Type="http://schemas.openxmlformats.org/officeDocument/2006/relationships/image" Target="../media/image7.png"/><Relationship Id="rId12" Type="http://schemas.openxmlformats.org/officeDocument/2006/relationships/image" Target="../media/image12.svg"/><Relationship Id="rId17" Type="http://schemas.openxmlformats.org/officeDocument/2006/relationships/image" Target="../media/image17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38" Type="http://schemas.openxmlformats.org/officeDocument/2006/relationships/image" Target="../media/image35.sv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chart" Target="../charts/chart2.xml"/><Relationship Id="rId29" Type="http://schemas.openxmlformats.org/officeDocument/2006/relationships/image" Target="../media/image27.png"/><Relationship Id="rId41" Type="http://schemas.openxmlformats.org/officeDocument/2006/relationships/image" Target="../media/image37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37" Type="http://schemas.openxmlformats.org/officeDocument/2006/relationships/image" Target="../media/image34.png"/><Relationship Id="rId40" Type="http://schemas.openxmlformats.org/officeDocument/2006/relationships/image" Target="../media/image36.png"/><Relationship Id="rId45" Type="http://schemas.openxmlformats.org/officeDocument/2006/relationships/image" Target="../media/image3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openxmlformats.org/officeDocument/2006/relationships/hyperlink" Target="https://samorzad.pap.pl/sites/default/files/2022-11/Ustawa%20o%20zakupie%20preferencyjnym%20paliwa%20sta%C5%82ego%20dla%20gospodarstw%20domowych.pdf" TargetMode="External"/><Relationship Id="rId10" Type="http://schemas.openxmlformats.org/officeDocument/2006/relationships/image" Target="../media/image10.png"/><Relationship Id="rId19" Type="http://schemas.openxmlformats.org/officeDocument/2006/relationships/chart" Target="../charts/chart1.xml"/><Relationship Id="rId31" Type="http://schemas.openxmlformats.org/officeDocument/2006/relationships/image" Target="../media/image29.png"/><Relationship Id="rId44" Type="http://schemas.openxmlformats.org/officeDocument/2006/relationships/hyperlink" Target="https://isap.sejm.gov.pl/isap.nsf/download.xsp/WDU20220002687/O/D20222687.pdf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openxmlformats.org/officeDocument/2006/relationships/hyperlink" Target="http://orka.sejm.gov.pl/opinie9.nsf/dok?OpenAgent&amp;2697_u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10" Type="http://schemas.openxmlformats.org/officeDocument/2006/relationships/image" Target="../media/image49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3" Type="http://schemas.openxmlformats.org/officeDocument/2006/relationships/image" Target="../media/image52.png"/><Relationship Id="rId7" Type="http://schemas.openxmlformats.org/officeDocument/2006/relationships/image" Target="../media/image56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6" Type="http://schemas.openxmlformats.org/officeDocument/2006/relationships/image" Target="../media/image55.png"/><Relationship Id="rId5" Type="http://schemas.openxmlformats.org/officeDocument/2006/relationships/image" Target="../media/image54.png"/><Relationship Id="rId4" Type="http://schemas.openxmlformats.org/officeDocument/2006/relationships/image" Target="../media/image53.png"/><Relationship Id="rId9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64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28687</xdr:rowOff>
    </xdr:from>
    <xdr:to>
      <xdr:col>4</xdr:col>
      <xdr:colOff>170212</xdr:colOff>
      <xdr:row>2</xdr:row>
      <xdr:rowOff>168350</xdr:rowOff>
    </xdr:to>
    <xdr:pic>
      <xdr:nvPicPr>
        <xdr:cNvPr id="2" name="Obraz 1" descr="Znalezione obrazy dla zapytania logo viessman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207757"/>
          <a:ext cx="1445927" cy="323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431209</xdr:colOff>
      <xdr:row>1</xdr:row>
      <xdr:rowOff>9772</xdr:rowOff>
    </xdr:from>
    <xdr:to>
      <xdr:col>15</xdr:col>
      <xdr:colOff>130294</xdr:colOff>
      <xdr:row>2</xdr:row>
      <xdr:rowOff>136323</xdr:rowOff>
    </xdr:to>
    <xdr:pic>
      <xdr:nvPicPr>
        <xdr:cNvPr id="3" name="Grafika 2" descr="Kalendarz dzienny kontu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397919" y="192652"/>
          <a:ext cx="304240" cy="306256"/>
        </a:xfrm>
        <a:prstGeom prst="rect">
          <a:avLst/>
        </a:prstGeom>
      </xdr:spPr>
    </xdr:pic>
    <xdr:clientData/>
  </xdr:twoCellAnchor>
  <xdr:twoCellAnchor>
    <xdr:from>
      <xdr:col>18</xdr:col>
      <xdr:colOff>391277</xdr:colOff>
      <xdr:row>67</xdr:row>
      <xdr:rowOff>161925</xdr:rowOff>
    </xdr:from>
    <xdr:to>
      <xdr:col>19</xdr:col>
      <xdr:colOff>444234</xdr:colOff>
      <xdr:row>70</xdr:row>
      <xdr:rowOff>159000</xdr:rowOff>
    </xdr:to>
    <xdr:grpSp>
      <xdr:nvGrpSpPr>
        <xdr:cNvPr id="4" name="Grup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>
          <a:grpSpLocks noChangeAspect="1"/>
        </xdr:cNvGrpSpPr>
      </xdr:nvGrpSpPr>
      <xdr:grpSpPr>
        <a:xfrm>
          <a:off x="10859252" y="11572875"/>
          <a:ext cx="633982" cy="540000"/>
          <a:chOff x="9255303" y="6789506"/>
          <a:chExt cx="2365110" cy="2365110"/>
        </a:xfrm>
      </xdr:grpSpPr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biLevel thresh="75000"/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55303" y="6789506"/>
            <a:ext cx="2365110" cy="2365110"/>
          </a:xfrm>
          <a:prstGeom prst="rect">
            <a:avLst/>
          </a:prstGeom>
        </xdr:spPr>
      </xdr:pic>
      <xdr:sp macro="" textlink="">
        <xdr:nvSpPr>
          <xdr:cNvPr id="6" name="Prostokąt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0000180" y="7457326"/>
            <a:ext cx="667820" cy="864741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6</xdr:col>
      <xdr:colOff>394754</xdr:colOff>
      <xdr:row>20</xdr:row>
      <xdr:rowOff>71718</xdr:rowOff>
    </xdr:from>
    <xdr:to>
      <xdr:col>7</xdr:col>
      <xdr:colOff>188566</xdr:colOff>
      <xdr:row>22</xdr:row>
      <xdr:rowOff>112506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2264" y="3698838"/>
          <a:ext cx="399602" cy="404643"/>
        </a:xfrm>
        <a:prstGeom prst="rect">
          <a:avLst/>
        </a:prstGeom>
      </xdr:spPr>
    </xdr:pic>
    <xdr:clientData/>
  </xdr:twoCellAnchor>
  <xdr:twoCellAnchor editAs="oneCell">
    <xdr:from>
      <xdr:col>6</xdr:col>
      <xdr:colOff>402322</xdr:colOff>
      <xdr:row>14</xdr:row>
      <xdr:rowOff>75882</xdr:rowOff>
    </xdr:from>
    <xdr:to>
      <xdr:col>7</xdr:col>
      <xdr:colOff>174115</xdr:colOff>
      <xdr:row>16</xdr:row>
      <xdr:rowOff>96149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2212" y="2609532"/>
          <a:ext cx="384568" cy="384122"/>
        </a:xfrm>
        <a:prstGeom prst="rect">
          <a:avLst/>
        </a:prstGeom>
      </xdr:spPr>
    </xdr:pic>
    <xdr:clientData/>
  </xdr:twoCellAnchor>
  <xdr:twoCellAnchor editAs="oneCell">
    <xdr:from>
      <xdr:col>6</xdr:col>
      <xdr:colOff>401141</xdr:colOff>
      <xdr:row>17</xdr:row>
      <xdr:rowOff>73482</xdr:rowOff>
    </xdr:from>
    <xdr:to>
      <xdr:col>7</xdr:col>
      <xdr:colOff>193189</xdr:colOff>
      <xdr:row>19</xdr:row>
      <xdr:rowOff>98127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1031" y="3150057"/>
          <a:ext cx="405458" cy="395485"/>
        </a:xfrm>
        <a:prstGeom prst="rect">
          <a:avLst/>
        </a:prstGeom>
      </xdr:spPr>
    </xdr:pic>
    <xdr:clientData/>
  </xdr:twoCellAnchor>
  <xdr:twoCellAnchor editAs="oneCell">
    <xdr:from>
      <xdr:col>6</xdr:col>
      <xdr:colOff>362309</xdr:colOff>
      <xdr:row>26</xdr:row>
      <xdr:rowOff>144435</xdr:rowOff>
    </xdr:from>
    <xdr:to>
      <xdr:col>7</xdr:col>
      <xdr:colOff>21951</xdr:colOff>
      <xdr:row>28</xdr:row>
      <xdr:rowOff>53975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2199" y="4905030"/>
          <a:ext cx="272417" cy="272760"/>
        </a:xfrm>
        <a:prstGeom prst="rect">
          <a:avLst/>
        </a:prstGeom>
      </xdr:spPr>
    </xdr:pic>
    <xdr:clientData/>
  </xdr:twoCellAnchor>
  <xdr:twoCellAnchor editAs="oneCell">
    <xdr:from>
      <xdr:col>6</xdr:col>
      <xdr:colOff>416394</xdr:colOff>
      <xdr:row>23</xdr:row>
      <xdr:rowOff>107576</xdr:rowOff>
    </xdr:from>
    <xdr:to>
      <xdr:col>7</xdr:col>
      <xdr:colOff>172368</xdr:colOff>
      <xdr:row>25</xdr:row>
      <xdr:rowOff>95923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094" y="4277621"/>
          <a:ext cx="366209" cy="354107"/>
        </a:xfrm>
        <a:prstGeom prst="rect">
          <a:avLst/>
        </a:prstGeom>
      </xdr:spPr>
    </xdr:pic>
    <xdr:clientData/>
  </xdr:twoCellAnchor>
  <xdr:twoCellAnchor editAs="oneCell">
    <xdr:from>
      <xdr:col>6</xdr:col>
      <xdr:colOff>555532</xdr:colOff>
      <xdr:row>26</xdr:row>
      <xdr:rowOff>128367</xdr:rowOff>
    </xdr:from>
    <xdr:to>
      <xdr:col>7</xdr:col>
      <xdr:colOff>208859</xdr:colOff>
      <xdr:row>28</xdr:row>
      <xdr:rowOff>38100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5422" y="4894677"/>
          <a:ext cx="266102" cy="267873"/>
        </a:xfrm>
        <a:prstGeom prst="rect">
          <a:avLst/>
        </a:prstGeom>
      </xdr:spPr>
    </xdr:pic>
    <xdr:clientData/>
  </xdr:twoCellAnchor>
  <xdr:twoCellAnchor editAs="oneCell">
    <xdr:from>
      <xdr:col>12</xdr:col>
      <xdr:colOff>216675</xdr:colOff>
      <xdr:row>17</xdr:row>
      <xdr:rowOff>150000</xdr:rowOff>
    </xdr:from>
    <xdr:to>
      <xdr:col>12</xdr:col>
      <xdr:colOff>495300</xdr:colOff>
      <xdr:row>19</xdr:row>
      <xdr:rowOff>55880</xdr:rowOff>
    </xdr:to>
    <xdr:pic>
      <xdr:nvPicPr>
        <xdr:cNvPr id="13" name="Grafika 12" descr="Informacje z wypełnieniem pełnym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6956565" y="3226575"/>
          <a:ext cx="282435" cy="278625"/>
        </a:xfrm>
        <a:prstGeom prst="rect">
          <a:avLst/>
        </a:prstGeom>
      </xdr:spPr>
    </xdr:pic>
    <xdr:clientData/>
  </xdr:twoCellAnchor>
  <xdr:twoCellAnchor editAs="oneCell">
    <xdr:from>
      <xdr:col>11</xdr:col>
      <xdr:colOff>382906</xdr:colOff>
      <xdr:row>144</xdr:row>
      <xdr:rowOff>158115</xdr:rowOff>
    </xdr:from>
    <xdr:to>
      <xdr:col>12</xdr:col>
      <xdr:colOff>39038</xdr:colOff>
      <xdr:row>146</xdr:row>
      <xdr:rowOff>60324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7006" y="6189345"/>
          <a:ext cx="265732" cy="2552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371476</xdr:colOff>
      <xdr:row>147</xdr:row>
      <xdr:rowOff>144780</xdr:rowOff>
    </xdr:from>
    <xdr:to>
      <xdr:col>12</xdr:col>
      <xdr:colOff>20192</xdr:colOff>
      <xdr:row>149</xdr:row>
      <xdr:rowOff>59689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3671" y="6715125"/>
          <a:ext cx="262126" cy="276225"/>
        </a:xfrm>
        <a:prstGeom prst="rect">
          <a:avLst/>
        </a:prstGeom>
      </xdr:spPr>
    </xdr:pic>
    <xdr:clientData/>
  </xdr:twoCellAnchor>
  <xdr:twoCellAnchor editAs="oneCell">
    <xdr:from>
      <xdr:col>11</xdr:col>
      <xdr:colOff>360960</xdr:colOff>
      <xdr:row>150</xdr:row>
      <xdr:rowOff>124740</xdr:rowOff>
    </xdr:from>
    <xdr:to>
      <xdr:col>12</xdr:col>
      <xdr:colOff>59690</xdr:colOff>
      <xdr:row>152</xdr:row>
      <xdr:rowOff>76198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8870" y="7241820"/>
          <a:ext cx="303885" cy="311505"/>
        </a:xfrm>
        <a:prstGeom prst="rect">
          <a:avLst/>
        </a:prstGeom>
      </xdr:spPr>
    </xdr:pic>
    <xdr:clientData/>
  </xdr:twoCellAnchor>
  <xdr:twoCellAnchor>
    <xdr:from>
      <xdr:col>1</xdr:col>
      <xdr:colOff>363360</xdr:colOff>
      <xdr:row>120</xdr:row>
      <xdr:rowOff>123825</xdr:rowOff>
    </xdr:from>
    <xdr:to>
      <xdr:col>5</xdr:col>
      <xdr:colOff>167640</xdr:colOff>
      <xdr:row>130</xdr:row>
      <xdr:rowOff>58564</xdr:rowOff>
    </xdr:to>
    <xdr:grpSp>
      <xdr:nvGrpSpPr>
        <xdr:cNvPr id="24" name="Grupa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420510" y="19859625"/>
          <a:ext cx="2252205" cy="1830214"/>
          <a:chOff x="8943480" y="6652261"/>
          <a:chExt cx="1313040" cy="1026303"/>
        </a:xfrm>
      </xdr:grpSpPr>
      <xdr:pic>
        <xdr:nvPicPr>
          <xdr:cNvPr id="25" name="Obraz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943480" y="7074184"/>
            <a:ext cx="604380" cy="604380"/>
          </a:xfrm>
          <a:prstGeom prst="rect">
            <a:avLst/>
          </a:prstGeom>
        </xdr:spPr>
      </xdr:pic>
      <xdr:pic>
        <xdr:nvPicPr>
          <xdr:cNvPr id="26" name="Obraz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738360" y="7277100"/>
            <a:ext cx="380758" cy="387932"/>
          </a:xfrm>
          <a:prstGeom prst="rect">
            <a:avLst/>
          </a:prstGeom>
        </xdr:spPr>
      </xdr:pic>
      <xdr:sp macro="" textlink="">
        <xdr:nvSpPr>
          <xdr:cNvPr id="27" name="Łuk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9094425">
            <a:off x="9296401" y="6652261"/>
            <a:ext cx="800100" cy="792480"/>
          </a:xfrm>
          <a:prstGeom prst="arc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Łuk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 rot="9818139">
            <a:off x="9090660" y="6652261"/>
            <a:ext cx="1165860" cy="822960"/>
          </a:xfrm>
          <a:prstGeom prst="arc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193320</xdr:colOff>
      <xdr:row>125</xdr:row>
      <xdr:rowOff>136170</xdr:rowOff>
    </xdr:from>
    <xdr:ext cx="236731" cy="35127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4420" y="24901170"/>
          <a:ext cx="236731" cy="351279"/>
        </a:xfrm>
        <a:prstGeom prst="rect">
          <a:avLst/>
        </a:prstGeom>
      </xdr:spPr>
    </xdr:pic>
    <xdr:clientData/>
  </xdr:oneCellAnchor>
  <xdr:oneCellAnchor>
    <xdr:from>
      <xdr:col>8</xdr:col>
      <xdr:colOff>479425</xdr:colOff>
      <xdr:row>68</xdr:row>
      <xdr:rowOff>0</xdr:rowOff>
    </xdr:from>
    <xdr:ext cx="493208" cy="540000"/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1400" y="12030075"/>
          <a:ext cx="493208" cy="540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190500</xdr:colOff>
          <xdr:row>74</xdr:row>
          <xdr:rowOff>7620</xdr:rowOff>
        </xdr:from>
        <xdr:to>
          <xdr:col>19</xdr:col>
          <xdr:colOff>487680</xdr:colOff>
          <xdr:row>76</xdr:row>
          <xdr:rowOff>7620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0</xdr:colOff>
      <xdr:row>117</xdr:row>
      <xdr:rowOff>0</xdr:rowOff>
    </xdr:from>
    <xdr:to>
      <xdr:col>4</xdr:col>
      <xdr:colOff>174022</xdr:colOff>
      <xdr:row>118</xdr:row>
      <xdr:rowOff>133313</xdr:rowOff>
    </xdr:to>
    <xdr:pic>
      <xdr:nvPicPr>
        <xdr:cNvPr id="68" name="Obraz 67" descr="Znalezione obrazy dla zapytania logo viessmann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9783425"/>
          <a:ext cx="1436402" cy="323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103</xdr:row>
          <xdr:rowOff>152400</xdr:rowOff>
        </xdr:from>
        <xdr:to>
          <xdr:col>9</xdr:col>
          <xdr:colOff>480060</xdr:colOff>
          <xdr:row>105</xdr:row>
          <xdr:rowOff>22860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0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20955</xdr:colOff>
      <xdr:row>188</xdr:row>
      <xdr:rowOff>7621</xdr:rowOff>
    </xdr:from>
    <xdr:to>
      <xdr:col>20</xdr:col>
      <xdr:colOff>133350</xdr:colOff>
      <xdr:row>216</xdr:row>
      <xdr:rowOff>163831</xdr:rowOff>
    </xdr:to>
    <xdr:graphicFrame macro="">
      <xdr:nvGraphicFramePr>
        <xdr:cNvPr id="77" name="Wykres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360045</xdr:colOff>
      <xdr:row>159</xdr:row>
      <xdr:rowOff>19051</xdr:rowOff>
    </xdr:from>
    <xdr:to>
      <xdr:col>20</xdr:col>
      <xdr:colOff>211455</xdr:colOff>
      <xdr:row>178</xdr:row>
      <xdr:rowOff>131448</xdr:rowOff>
    </xdr:to>
    <xdr:graphicFrame macro="">
      <xdr:nvGraphicFramePr>
        <xdr:cNvPr id="78" name="Wykres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16</xdr:col>
      <xdr:colOff>455295</xdr:colOff>
      <xdr:row>179</xdr:row>
      <xdr:rowOff>0</xdr:rowOff>
    </xdr:from>
    <xdr:to>
      <xdr:col>17</xdr:col>
      <xdr:colOff>56508</xdr:colOff>
      <xdr:row>180</xdr:row>
      <xdr:rowOff>242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4070" y="31137225"/>
          <a:ext cx="199383" cy="177618"/>
        </a:xfrm>
        <a:prstGeom prst="rect">
          <a:avLst/>
        </a:prstGeom>
      </xdr:spPr>
    </xdr:pic>
    <xdr:clientData/>
  </xdr:twoCellAnchor>
  <xdr:twoCellAnchor editAs="oneCell">
    <xdr:from>
      <xdr:col>9</xdr:col>
      <xdr:colOff>429400</xdr:colOff>
      <xdr:row>179</xdr:row>
      <xdr:rowOff>16650</xdr:rowOff>
    </xdr:from>
    <xdr:to>
      <xdr:col>9</xdr:col>
      <xdr:colOff>554984</xdr:colOff>
      <xdr:row>179</xdr:row>
      <xdr:rowOff>148646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4733" y="31777233"/>
          <a:ext cx="136379" cy="131996"/>
        </a:xfrm>
        <a:prstGeom prst="rect">
          <a:avLst/>
        </a:prstGeom>
      </xdr:spPr>
    </xdr:pic>
    <xdr:clientData/>
  </xdr:twoCellAnchor>
  <xdr:twoCellAnchor editAs="oneCell">
    <xdr:from>
      <xdr:col>19</xdr:col>
      <xdr:colOff>221895</xdr:colOff>
      <xdr:row>178</xdr:row>
      <xdr:rowOff>178080</xdr:rowOff>
    </xdr:from>
    <xdr:to>
      <xdr:col>19</xdr:col>
      <xdr:colOff>362676</xdr:colOff>
      <xdr:row>180</xdr:row>
      <xdr:rowOff>1082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0895" y="31134330"/>
          <a:ext cx="142686" cy="184952"/>
        </a:xfrm>
        <a:prstGeom prst="rect">
          <a:avLst/>
        </a:prstGeom>
      </xdr:spPr>
    </xdr:pic>
    <xdr:clientData/>
  </xdr:twoCellAnchor>
  <xdr:twoCellAnchor editAs="oneCell">
    <xdr:from>
      <xdr:col>4</xdr:col>
      <xdr:colOff>168060</xdr:colOff>
      <xdr:row>178</xdr:row>
      <xdr:rowOff>177585</xdr:rowOff>
    </xdr:from>
    <xdr:to>
      <xdr:col>4</xdr:col>
      <xdr:colOff>248840</xdr:colOff>
      <xdr:row>179</xdr:row>
      <xdr:rowOff>172617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535" y="31133835"/>
          <a:ext cx="77605" cy="174101"/>
        </a:xfrm>
        <a:prstGeom prst="rect">
          <a:avLst/>
        </a:prstGeom>
      </xdr:spPr>
    </xdr:pic>
    <xdr:clientData/>
  </xdr:twoCellAnchor>
  <xdr:twoCellAnchor editAs="oneCell">
    <xdr:from>
      <xdr:col>13</xdr:col>
      <xdr:colOff>445695</xdr:colOff>
      <xdr:row>179</xdr:row>
      <xdr:rowOff>13260</xdr:rowOff>
    </xdr:from>
    <xdr:to>
      <xdr:col>14</xdr:col>
      <xdr:colOff>2321</xdr:colOff>
      <xdr:row>179</xdr:row>
      <xdr:rowOff>168873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5670" y="31150485"/>
          <a:ext cx="163404" cy="149263"/>
        </a:xfrm>
        <a:prstGeom prst="rect">
          <a:avLst/>
        </a:prstGeom>
      </xdr:spPr>
    </xdr:pic>
    <xdr:clientData/>
  </xdr:twoCellAnchor>
  <xdr:twoCellAnchor editAs="oneCell">
    <xdr:from>
      <xdr:col>8</xdr:col>
      <xdr:colOff>20385</xdr:colOff>
      <xdr:row>179</xdr:row>
      <xdr:rowOff>20385</xdr:rowOff>
    </xdr:from>
    <xdr:to>
      <xdr:col>8</xdr:col>
      <xdr:colOff>130962</xdr:colOff>
      <xdr:row>180</xdr:row>
      <xdr:rowOff>566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2360" y="31157610"/>
          <a:ext cx="101687" cy="154735"/>
        </a:xfrm>
        <a:prstGeom prst="rect">
          <a:avLst/>
        </a:prstGeom>
      </xdr:spPr>
    </xdr:pic>
    <xdr:clientData/>
  </xdr:twoCellAnchor>
  <xdr:twoCellAnchor editAs="oneCell">
    <xdr:from>
      <xdr:col>6</xdr:col>
      <xdr:colOff>139485</xdr:colOff>
      <xdr:row>179</xdr:row>
      <xdr:rowOff>8040</xdr:rowOff>
    </xdr:from>
    <xdr:to>
      <xdr:col>6</xdr:col>
      <xdr:colOff>212010</xdr:colOff>
      <xdr:row>180</xdr:row>
      <xdr:rowOff>19580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4160" y="31145265"/>
          <a:ext cx="79510" cy="183626"/>
        </a:xfrm>
        <a:prstGeom prst="rect">
          <a:avLst/>
        </a:prstGeom>
      </xdr:spPr>
    </xdr:pic>
    <xdr:clientData/>
  </xdr:twoCellAnchor>
  <xdr:twoCellAnchor>
    <xdr:from>
      <xdr:col>10</xdr:col>
      <xdr:colOff>586740</xdr:colOff>
      <xdr:row>178</xdr:row>
      <xdr:rowOff>173355</xdr:rowOff>
    </xdr:from>
    <xdr:to>
      <xdr:col>11</xdr:col>
      <xdr:colOff>227182</xdr:colOff>
      <xdr:row>180</xdr:row>
      <xdr:rowOff>19050</xdr:rowOff>
    </xdr:to>
    <xdr:grpSp>
      <xdr:nvGrpSpPr>
        <xdr:cNvPr id="96" name="Grupa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pSpPr>
          <a:grpSpLocks noChangeAspect="1"/>
        </xdr:cNvGrpSpPr>
      </xdr:nvGrpSpPr>
      <xdr:grpSpPr>
        <a:xfrm>
          <a:off x="6177915" y="30577155"/>
          <a:ext cx="250042" cy="207645"/>
          <a:chOff x="9255303" y="6789506"/>
          <a:chExt cx="2365110" cy="2365110"/>
        </a:xfrm>
      </xdr:grpSpPr>
      <xdr:pic>
        <xdr:nvPicPr>
          <xdr:cNvPr id="97" name="Obraz 96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biLevel thresh="75000"/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55303" y="6789506"/>
            <a:ext cx="2365110" cy="2365110"/>
          </a:xfrm>
          <a:prstGeom prst="rect">
            <a:avLst/>
          </a:prstGeom>
        </xdr:spPr>
      </xdr:pic>
      <xdr:sp macro="" textlink="">
        <xdr:nvSpPr>
          <xdr:cNvPr id="98" name="Prostokąt 97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/>
        </xdr:nvSpPr>
        <xdr:spPr>
          <a:xfrm>
            <a:off x="10000180" y="7457326"/>
            <a:ext cx="667820" cy="864741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19</xdr:col>
      <xdr:colOff>59310</xdr:colOff>
      <xdr:row>35</xdr:row>
      <xdr:rowOff>168215</xdr:rowOff>
    </xdr:from>
    <xdr:to>
      <xdr:col>19</xdr:col>
      <xdr:colOff>302160</xdr:colOff>
      <xdr:row>38</xdr:row>
      <xdr:rowOff>172275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8310" y="6645215"/>
          <a:ext cx="242850" cy="547620"/>
        </a:xfrm>
        <a:prstGeom prst="rect">
          <a:avLst/>
        </a:prstGeom>
      </xdr:spPr>
    </xdr:pic>
    <xdr:clientData/>
  </xdr:twoCellAnchor>
  <xdr:twoCellAnchor editAs="oneCell">
    <xdr:from>
      <xdr:col>9</xdr:col>
      <xdr:colOff>35083</xdr:colOff>
      <xdr:row>36</xdr:row>
      <xdr:rowOff>1006</xdr:rowOff>
    </xdr:from>
    <xdr:to>
      <xdr:col>9</xdr:col>
      <xdr:colOff>283071</xdr:colOff>
      <xdr:row>39</xdr:row>
      <xdr:rowOff>56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6658" y="6658981"/>
          <a:ext cx="248623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575113</xdr:colOff>
      <xdr:row>51</xdr:row>
      <xdr:rowOff>168042</xdr:rowOff>
    </xdr:from>
    <xdr:to>
      <xdr:col>9</xdr:col>
      <xdr:colOff>326221</xdr:colOff>
      <xdr:row>54</xdr:row>
      <xdr:rowOff>172102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7088" y="9331092"/>
          <a:ext cx="365788" cy="547620"/>
        </a:xfrm>
        <a:prstGeom prst="rect">
          <a:avLst/>
        </a:prstGeom>
      </xdr:spPr>
    </xdr:pic>
    <xdr:clientData/>
  </xdr:twoCellAnchor>
  <xdr:twoCellAnchor editAs="oneCell">
    <xdr:from>
      <xdr:col>18</xdr:col>
      <xdr:colOff>484105</xdr:colOff>
      <xdr:row>51</xdr:row>
      <xdr:rowOff>178047</xdr:rowOff>
    </xdr:from>
    <xdr:to>
      <xdr:col>19</xdr:col>
      <xdr:colOff>365016</xdr:colOff>
      <xdr:row>55</xdr:row>
      <xdr:rowOff>568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2080" y="9341097"/>
          <a:ext cx="472096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582931</xdr:colOff>
      <xdr:row>68</xdr:row>
      <xdr:rowOff>95482</xdr:rowOff>
    </xdr:from>
    <xdr:to>
      <xdr:col>8</xdr:col>
      <xdr:colOff>474038</xdr:colOff>
      <xdr:row>71</xdr:row>
      <xdr:rowOff>95732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7206" y="12125557"/>
          <a:ext cx="533727" cy="536190"/>
        </a:xfrm>
        <a:prstGeom prst="rect">
          <a:avLst/>
        </a:prstGeom>
      </xdr:spPr>
    </xdr:pic>
    <xdr:clientData/>
  </xdr:twoCellAnchor>
  <xdr:twoCellAnchor editAs="oneCell">
    <xdr:from>
      <xdr:col>17</xdr:col>
      <xdr:colOff>559576</xdr:colOff>
      <xdr:row>52</xdr:row>
      <xdr:rowOff>77610</xdr:rowOff>
    </xdr:from>
    <xdr:to>
      <xdr:col>18</xdr:col>
      <xdr:colOff>475928</xdr:colOff>
      <xdr:row>55</xdr:row>
      <xdr:rowOff>74685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7951" y="9421635"/>
          <a:ext cx="532937" cy="54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373376</xdr:colOff>
      <xdr:row>82</xdr:row>
      <xdr:rowOff>169538</xdr:rowOff>
    </xdr:from>
    <xdr:to>
      <xdr:col>19</xdr:col>
      <xdr:colOff>402122</xdr:colOff>
      <xdr:row>85</xdr:row>
      <xdr:rowOff>172328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1351" y="14542763"/>
          <a:ext cx="618661" cy="547620"/>
        </a:xfrm>
        <a:prstGeom prst="rect">
          <a:avLst/>
        </a:prstGeom>
      </xdr:spPr>
    </xdr:pic>
    <xdr:clientData/>
  </xdr:twoCellAnchor>
  <xdr:twoCellAnchor editAs="oneCell">
    <xdr:from>
      <xdr:col>8</xdr:col>
      <xdr:colOff>492900</xdr:colOff>
      <xdr:row>98</xdr:row>
      <xdr:rowOff>178575</xdr:rowOff>
    </xdr:from>
    <xdr:to>
      <xdr:col>9</xdr:col>
      <xdr:colOff>246785</xdr:colOff>
      <xdr:row>102</xdr:row>
      <xdr:rowOff>2295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875" y="17237850"/>
          <a:ext cx="362850" cy="547620"/>
        </a:xfrm>
        <a:prstGeom prst="rect">
          <a:avLst/>
        </a:prstGeom>
      </xdr:spPr>
    </xdr:pic>
    <xdr:clientData/>
  </xdr:twoCellAnchor>
  <xdr:twoCellAnchor editAs="oneCell">
    <xdr:from>
      <xdr:col>8</xdr:col>
      <xdr:colOff>307616</xdr:colOff>
      <xdr:row>83</xdr:row>
      <xdr:rowOff>914</xdr:rowOff>
    </xdr:from>
    <xdr:to>
      <xdr:col>9</xdr:col>
      <xdr:colOff>364830</xdr:colOff>
      <xdr:row>86</xdr:row>
      <xdr:rowOff>1588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9591" y="14555114"/>
          <a:ext cx="658559" cy="54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266700</xdr:colOff>
      <xdr:row>111</xdr:row>
      <xdr:rowOff>95044</xdr:rowOff>
    </xdr:from>
    <xdr:to>
      <xdr:col>20</xdr:col>
      <xdr:colOff>515309</xdr:colOff>
      <xdr:row>113</xdr:row>
      <xdr:rowOff>16633</xdr:rowOff>
    </xdr:to>
    <xdr:pic>
      <xdr:nvPicPr>
        <xdr:cNvPr id="45" name="Grafika 44" descr="Pobierz kontur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11916833" y="18764044"/>
          <a:ext cx="256864" cy="289677"/>
        </a:xfrm>
        <a:prstGeom prst="rect">
          <a:avLst/>
        </a:prstGeom>
      </xdr:spPr>
    </xdr:pic>
    <xdr:clientData/>
  </xdr:twoCellAnchor>
  <xdr:twoCellAnchor editAs="oneCell">
    <xdr:from>
      <xdr:col>20</xdr:col>
      <xdr:colOff>256117</xdr:colOff>
      <xdr:row>99</xdr:row>
      <xdr:rowOff>91017</xdr:rowOff>
    </xdr:from>
    <xdr:to>
      <xdr:col>20</xdr:col>
      <xdr:colOff>512151</xdr:colOff>
      <xdr:row>100</xdr:row>
      <xdr:rowOff>154633</xdr:rowOff>
    </xdr:to>
    <xdr:pic>
      <xdr:nvPicPr>
        <xdr:cNvPr id="58" name="Grafika 57" descr="Okno przeglądarki kontur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1"/>
            </a:ext>
          </a:extLst>
        </a:blip>
        <a:stretch>
          <a:fillRect/>
        </a:stretch>
      </xdr:blipFill>
      <xdr:spPr>
        <a:xfrm>
          <a:off x="11971867" y="16410517"/>
          <a:ext cx="244604" cy="243533"/>
        </a:xfrm>
        <a:prstGeom prst="rect">
          <a:avLst/>
        </a:prstGeom>
      </xdr:spPr>
    </xdr:pic>
    <xdr:clientData/>
  </xdr:twoCellAnchor>
  <xdr:twoCellAnchor editAs="oneCell">
    <xdr:from>
      <xdr:col>20</xdr:col>
      <xdr:colOff>262891</xdr:colOff>
      <xdr:row>113</xdr:row>
      <xdr:rowOff>2117</xdr:rowOff>
    </xdr:from>
    <xdr:to>
      <xdr:col>20</xdr:col>
      <xdr:colOff>515310</xdr:colOff>
      <xdr:row>114</xdr:row>
      <xdr:rowOff>57266</xdr:rowOff>
    </xdr:to>
    <xdr:pic>
      <xdr:nvPicPr>
        <xdr:cNvPr id="85" name="Grafika 84" descr="Pobierz kontur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11913024" y="19043650"/>
          <a:ext cx="260674" cy="253481"/>
        </a:xfrm>
        <a:prstGeom prst="rect">
          <a:avLst/>
        </a:prstGeom>
      </xdr:spPr>
    </xdr:pic>
    <xdr:clientData/>
  </xdr:twoCellAnchor>
  <xdr:twoCellAnchor editAs="oneCell">
    <xdr:from>
      <xdr:col>20</xdr:col>
      <xdr:colOff>276225</xdr:colOff>
      <xdr:row>132</xdr:row>
      <xdr:rowOff>57150</xdr:rowOff>
    </xdr:from>
    <xdr:to>
      <xdr:col>20</xdr:col>
      <xdr:colOff>511499</xdr:colOff>
      <xdr:row>133</xdr:row>
      <xdr:rowOff>130715</xdr:rowOff>
    </xdr:to>
    <xdr:pic>
      <xdr:nvPicPr>
        <xdr:cNvPr id="87" name="Grafika 86" descr="Pobierz kontur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11934825" y="21688425"/>
          <a:ext cx="230194" cy="253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190500</xdr:colOff>
          <xdr:row>87</xdr:row>
          <xdr:rowOff>152400</xdr:rowOff>
        </xdr:from>
        <xdr:to>
          <xdr:col>19</xdr:col>
          <xdr:colOff>480060</xdr:colOff>
          <xdr:row>89</xdr:row>
          <xdr:rowOff>22860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0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87</xdr:row>
          <xdr:rowOff>152400</xdr:rowOff>
        </xdr:from>
        <xdr:to>
          <xdr:col>9</xdr:col>
          <xdr:colOff>480060</xdr:colOff>
          <xdr:row>89</xdr:row>
          <xdr:rowOff>22860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0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42</xdr:row>
          <xdr:rowOff>7620</xdr:rowOff>
        </xdr:from>
        <xdr:to>
          <xdr:col>9</xdr:col>
          <xdr:colOff>480060</xdr:colOff>
          <xdr:row>44</xdr:row>
          <xdr:rowOff>15240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0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255905</xdr:colOff>
      <xdr:row>106</xdr:row>
      <xdr:rowOff>86366</xdr:rowOff>
    </xdr:from>
    <xdr:to>
      <xdr:col>20</xdr:col>
      <xdr:colOff>515944</xdr:colOff>
      <xdr:row>108</xdr:row>
      <xdr:rowOff>15574</xdr:rowOff>
    </xdr:to>
    <xdr:pic>
      <xdr:nvPicPr>
        <xdr:cNvPr id="55" name="Grafika 54" descr="Pobierz kontur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11971655" y="17527699"/>
          <a:ext cx="246704" cy="2776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40</xdr:row>
          <xdr:rowOff>152400</xdr:rowOff>
        </xdr:from>
        <xdr:to>
          <xdr:col>9</xdr:col>
          <xdr:colOff>480060</xdr:colOff>
          <xdr:row>42</xdr:row>
          <xdr:rowOff>15240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0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323850</xdr:colOff>
      <xdr:row>41</xdr:row>
      <xdr:rowOff>0</xdr:rowOff>
    </xdr:from>
    <xdr:to>
      <xdr:col>8</xdr:col>
      <xdr:colOff>496898</xdr:colOff>
      <xdr:row>42</xdr:row>
      <xdr:rowOff>4008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7562850"/>
          <a:ext cx="173048" cy="1849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190500</xdr:colOff>
          <xdr:row>40</xdr:row>
          <xdr:rowOff>152400</xdr:rowOff>
        </xdr:from>
        <xdr:to>
          <xdr:col>19</xdr:col>
          <xdr:colOff>480060</xdr:colOff>
          <xdr:row>42</xdr:row>
          <xdr:rowOff>15240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0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18</xdr:col>
      <xdr:colOff>323850</xdr:colOff>
      <xdr:row>41</xdr:row>
      <xdr:rowOff>0</xdr:rowOff>
    </xdr:from>
    <xdr:ext cx="173048" cy="184983"/>
    <xdr:pic>
      <xdr:nvPicPr>
        <xdr:cNvPr id="66" name="Obraz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7562850"/>
          <a:ext cx="173048" cy="18498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190500</xdr:colOff>
          <xdr:row>56</xdr:row>
          <xdr:rowOff>152400</xdr:rowOff>
        </xdr:from>
        <xdr:ext cx="289560" cy="224790"/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8AECC498-071E-48AA-9D20-35B7114CEB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xdr:oneCellAnchor>
    <xdr:from>
      <xdr:col>8</xdr:col>
      <xdr:colOff>323850</xdr:colOff>
      <xdr:row>57</xdr:row>
      <xdr:rowOff>0</xdr:rowOff>
    </xdr:from>
    <xdr:ext cx="173048" cy="184983"/>
    <xdr:pic>
      <xdr:nvPicPr>
        <xdr:cNvPr id="61" name="Obraz 60">
          <a:extLst>
            <a:ext uri="{FF2B5EF4-FFF2-40B4-BE49-F238E27FC236}">
              <a16:creationId xmlns:a16="http://schemas.microsoft.com/office/drawing/2014/main" id="{2DB88B80-DECF-4156-A236-A5436E490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7562850"/>
          <a:ext cx="173048" cy="18498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190500</xdr:colOff>
          <xdr:row>56</xdr:row>
          <xdr:rowOff>152400</xdr:rowOff>
        </xdr:from>
        <xdr:ext cx="289560" cy="224790"/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E2CE0971-3456-4C36-A0C7-0F17090EBF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xdr:oneCellAnchor>
    <xdr:from>
      <xdr:col>18</xdr:col>
      <xdr:colOff>323850</xdr:colOff>
      <xdr:row>57</xdr:row>
      <xdr:rowOff>0</xdr:rowOff>
    </xdr:from>
    <xdr:ext cx="173048" cy="184983"/>
    <xdr:pic>
      <xdr:nvPicPr>
        <xdr:cNvPr id="63" name="Obraz 62">
          <a:extLst>
            <a:ext uri="{FF2B5EF4-FFF2-40B4-BE49-F238E27FC236}">
              <a16:creationId xmlns:a16="http://schemas.microsoft.com/office/drawing/2014/main" id="{726F2251-1F13-4D24-8C89-23CB6C28A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0029825"/>
          <a:ext cx="173048" cy="18498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313235</xdr:colOff>
      <xdr:row>29</xdr:row>
      <xdr:rowOff>91711</xdr:rowOff>
    </xdr:from>
    <xdr:to>
      <xdr:col>32</xdr:col>
      <xdr:colOff>54429</xdr:colOff>
      <xdr:row>52</xdr:row>
      <xdr:rowOff>25309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355691</xdr:colOff>
      <xdr:row>52</xdr:row>
      <xdr:rowOff>131987</xdr:rowOff>
    </xdr:from>
    <xdr:to>
      <xdr:col>32</xdr:col>
      <xdr:colOff>54429</xdr:colOff>
      <xdr:row>94</xdr:row>
      <xdr:rowOff>136071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101</xdr:row>
      <xdr:rowOff>27215</xdr:rowOff>
    </xdr:from>
    <xdr:to>
      <xdr:col>17</xdr:col>
      <xdr:colOff>250183</xdr:colOff>
      <xdr:row>138</xdr:row>
      <xdr:rowOff>122466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3714" y="15144751"/>
          <a:ext cx="4474385" cy="56295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514247</xdr:colOff>
      <xdr:row>3</xdr:row>
      <xdr:rowOff>15240</xdr:rowOff>
    </xdr:to>
    <xdr:pic>
      <xdr:nvPicPr>
        <xdr:cNvPr id="9" name="Obraz 8" descr="ENEA logo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872387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212528</xdr:colOff>
      <xdr:row>76</xdr:row>
      <xdr:rowOff>122706</xdr:rowOff>
    </xdr:from>
    <xdr:to>
      <xdr:col>10</xdr:col>
      <xdr:colOff>438103</xdr:colOff>
      <xdr:row>83</xdr:row>
      <xdr:rowOff>54790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1361" y="11383373"/>
          <a:ext cx="2692339" cy="969250"/>
        </a:xfrm>
        <a:prstGeom prst="rect">
          <a:avLst/>
        </a:prstGeom>
      </xdr:spPr>
    </xdr:pic>
    <xdr:clientData/>
  </xdr:twoCellAnchor>
  <xdr:twoCellAnchor>
    <xdr:from>
      <xdr:col>0</xdr:col>
      <xdr:colOff>545845</xdr:colOff>
      <xdr:row>45</xdr:row>
      <xdr:rowOff>33747</xdr:rowOff>
    </xdr:from>
    <xdr:to>
      <xdr:col>5</xdr:col>
      <xdr:colOff>555171</xdr:colOff>
      <xdr:row>71</xdr:row>
      <xdr:rowOff>25273</xdr:rowOff>
    </xdr:to>
    <xdr:grpSp>
      <xdr:nvGrpSpPr>
        <xdr:cNvPr id="12" name="Grupa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pSpPr>
          <a:grpSpLocks noChangeAspect="1"/>
        </xdr:cNvGrpSpPr>
      </xdr:nvGrpSpPr>
      <xdr:grpSpPr>
        <a:xfrm>
          <a:off x="545845" y="6891747"/>
          <a:ext cx="3100869" cy="3953926"/>
          <a:chOff x="4206241" y="1607598"/>
          <a:chExt cx="3839693" cy="6553423"/>
        </a:xfrm>
      </xdr:grpSpPr>
      <xdr:pic>
        <xdr:nvPicPr>
          <xdr:cNvPr id="13" name="Obraz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312"/>
          <a:stretch/>
        </xdr:blipFill>
        <xdr:spPr>
          <a:xfrm>
            <a:off x="4214518" y="1607598"/>
            <a:ext cx="3831416" cy="4826499"/>
          </a:xfrm>
          <a:prstGeom prst="rect">
            <a:avLst/>
          </a:prstGeom>
        </xdr:spPr>
      </xdr:pic>
      <xdr:pic>
        <xdr:nvPicPr>
          <xdr:cNvPr id="14" name="Obraz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206241" y="6408421"/>
            <a:ext cx="3822744" cy="1752600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290037</xdr:colOff>
      <xdr:row>77</xdr:row>
      <xdr:rowOff>135558</xdr:rowOff>
    </xdr:from>
    <xdr:to>
      <xdr:col>18</xdr:col>
      <xdr:colOff>97096</xdr:colOff>
      <xdr:row>97</xdr:row>
      <xdr:rowOff>93104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89537" y="11544391"/>
          <a:ext cx="2262392" cy="2911355"/>
        </a:xfrm>
        <a:prstGeom prst="rect">
          <a:avLst/>
        </a:prstGeom>
      </xdr:spPr>
    </xdr:pic>
    <xdr:clientData/>
  </xdr:twoCellAnchor>
  <xdr:twoCellAnchor editAs="oneCell">
    <xdr:from>
      <xdr:col>6</xdr:col>
      <xdr:colOff>261784</xdr:colOff>
      <xdr:row>83</xdr:row>
      <xdr:rowOff>82552</xdr:rowOff>
    </xdr:from>
    <xdr:to>
      <xdr:col>10</xdr:col>
      <xdr:colOff>569699</xdr:colOff>
      <xdr:row>94</xdr:row>
      <xdr:rowOff>131242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50617" y="12380385"/>
          <a:ext cx="2763249" cy="1672809"/>
        </a:xfrm>
        <a:prstGeom prst="rect">
          <a:avLst/>
        </a:prstGeom>
      </xdr:spPr>
    </xdr:pic>
    <xdr:clientData/>
  </xdr:twoCellAnchor>
  <xdr:twoCellAnchor editAs="oneCell">
    <xdr:from>
      <xdr:col>11</xdr:col>
      <xdr:colOff>40187</xdr:colOff>
      <xdr:row>77</xdr:row>
      <xdr:rowOff>69912</xdr:rowOff>
    </xdr:from>
    <xdr:to>
      <xdr:col>14</xdr:col>
      <xdr:colOff>213124</xdr:colOff>
      <xdr:row>95</xdr:row>
      <xdr:rowOff>60658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98187" y="11478745"/>
          <a:ext cx="2020152" cy="2663461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455082</xdr:colOff>
      <xdr:row>73</xdr:row>
      <xdr:rowOff>14393</xdr:rowOff>
    </xdr:from>
    <xdr:to>
      <xdr:col>6</xdr:col>
      <xdr:colOff>162560</xdr:colOff>
      <xdr:row>90</xdr:row>
      <xdr:rowOff>20526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5082" y="10830560"/>
          <a:ext cx="3526156" cy="2513536"/>
        </a:xfrm>
        <a:prstGeom prst="rect">
          <a:avLst/>
        </a:prstGeom>
      </xdr:spPr>
    </xdr:pic>
    <xdr:clientData/>
  </xdr:twoCellAnchor>
  <xdr:twoCellAnchor editAs="oneCell">
    <xdr:from>
      <xdr:col>0</xdr:col>
      <xdr:colOff>441194</xdr:colOff>
      <xdr:row>92</xdr:row>
      <xdr:rowOff>26036</xdr:rowOff>
    </xdr:from>
    <xdr:to>
      <xdr:col>6</xdr:col>
      <xdr:colOff>160656</xdr:colOff>
      <xdr:row>107</xdr:row>
      <xdr:rowOff>131049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1194" y="13657369"/>
          <a:ext cx="3538140" cy="2321798"/>
        </a:xfrm>
        <a:prstGeom prst="rect">
          <a:avLst/>
        </a:prstGeom>
      </xdr:spPr>
    </xdr:pic>
    <xdr:clientData/>
  </xdr:twoCellAnchor>
  <xdr:twoCellAnchor editAs="oneCell">
    <xdr:from>
      <xdr:col>0</xdr:col>
      <xdr:colOff>368513</xdr:colOff>
      <xdr:row>108</xdr:row>
      <xdr:rowOff>59692</xdr:rowOff>
    </xdr:from>
    <xdr:to>
      <xdr:col>6</xdr:col>
      <xdr:colOff>103083</xdr:colOff>
      <xdr:row>113</xdr:row>
      <xdr:rowOff>131885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8513" y="16061692"/>
          <a:ext cx="3568488" cy="8130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560294</xdr:colOff>
      <xdr:row>0</xdr:row>
      <xdr:rowOff>44824</xdr:rowOff>
    </xdr:from>
    <xdr:to>
      <xdr:col>1</xdr:col>
      <xdr:colOff>535725</xdr:colOff>
      <xdr:row>3</xdr:row>
      <xdr:rowOff>76203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294" y="44824"/>
          <a:ext cx="580549" cy="502026"/>
        </a:xfrm>
        <a:prstGeom prst="rect">
          <a:avLst/>
        </a:prstGeom>
      </xdr:spPr>
    </xdr:pic>
    <xdr:clientData/>
  </xdr:twoCellAnchor>
  <xdr:twoCellAnchor editAs="oneCell">
    <xdr:from>
      <xdr:col>0</xdr:col>
      <xdr:colOff>401418</xdr:colOff>
      <xdr:row>80</xdr:row>
      <xdr:rowOff>105251</xdr:rowOff>
    </xdr:from>
    <xdr:to>
      <xdr:col>8</xdr:col>
      <xdr:colOff>553791</xdr:colOff>
      <xdr:row>95</xdr:row>
      <xdr:rowOff>136644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418" y="12487751"/>
          <a:ext cx="5107754" cy="2349302"/>
        </a:xfrm>
        <a:prstGeom prst="rect">
          <a:avLst/>
        </a:prstGeom>
      </xdr:spPr>
    </xdr:pic>
    <xdr:clientData/>
  </xdr:twoCellAnchor>
  <xdr:twoCellAnchor editAs="oneCell">
    <xdr:from>
      <xdr:col>0</xdr:col>
      <xdr:colOff>468303</xdr:colOff>
      <xdr:row>96</xdr:row>
      <xdr:rowOff>99060</xdr:rowOff>
    </xdr:from>
    <xdr:to>
      <xdr:col>7</xdr:col>
      <xdr:colOff>514249</xdr:colOff>
      <xdr:row>111</xdr:row>
      <xdr:rowOff>41521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8303" y="14958060"/>
          <a:ext cx="4416969" cy="2264180"/>
        </a:xfrm>
        <a:prstGeom prst="rect">
          <a:avLst/>
        </a:prstGeom>
      </xdr:spPr>
    </xdr:pic>
    <xdr:clientData/>
  </xdr:twoCellAnchor>
  <xdr:twoCellAnchor editAs="oneCell">
    <xdr:from>
      <xdr:col>8</xdr:col>
      <xdr:colOff>48410</xdr:colOff>
      <xdr:row>96</xdr:row>
      <xdr:rowOff>129065</xdr:rowOff>
    </xdr:from>
    <xdr:to>
      <xdr:col>16</xdr:col>
      <xdr:colOff>283296</xdr:colOff>
      <xdr:row>112</xdr:row>
      <xdr:rowOff>19291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13316" y="14988065"/>
          <a:ext cx="5096446" cy="23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319210</xdr:colOff>
      <xdr:row>112</xdr:row>
      <xdr:rowOff>56463</xdr:rowOff>
    </xdr:from>
    <xdr:to>
      <xdr:col>9</xdr:col>
      <xdr:colOff>516387</xdr:colOff>
      <xdr:row>128</xdr:row>
      <xdr:rowOff>18573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9210" y="17391963"/>
          <a:ext cx="5765492" cy="2451945"/>
        </a:xfrm>
        <a:prstGeom prst="rect">
          <a:avLst/>
        </a:prstGeom>
      </xdr:spPr>
    </xdr:pic>
    <xdr:clientData/>
  </xdr:twoCellAnchor>
  <xdr:twoCellAnchor editAs="oneCell">
    <xdr:from>
      <xdr:col>10</xdr:col>
      <xdr:colOff>189048</xdr:colOff>
      <xdr:row>112</xdr:row>
      <xdr:rowOff>22440</xdr:rowOff>
    </xdr:from>
    <xdr:to>
      <xdr:col>15</xdr:col>
      <xdr:colOff>363385</xdr:colOff>
      <xdr:row>130</xdr:row>
      <xdr:rowOff>1052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68392" y="17357940"/>
          <a:ext cx="3200906" cy="2764675"/>
        </a:xfrm>
        <a:prstGeom prst="rect">
          <a:avLst/>
        </a:prstGeom>
      </xdr:spPr>
    </xdr:pic>
    <xdr:clientData/>
  </xdr:twoCellAnchor>
  <xdr:twoCellAnchor editAs="oneCell">
    <xdr:from>
      <xdr:col>0</xdr:col>
      <xdr:colOff>225743</xdr:colOff>
      <xdr:row>61</xdr:row>
      <xdr:rowOff>134302</xdr:rowOff>
    </xdr:from>
    <xdr:to>
      <xdr:col>6</xdr:col>
      <xdr:colOff>549703</xdr:colOff>
      <xdr:row>78</xdr:row>
      <xdr:rowOff>55244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5743" y="9430702"/>
          <a:ext cx="4080620" cy="2511742"/>
        </a:xfrm>
        <a:prstGeom prst="rect">
          <a:avLst/>
        </a:prstGeom>
      </xdr:spPr>
    </xdr:pic>
    <xdr:clientData/>
  </xdr:twoCellAnchor>
  <xdr:twoCellAnchor editAs="oneCell">
    <xdr:from>
      <xdr:col>0</xdr:col>
      <xdr:colOff>270034</xdr:colOff>
      <xdr:row>45</xdr:row>
      <xdr:rowOff>87155</xdr:rowOff>
    </xdr:from>
    <xdr:to>
      <xdr:col>6</xdr:col>
      <xdr:colOff>514495</xdr:colOff>
      <xdr:row>61</xdr:row>
      <xdr:rowOff>37624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0034" y="6945155"/>
          <a:ext cx="4006836" cy="2388869"/>
        </a:xfrm>
        <a:prstGeom prst="rect">
          <a:avLst/>
        </a:prstGeom>
      </xdr:spPr>
    </xdr:pic>
    <xdr:clientData/>
  </xdr:twoCellAnchor>
  <xdr:twoCellAnchor editAs="oneCell">
    <xdr:from>
      <xdr:col>0</xdr:col>
      <xdr:colOff>341471</xdr:colOff>
      <xdr:row>128</xdr:row>
      <xdr:rowOff>111444</xdr:rowOff>
    </xdr:from>
    <xdr:to>
      <xdr:col>7</xdr:col>
      <xdr:colOff>587791</xdr:colOff>
      <xdr:row>146</xdr:row>
      <xdr:rowOff>92870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1471" y="19923444"/>
          <a:ext cx="4596388" cy="27560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249631</xdr:colOff>
      <xdr:row>0</xdr:row>
      <xdr:rowOff>106680</xdr:rowOff>
    </xdr:from>
    <xdr:to>
      <xdr:col>1</xdr:col>
      <xdr:colOff>479450</xdr:colOff>
      <xdr:row>3</xdr:row>
      <xdr:rowOff>53340</xdr:rowOff>
    </xdr:to>
    <xdr:pic>
      <xdr:nvPicPr>
        <xdr:cNvPr id="5" name="Obraz 4" descr="PGNi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631" y="106680"/>
          <a:ext cx="839419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390737</xdr:colOff>
      <xdr:row>47</xdr:row>
      <xdr:rowOff>104568</xdr:rowOff>
    </xdr:from>
    <xdr:to>
      <xdr:col>22</xdr:col>
      <xdr:colOff>2117</xdr:colOff>
      <xdr:row>62</xdr:row>
      <xdr:rowOff>21565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9737" y="7555235"/>
          <a:ext cx="5707380" cy="2718617"/>
        </a:xfrm>
        <a:prstGeom prst="rect">
          <a:avLst/>
        </a:prstGeom>
      </xdr:spPr>
    </xdr:pic>
    <xdr:clientData/>
  </xdr:twoCellAnchor>
  <xdr:twoCellAnchor editAs="oneCell">
    <xdr:from>
      <xdr:col>19</xdr:col>
      <xdr:colOff>537726</xdr:colOff>
      <xdr:row>2</xdr:row>
      <xdr:rowOff>113242</xdr:rowOff>
    </xdr:from>
    <xdr:to>
      <xdr:col>24</xdr:col>
      <xdr:colOff>549183</xdr:colOff>
      <xdr:row>16</xdr:row>
      <xdr:rowOff>94601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13926" y="418042"/>
          <a:ext cx="3055647" cy="2124484"/>
        </a:xfrm>
        <a:prstGeom prst="rect">
          <a:avLst/>
        </a:prstGeom>
      </xdr:spPr>
    </xdr:pic>
    <xdr:clientData/>
  </xdr:twoCellAnchor>
  <xdr:twoCellAnchor editAs="oneCell">
    <xdr:from>
      <xdr:col>9</xdr:col>
      <xdr:colOff>411276</xdr:colOff>
      <xdr:row>2</xdr:row>
      <xdr:rowOff>28575</xdr:rowOff>
    </xdr:from>
    <xdr:to>
      <xdr:col>19</xdr:col>
      <xdr:colOff>323408</xdr:colOff>
      <xdr:row>17</xdr:row>
      <xdr:rowOff>15240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50201" y="333375"/>
          <a:ext cx="6019561" cy="22669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368275</xdr:colOff>
      <xdr:row>21</xdr:row>
      <xdr:rowOff>10371</xdr:rowOff>
    </xdr:from>
    <xdr:to>
      <xdr:col>17</xdr:col>
      <xdr:colOff>170659</xdr:colOff>
      <xdr:row>34</xdr:row>
      <xdr:rowOff>93786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67675" y="3397038"/>
          <a:ext cx="3475224" cy="2143778"/>
        </a:xfrm>
        <a:prstGeom prst="rect">
          <a:avLst/>
        </a:prstGeom>
      </xdr:spPr>
    </xdr:pic>
    <xdr:clientData/>
  </xdr:twoCellAnchor>
  <xdr:twoCellAnchor editAs="oneCell">
    <xdr:from>
      <xdr:col>17</xdr:col>
      <xdr:colOff>271357</xdr:colOff>
      <xdr:row>21</xdr:row>
      <xdr:rowOff>26833</xdr:rowOff>
    </xdr:from>
    <xdr:to>
      <xdr:col>22</xdr:col>
      <xdr:colOff>591233</xdr:colOff>
      <xdr:row>29</xdr:row>
      <xdr:rowOff>168166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28357" y="3413500"/>
          <a:ext cx="3367876" cy="1354818"/>
        </a:xfrm>
        <a:prstGeom prst="rect">
          <a:avLst/>
        </a:prstGeom>
      </xdr:spPr>
    </xdr:pic>
    <xdr:clientData/>
  </xdr:twoCellAnchor>
  <xdr:twoCellAnchor editAs="oneCell">
    <xdr:from>
      <xdr:col>17</xdr:col>
      <xdr:colOff>258444</xdr:colOff>
      <xdr:row>30</xdr:row>
      <xdr:rowOff>55030</xdr:rowOff>
    </xdr:from>
    <xdr:to>
      <xdr:col>22</xdr:col>
      <xdr:colOff>475615</xdr:colOff>
      <xdr:row>43</xdr:row>
      <xdr:rowOff>60746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815444" y="4847163"/>
          <a:ext cx="3280411" cy="2026498"/>
        </a:xfrm>
        <a:prstGeom prst="rect">
          <a:avLst/>
        </a:prstGeom>
      </xdr:spPr>
    </xdr:pic>
    <xdr:clientData/>
  </xdr:twoCellAnchor>
  <xdr:twoCellAnchor editAs="oneCell">
    <xdr:from>
      <xdr:col>9</xdr:col>
      <xdr:colOff>486833</xdr:colOff>
      <xdr:row>17</xdr:row>
      <xdr:rowOff>75988</xdr:rowOff>
    </xdr:from>
    <xdr:to>
      <xdr:col>19</xdr:col>
      <xdr:colOff>324274</xdr:colOff>
      <xdr:row>19</xdr:row>
      <xdr:rowOff>302501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54333" y="2594821"/>
          <a:ext cx="5979584" cy="522847"/>
        </a:xfrm>
        <a:prstGeom prst="rect">
          <a:avLst/>
        </a:prstGeom>
      </xdr:spPr>
    </xdr:pic>
    <xdr:clientData/>
  </xdr:twoCellAnchor>
  <xdr:twoCellAnchor editAs="oneCell">
    <xdr:from>
      <xdr:col>1</xdr:col>
      <xdr:colOff>29845</xdr:colOff>
      <xdr:row>43</xdr:row>
      <xdr:rowOff>96221</xdr:rowOff>
    </xdr:from>
    <xdr:to>
      <xdr:col>9</xdr:col>
      <xdr:colOff>514773</xdr:colOff>
      <xdr:row>59</xdr:row>
      <xdr:rowOff>55379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3678" y="6721388"/>
          <a:ext cx="6542405" cy="27520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PanD/Prezentacje/DVD%20dla%20DH/Kalkulatory%20doborowe/18%20Kalkulator%20doborowy%20pomp%20ciep&#322;a%20typu%20Split%202020-0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!PanD/Prezentacje/Szkolenia%20dla%20MA/DH%20Tagung%202020_04/R32%20-%20napelnien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 obliczeń"/>
      <sheetName val="Obliczenia"/>
      <sheetName val="dane pomp ciepla"/>
      <sheetName val="Dane wejsciowe"/>
      <sheetName val="SCOP Rozwiazanie 1"/>
      <sheetName val="SCOP Rozwiazanie 2"/>
      <sheetName val="rozwiazanie 1"/>
      <sheetName val="rozwiazanie 2"/>
      <sheetName val="Arkusz koszow energii"/>
      <sheetName val="Klimat"/>
    </sheetNames>
    <sheetDataSet>
      <sheetData sheetId="0"/>
      <sheetData sheetId="1">
        <row r="197">
          <cell r="B197">
            <v>1</v>
          </cell>
          <cell r="I197">
            <v>1</v>
          </cell>
        </row>
        <row r="283">
          <cell r="AC283">
            <v>1</v>
          </cell>
          <cell r="AD283"/>
        </row>
        <row r="284">
          <cell r="AC284">
            <v>0</v>
          </cell>
          <cell r="AD284"/>
        </row>
      </sheetData>
      <sheetData sheetId="2">
        <row r="3">
          <cell r="M3" t="str">
            <v>100-S ~230 V</v>
          </cell>
        </row>
        <row r="4">
          <cell r="M4" t="str">
            <v>Vitocal 100-S AWB-M-E(-AC) 101.B04</v>
          </cell>
        </row>
        <row r="5">
          <cell r="M5" t="str">
            <v>Vitocal 100-S AWB-M-E(-AC) 101.B06</v>
          </cell>
        </row>
        <row r="6">
          <cell r="M6" t="str">
            <v>Vitocal 100-S AWB-M-E(-AC) 101.B08</v>
          </cell>
        </row>
        <row r="7">
          <cell r="M7" t="str">
            <v>Vitocal 100-S AWB-M-E(-AC) 101.A12</v>
          </cell>
        </row>
        <row r="8">
          <cell r="M8" t="str">
            <v>Vitocal 100-S AWB-M-E(-AC) 101.A14</v>
          </cell>
        </row>
        <row r="9">
          <cell r="M9" t="str">
            <v>Vitocal 100-S AWB-M-E(-AC) 101.A16</v>
          </cell>
        </row>
        <row r="10">
          <cell r="M10" t="str">
            <v>100-S ~400 V</v>
          </cell>
        </row>
        <row r="11">
          <cell r="M11" t="str">
            <v>Vitocal 100-S AWB-E(-AC) 101.A12</v>
          </cell>
        </row>
        <row r="12">
          <cell r="M12" t="str">
            <v>Vitocal 100-S AWB-E(-AC) 101.A14</v>
          </cell>
        </row>
        <row r="13">
          <cell r="M13" t="str">
            <v>Vitocal 100-S AWB-E(-AC) 101.A16</v>
          </cell>
        </row>
        <row r="14">
          <cell r="M14" t="str">
            <v>200-S ~230V</v>
          </cell>
        </row>
        <row r="15">
          <cell r="M15" t="str">
            <v>Vitocal 200-S AWB-M-E(-AC) 201.D04</v>
          </cell>
        </row>
        <row r="16">
          <cell r="M16" t="str">
            <v>Vitocal 200-S AWB-M-E(-AC) 201.D06</v>
          </cell>
        </row>
        <row r="17">
          <cell r="M17" t="str">
            <v>Vitocal 200-S AWB-M-E(-AC) 201.D08</v>
          </cell>
        </row>
        <row r="18">
          <cell r="M18" t="str">
            <v>200-S ~400V</v>
          </cell>
        </row>
        <row r="19">
          <cell r="M19" t="str">
            <v>Vitocal 200-S AWB-E(-AC) 201.D10</v>
          </cell>
        </row>
        <row r="20">
          <cell r="M20" t="str">
            <v>Vitocal 200-S AWB-E(-AC) 201.D13</v>
          </cell>
        </row>
        <row r="21">
          <cell r="M21" t="str">
            <v>Vitocal 200-S AWB-E(-AC) 201.D16</v>
          </cell>
        </row>
      </sheetData>
      <sheetData sheetId="3"/>
      <sheetData sheetId="4"/>
      <sheetData sheetId="5"/>
      <sheetData sheetId="6">
        <row r="133">
          <cell r="B133" t="str">
            <v>Ogrzewanie podłogowe 35/28</v>
          </cell>
        </row>
        <row r="134">
          <cell r="B134" t="str">
            <v>Grzejniki płytowe 45/35</v>
          </cell>
        </row>
        <row r="135">
          <cell r="B135" t="str">
            <v>Grzejniki płytowe 55/45</v>
          </cell>
        </row>
        <row r="136">
          <cell r="B136" t="str">
            <v>Układ mieszany 55/45 i 35/28</v>
          </cell>
        </row>
        <row r="139">
          <cell r="B139" t="str">
            <v>Układ monowalentny</v>
          </cell>
        </row>
        <row r="140">
          <cell r="B140" t="str">
            <v>=&gt; Grzałka elektryczna</v>
          </cell>
        </row>
        <row r="141">
          <cell r="B141" t="str">
            <v>Układ biwalentny</v>
          </cell>
        </row>
        <row r="142">
          <cell r="B142" t="str">
            <v>=&gt; Kocioł gazowy tradycyjny</v>
          </cell>
        </row>
        <row r="143">
          <cell r="B143" t="str">
            <v>=&gt; Kocioł gazowy kondensacyjny</v>
          </cell>
        </row>
        <row r="144">
          <cell r="B144" t="str">
            <v>=&gt; Kocioł na propan tradycyjny</v>
          </cell>
        </row>
        <row r="145">
          <cell r="B145" t="str">
            <v>=&gt; Kocioł na propan kondensacyjny</v>
          </cell>
        </row>
        <row r="146">
          <cell r="B146" t="str">
            <v>=&gt; Kocioł na olej tradycyjny</v>
          </cell>
        </row>
        <row r="147">
          <cell r="B147" t="str">
            <v>=&gt; Kocioł na olej kondensacyjny</v>
          </cell>
        </row>
      </sheetData>
      <sheetData sheetId="7"/>
      <sheetData sheetId="8"/>
      <sheetData sheetId="9">
        <row r="64">
          <cell r="A64" t="str">
            <v>Białystok [-22]</v>
          </cell>
        </row>
        <row r="65">
          <cell r="A65" t="str">
            <v>Gdańsk [-16]</v>
          </cell>
        </row>
        <row r="66">
          <cell r="A66" t="str">
            <v>Gorzów Wielkopolski [-18]</v>
          </cell>
        </row>
        <row r="67">
          <cell r="A67" t="str">
            <v>Katowice [-20]</v>
          </cell>
        </row>
        <row r="68">
          <cell r="A68" t="str">
            <v>Kraków [-20]</v>
          </cell>
        </row>
        <row r="69">
          <cell r="A69" t="str">
            <v>Łódź [-20]</v>
          </cell>
        </row>
        <row r="70">
          <cell r="A70" t="str">
            <v>Suwałki [-24]</v>
          </cell>
        </row>
        <row r="71">
          <cell r="A71" t="str">
            <v>Szczecin [-16]</v>
          </cell>
        </row>
        <row r="72">
          <cell r="A72" t="str">
            <v>Warszawa [-20]</v>
          </cell>
        </row>
        <row r="73">
          <cell r="A73" t="str">
            <v>Wrocław [-18]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Arkusz2"/>
    </sheetNames>
    <sheetDataSet>
      <sheetData sheetId="0">
        <row r="4">
          <cell r="D4">
            <v>0</v>
          </cell>
          <cell r="E4">
            <v>1.8420000000000001</v>
          </cell>
          <cell r="G4" t="str">
            <v>A</v>
          </cell>
          <cell r="H4">
            <v>0</v>
          </cell>
          <cell r="I4">
            <v>0</v>
          </cell>
          <cell r="J4">
            <v>1.8420000000000001</v>
          </cell>
          <cell r="M4" t="str">
            <v>A</v>
          </cell>
          <cell r="N4">
            <v>0</v>
          </cell>
          <cell r="O4">
            <v>0</v>
          </cell>
          <cell r="P4">
            <v>1.8420000000000001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F9114-BA86-4F95-86C0-411E6CD9D0B8}">
  <dimension ref="A1:BK221"/>
  <sheetViews>
    <sheetView showGridLines="0" tabSelected="1" zoomScale="80" zoomScaleNormal="80" workbookViewId="0">
      <selection activeCell="C10" sqref="C10:K11"/>
    </sheetView>
  </sheetViews>
  <sheetFormatPr defaultRowHeight="14.4" x14ac:dyDescent="0.3"/>
  <cols>
    <col min="1" max="1" width="0.77734375" customWidth="1"/>
    <col min="2" max="2" width="8.33203125" customWidth="1"/>
    <col min="3" max="3" width="9.6640625" customWidth="1"/>
    <col min="4" max="4" width="8.77734375" customWidth="1"/>
    <col min="8" max="8" width="9.44140625" customWidth="1"/>
    <col min="10" max="10" width="8.88671875" customWidth="1"/>
    <col min="19" max="19" width="8.44140625" customWidth="1"/>
    <col min="22" max="22" width="1.88671875" customWidth="1"/>
    <col min="23" max="23" width="0.88671875" customWidth="1"/>
    <col min="24" max="24" width="13.33203125" style="67" customWidth="1"/>
    <col min="25" max="25" width="30.33203125" style="68" bestFit="1" customWidth="1"/>
    <col min="26" max="26" width="12.33203125" style="68" bestFit="1" customWidth="1"/>
    <col min="27" max="27" width="26.6640625" style="68" customWidth="1"/>
    <col min="28" max="29" width="8.88671875" style="62"/>
    <col min="30" max="30" width="36" style="62" customWidth="1"/>
    <col min="31" max="31" width="16.109375" style="62" customWidth="1"/>
    <col min="32" max="43" width="8.88671875" style="62"/>
    <col min="44" max="44" width="8.88671875" style="15"/>
    <col min="45" max="45" width="9.77734375" style="15" bestFit="1" customWidth="1"/>
    <col min="46" max="50" width="8.88671875" style="15"/>
  </cols>
  <sheetData>
    <row r="1" spans="1:63" x14ac:dyDescent="0.3">
      <c r="A1" s="10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7"/>
      <c r="R1" s="92"/>
      <c r="S1" s="63"/>
      <c r="T1" s="63"/>
      <c r="U1" s="7"/>
      <c r="V1" s="7"/>
      <c r="W1" s="10"/>
    </row>
    <row r="2" spans="1:63" x14ac:dyDescent="0.3">
      <c r="A2" s="10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2"/>
      <c r="O2" s="2"/>
      <c r="P2" s="317" t="s">
        <v>8</v>
      </c>
      <c r="Q2" s="318">
        <f ca="1">TODAY()</f>
        <v>45057</v>
      </c>
      <c r="R2" s="318"/>
      <c r="S2" s="319" t="s">
        <v>294</v>
      </c>
      <c r="T2" s="319"/>
      <c r="U2" s="93"/>
      <c r="V2" s="7"/>
      <c r="W2" s="10"/>
    </row>
    <row r="3" spans="1:63" x14ac:dyDescent="0.3">
      <c r="A3" s="10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2"/>
      <c r="O3" s="2"/>
      <c r="P3" s="317"/>
      <c r="Q3" s="318"/>
      <c r="R3" s="318"/>
      <c r="S3" s="319"/>
      <c r="T3" s="319"/>
      <c r="U3" s="93"/>
      <c r="V3" s="7"/>
      <c r="W3" s="10"/>
    </row>
    <row r="4" spans="1:63" x14ac:dyDescent="0.3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10"/>
    </row>
    <row r="5" spans="1:63" x14ac:dyDescent="0.3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10"/>
    </row>
    <row r="6" spans="1:63" x14ac:dyDescent="0.3">
      <c r="A6" s="10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10"/>
    </row>
    <row r="7" spans="1:63" x14ac:dyDescent="0.3">
      <c r="A7" s="10"/>
      <c r="B7" s="8"/>
      <c r="C7" s="320" t="s">
        <v>67</v>
      </c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8"/>
      <c r="R7" s="8"/>
      <c r="S7" s="8"/>
      <c r="T7" s="8"/>
      <c r="U7" s="8"/>
      <c r="V7" s="8"/>
      <c r="W7" s="10"/>
    </row>
    <row r="8" spans="1:63" x14ac:dyDescent="0.3">
      <c r="A8" s="10"/>
      <c r="B8" s="8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8"/>
      <c r="R8" s="8"/>
      <c r="S8" s="8"/>
      <c r="T8" s="8"/>
      <c r="U8" s="8"/>
      <c r="V8" s="8"/>
      <c r="W8" s="10"/>
    </row>
    <row r="9" spans="1:63" x14ac:dyDescent="0.3">
      <c r="A9" s="10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10"/>
    </row>
    <row r="10" spans="1:63" x14ac:dyDescent="0.3">
      <c r="A10" s="10"/>
      <c r="B10" s="8"/>
      <c r="C10" s="321" t="s">
        <v>298</v>
      </c>
      <c r="D10" s="321"/>
      <c r="E10" s="321"/>
      <c r="F10" s="321"/>
      <c r="G10" s="321"/>
      <c r="H10" s="321"/>
      <c r="I10" s="321"/>
      <c r="J10" s="321"/>
      <c r="K10" s="321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10"/>
    </row>
    <row r="11" spans="1:63" x14ac:dyDescent="0.3">
      <c r="A11" s="10"/>
      <c r="B11" s="8"/>
      <c r="C11" s="322"/>
      <c r="D11" s="322"/>
      <c r="E11" s="322"/>
      <c r="F11" s="322"/>
      <c r="G11" s="322"/>
      <c r="H11" s="322"/>
      <c r="I11" s="322"/>
      <c r="J11" s="322"/>
      <c r="K11" s="322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10"/>
    </row>
    <row r="12" spans="1:63" x14ac:dyDescent="0.3">
      <c r="A12" s="10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10"/>
    </row>
    <row r="13" spans="1:63" x14ac:dyDescent="0.3">
      <c r="A13" s="10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10"/>
    </row>
    <row r="14" spans="1:63" s="13" customFormat="1" x14ac:dyDescent="0.3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1"/>
      <c r="X14" s="67"/>
      <c r="Y14" s="68"/>
      <c r="Z14" s="68"/>
      <c r="AA14" s="68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15"/>
      <c r="AS14" s="15"/>
      <c r="AT14" s="15"/>
      <c r="AU14" s="15"/>
      <c r="AV14" s="15"/>
      <c r="AW14" s="15"/>
      <c r="AX14" s="15"/>
    </row>
    <row r="15" spans="1:63" s="5" customFormat="1" x14ac:dyDescent="0.3">
      <c r="A15" s="10"/>
      <c r="B15" s="7"/>
      <c r="C15" s="307" t="s">
        <v>9</v>
      </c>
      <c r="D15" s="307"/>
      <c r="E15" s="307"/>
      <c r="F15" s="307"/>
      <c r="G15" s="307"/>
      <c r="H15" s="70"/>
      <c r="I15" s="70"/>
      <c r="J15" s="70"/>
      <c r="K15" s="70"/>
      <c r="L15" s="18"/>
      <c r="M15" s="18"/>
      <c r="N15" s="75"/>
      <c r="O15" s="75"/>
      <c r="P15" s="76"/>
      <c r="Q15" s="76"/>
      <c r="R15" s="76"/>
      <c r="S15" s="76"/>
      <c r="T15" s="76"/>
      <c r="U15" s="7"/>
      <c r="V15" s="7"/>
      <c r="W15" s="10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4"/>
      <c r="AL15" s="64"/>
      <c r="AM15" s="64"/>
      <c r="AN15" s="64"/>
      <c r="AO15" s="64"/>
      <c r="AP15" s="6"/>
      <c r="AQ15" s="6"/>
      <c r="AR15" s="17"/>
      <c r="AS15" s="17"/>
      <c r="AT15" s="17"/>
      <c r="AU15" s="17"/>
      <c r="AV15" s="17"/>
      <c r="AW15" s="17"/>
      <c r="AX15" s="17"/>
      <c r="BC15" s="17"/>
      <c r="BD15" s="17"/>
      <c r="BE15" s="17"/>
      <c r="BF15" s="17"/>
      <c r="BG15" s="17"/>
      <c r="BH15" s="17"/>
      <c r="BI15" s="17"/>
      <c r="BJ15" s="17"/>
      <c r="BK15" s="17"/>
    </row>
    <row r="16" spans="1:63" s="5" customFormat="1" ht="14.4" customHeight="1" x14ac:dyDescent="0.3">
      <c r="A16" s="10"/>
      <c r="B16" s="7"/>
      <c r="C16" s="307"/>
      <c r="D16" s="307"/>
      <c r="E16" s="307"/>
      <c r="F16" s="307"/>
      <c r="G16" s="307"/>
      <c r="H16" s="70"/>
      <c r="I16" s="309">
        <v>129</v>
      </c>
      <c r="J16" s="309"/>
      <c r="K16" s="323" t="s">
        <v>12</v>
      </c>
      <c r="L16" s="323"/>
      <c r="M16" s="323"/>
      <c r="N16" s="76"/>
      <c r="O16" s="7"/>
      <c r="P16" s="7"/>
      <c r="Q16" s="7"/>
      <c r="R16" s="7"/>
      <c r="S16" s="7"/>
      <c r="T16" s="7"/>
      <c r="U16" s="7"/>
      <c r="V16" s="7"/>
      <c r="W16" s="10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4"/>
      <c r="AL16" s="64"/>
      <c r="AM16" s="64"/>
      <c r="AN16" s="64"/>
      <c r="AO16" s="64"/>
      <c r="AP16" s="6"/>
      <c r="AQ16" s="6"/>
      <c r="AR16" s="17"/>
      <c r="AS16" s="17"/>
      <c r="AT16" s="17"/>
      <c r="AU16" s="17"/>
      <c r="AV16" s="17"/>
      <c r="AW16" s="17"/>
      <c r="AX16" s="17"/>
      <c r="BC16" s="17"/>
      <c r="BD16" s="17"/>
      <c r="BE16" s="17"/>
      <c r="BF16" s="17"/>
      <c r="BG16" s="17"/>
      <c r="BH16" s="17"/>
      <c r="BI16" s="17"/>
      <c r="BJ16" s="17"/>
      <c r="BK16" s="17"/>
    </row>
    <row r="17" spans="1:63" s="5" customFormat="1" ht="14.4" customHeight="1" x14ac:dyDescent="0.3">
      <c r="A17" s="10"/>
      <c r="B17" s="7"/>
      <c r="C17" s="308"/>
      <c r="D17" s="308"/>
      <c r="E17" s="308"/>
      <c r="F17" s="308"/>
      <c r="G17" s="308"/>
      <c r="H17" s="71"/>
      <c r="I17" s="324" t="s">
        <v>68</v>
      </c>
      <c r="J17" s="324"/>
      <c r="K17" s="71"/>
      <c r="L17" s="80"/>
      <c r="M17" s="81"/>
      <c r="N17" s="75"/>
      <c r="O17" s="7"/>
      <c r="P17" s="7"/>
      <c r="Q17" s="7"/>
      <c r="R17" s="7"/>
      <c r="S17" s="7"/>
      <c r="T17" s="7"/>
      <c r="U17" s="7"/>
      <c r="V17" s="7"/>
      <c r="W17" s="10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4"/>
      <c r="AL17" s="64"/>
      <c r="AM17" s="64"/>
      <c r="AN17" s="64"/>
      <c r="AO17" s="64"/>
      <c r="AP17" s="6"/>
      <c r="AQ17" s="6"/>
      <c r="AR17" s="17"/>
      <c r="AS17" s="17"/>
      <c r="AT17" s="17"/>
      <c r="AU17" s="17"/>
      <c r="AV17" s="17"/>
      <c r="AW17" s="17"/>
      <c r="AX17" s="17"/>
      <c r="BC17" s="17"/>
      <c r="BD17" s="17"/>
      <c r="BE17" s="17"/>
      <c r="BF17" s="17"/>
      <c r="BG17" s="17"/>
      <c r="BH17" s="17"/>
      <c r="BI17" s="17"/>
      <c r="BJ17" s="17"/>
      <c r="BK17" s="17"/>
    </row>
    <row r="18" spans="1:63" s="5" customFormat="1" ht="15" x14ac:dyDescent="0.35">
      <c r="A18" s="10"/>
      <c r="B18" s="7"/>
      <c r="C18" s="306" t="s">
        <v>10</v>
      </c>
      <c r="D18" s="306"/>
      <c r="E18" s="306"/>
      <c r="F18" s="306"/>
      <c r="G18" s="306"/>
      <c r="H18" s="72"/>
      <c r="I18" s="72"/>
      <c r="J18" s="72"/>
      <c r="K18" s="72"/>
      <c r="L18" s="83"/>
      <c r="M18" s="83"/>
      <c r="N18" s="75"/>
      <c r="O18" s="77" t="s">
        <v>25</v>
      </c>
      <c r="P18" s="75"/>
      <c r="Q18" s="76"/>
      <c r="R18" s="79"/>
      <c r="S18" s="84"/>
      <c r="T18" s="79"/>
      <c r="U18" s="7"/>
      <c r="V18" s="7"/>
      <c r="W18" s="10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4"/>
      <c r="AL18" s="64"/>
      <c r="AM18" s="64"/>
      <c r="AN18" s="64"/>
      <c r="AO18" s="64"/>
      <c r="AP18" s="6"/>
      <c r="AQ18" s="6"/>
      <c r="AR18" s="17"/>
      <c r="AS18" s="17"/>
      <c r="AT18" s="17"/>
      <c r="AU18" s="17"/>
      <c r="AV18" s="17"/>
      <c r="AW18" s="17"/>
      <c r="AX18" s="17"/>
      <c r="BC18" s="17"/>
      <c r="BD18" s="17"/>
      <c r="BE18" s="17"/>
      <c r="BF18" s="17"/>
      <c r="BG18" s="17"/>
      <c r="BH18" s="17"/>
      <c r="BI18" s="17"/>
      <c r="BJ18" s="17"/>
      <c r="BK18" s="17"/>
    </row>
    <row r="19" spans="1:63" s="5" customFormat="1" ht="14.4" customHeight="1" x14ac:dyDescent="0.3">
      <c r="A19" s="10"/>
      <c r="B19" s="7"/>
      <c r="C19" s="307"/>
      <c r="D19" s="307"/>
      <c r="E19" s="307"/>
      <c r="F19" s="307"/>
      <c r="G19" s="307"/>
      <c r="H19" s="70"/>
      <c r="I19" s="309">
        <v>80</v>
      </c>
      <c r="J19" s="309"/>
      <c r="K19" s="310" t="s">
        <v>11</v>
      </c>
      <c r="L19" s="310"/>
      <c r="M19" s="310"/>
      <c r="N19" s="75"/>
      <c r="O19" s="87" t="s">
        <v>66</v>
      </c>
      <c r="P19" s="78"/>
      <c r="Q19" s="76"/>
      <c r="R19" s="7"/>
      <c r="S19" s="84" t="s">
        <v>23</v>
      </c>
      <c r="T19" s="79" t="s">
        <v>22</v>
      </c>
      <c r="U19" s="7"/>
      <c r="V19" s="7"/>
      <c r="W19" s="10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4"/>
      <c r="AL19" s="64"/>
      <c r="AM19" s="64"/>
      <c r="AN19" s="64"/>
      <c r="AO19" s="64"/>
      <c r="AP19" s="6"/>
      <c r="AQ19" s="6"/>
      <c r="AR19" s="17"/>
      <c r="AS19" s="17"/>
      <c r="AT19" s="17"/>
      <c r="AU19" s="17"/>
      <c r="AV19" s="17"/>
      <c r="AW19" s="17"/>
      <c r="AX19" s="17"/>
      <c r="BC19" s="17"/>
      <c r="BD19" s="17"/>
      <c r="BE19" s="17"/>
      <c r="BF19" s="17"/>
      <c r="BG19" s="17"/>
      <c r="BH19" s="17"/>
      <c r="BI19" s="17"/>
      <c r="BJ19" s="17"/>
      <c r="BK19" s="17"/>
    </row>
    <row r="20" spans="1:63" s="5" customFormat="1" ht="14.4" customHeight="1" x14ac:dyDescent="0.3">
      <c r="A20" s="10"/>
      <c r="B20" s="7"/>
      <c r="C20" s="308"/>
      <c r="D20" s="308"/>
      <c r="E20" s="308"/>
      <c r="F20" s="308"/>
      <c r="G20" s="308"/>
      <c r="H20" s="71"/>
      <c r="I20" s="324" t="s">
        <v>50</v>
      </c>
      <c r="J20" s="324"/>
      <c r="K20" s="71"/>
      <c r="L20" s="85"/>
      <c r="M20" s="85"/>
      <c r="N20" s="86"/>
      <c r="O20" s="87" t="s">
        <v>18</v>
      </c>
      <c r="P20" s="78"/>
      <c r="Q20" s="76"/>
      <c r="R20" s="7"/>
      <c r="S20" s="84" t="s">
        <v>24</v>
      </c>
      <c r="T20" s="79" t="s">
        <v>22</v>
      </c>
      <c r="U20" s="7"/>
      <c r="V20" s="7"/>
      <c r="W20" s="10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4"/>
      <c r="AL20" s="64"/>
      <c r="AM20" s="64"/>
      <c r="AN20" s="64"/>
      <c r="AO20" s="64"/>
      <c r="AP20" s="6"/>
      <c r="AQ20" s="6"/>
      <c r="AR20" s="17"/>
      <c r="AS20" s="17"/>
      <c r="AT20" s="17"/>
      <c r="AU20" s="17"/>
      <c r="AV20" s="17"/>
      <c r="AW20" s="17"/>
      <c r="AX20" s="17"/>
      <c r="BC20" s="17"/>
      <c r="BD20" s="17"/>
      <c r="BE20" s="17"/>
      <c r="BF20" s="17"/>
      <c r="BG20" s="17"/>
      <c r="BH20" s="17"/>
      <c r="BI20" s="17"/>
      <c r="BJ20" s="17"/>
      <c r="BK20" s="17"/>
    </row>
    <row r="21" spans="1:63" s="5" customFormat="1" ht="14.4" customHeight="1" x14ac:dyDescent="0.3">
      <c r="A21" s="10"/>
      <c r="B21" s="7"/>
      <c r="C21" s="73"/>
      <c r="D21" s="73"/>
      <c r="E21" s="73"/>
      <c r="F21" s="73"/>
      <c r="G21" s="73"/>
      <c r="H21" s="73"/>
      <c r="I21" s="73"/>
      <c r="J21" s="73"/>
      <c r="K21" s="73"/>
      <c r="L21" s="83"/>
      <c r="M21" s="83"/>
      <c r="N21" s="75"/>
      <c r="O21" s="88" t="s">
        <v>19</v>
      </c>
      <c r="P21" s="78"/>
      <c r="Q21" s="76"/>
      <c r="R21" s="7"/>
      <c r="S21" s="84" t="s">
        <v>26</v>
      </c>
      <c r="T21" s="79" t="s">
        <v>22</v>
      </c>
      <c r="U21" s="7"/>
      <c r="V21" s="7"/>
      <c r="W21" s="10"/>
      <c r="X21" s="6"/>
      <c r="Y21" s="68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4"/>
      <c r="AL21" s="64"/>
      <c r="AM21" s="64"/>
      <c r="AN21" s="64"/>
      <c r="AO21" s="64"/>
      <c r="AP21" s="6"/>
      <c r="AQ21" s="6"/>
      <c r="AR21" s="17"/>
      <c r="AS21" s="17"/>
      <c r="AT21" s="17"/>
      <c r="AU21" s="17"/>
      <c r="AV21" s="17"/>
      <c r="AW21" s="17"/>
      <c r="AX21" s="17"/>
      <c r="BC21" s="17"/>
      <c r="BD21" s="17"/>
      <c r="BE21" s="17"/>
      <c r="BF21" s="17"/>
      <c r="BG21" s="17"/>
      <c r="BH21" s="17"/>
      <c r="BI21" s="17"/>
      <c r="BJ21" s="17"/>
      <c r="BK21" s="17"/>
    </row>
    <row r="22" spans="1:63" s="5" customFormat="1" ht="14.4" customHeight="1" x14ac:dyDescent="0.3">
      <c r="A22" s="10"/>
      <c r="B22" s="7"/>
      <c r="C22" s="73" t="s">
        <v>13</v>
      </c>
      <c r="D22" s="73"/>
      <c r="E22" s="73"/>
      <c r="F22" s="73"/>
      <c r="G22" s="73"/>
      <c r="H22" s="73"/>
      <c r="I22" s="309">
        <v>5</v>
      </c>
      <c r="J22" s="309"/>
      <c r="K22" s="323" t="str">
        <f>IF(I22=1,"[ osoba ]",IF(I22&lt;5,"[ osoby ]","[ osób ]"))</f>
        <v>[ osób ]</v>
      </c>
      <c r="L22" s="323"/>
      <c r="M22" s="323"/>
      <c r="N22" s="75"/>
      <c r="O22" s="88" t="s">
        <v>20</v>
      </c>
      <c r="P22" s="78"/>
      <c r="Q22" s="76"/>
      <c r="R22" s="7"/>
      <c r="S22" s="84" t="s">
        <v>27</v>
      </c>
      <c r="T22" s="79" t="s">
        <v>22</v>
      </c>
      <c r="U22" s="7"/>
      <c r="V22" s="7"/>
      <c r="W22" s="10"/>
      <c r="X22" s="6"/>
      <c r="Y22" s="68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4"/>
      <c r="AL22" s="64"/>
      <c r="AM22" s="64"/>
      <c r="AN22" s="64"/>
      <c r="AO22" s="64"/>
      <c r="AP22" s="6"/>
      <c r="AQ22" s="6"/>
      <c r="AR22" s="17"/>
      <c r="AS22" s="17"/>
      <c r="AT22" s="17"/>
      <c r="AU22" s="17"/>
      <c r="AV22" s="17"/>
      <c r="AW22" s="17"/>
      <c r="AX22" s="17"/>
      <c r="BC22" s="17"/>
      <c r="BD22" s="17"/>
      <c r="BE22" s="17"/>
      <c r="BF22" s="17"/>
      <c r="BG22" s="17"/>
      <c r="BH22" s="17"/>
      <c r="BI22" s="17"/>
      <c r="BJ22" s="17"/>
      <c r="BK22" s="17"/>
    </row>
    <row r="23" spans="1:63" s="5" customFormat="1" ht="14.4" customHeight="1" x14ac:dyDescent="0.3">
      <c r="A23" s="10"/>
      <c r="B23" s="7"/>
      <c r="C23" s="73"/>
      <c r="D23" s="73"/>
      <c r="E23" s="73"/>
      <c r="F23" s="73"/>
      <c r="G23" s="73"/>
      <c r="H23" s="73"/>
      <c r="I23" s="305" t="s">
        <v>292</v>
      </c>
      <c r="J23" s="305"/>
      <c r="K23" s="73"/>
      <c r="L23" s="85"/>
      <c r="M23" s="80"/>
      <c r="N23" s="75"/>
      <c r="O23" s="88" t="s">
        <v>21</v>
      </c>
      <c r="P23" s="78"/>
      <c r="Q23" s="76"/>
      <c r="R23" s="7"/>
      <c r="S23" s="84" t="s">
        <v>28</v>
      </c>
      <c r="T23" s="79" t="s">
        <v>22</v>
      </c>
      <c r="U23" s="7"/>
      <c r="V23" s="7"/>
      <c r="W23" s="10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4"/>
      <c r="AL23" s="64"/>
      <c r="AM23" s="64"/>
      <c r="AN23" s="64"/>
      <c r="AO23" s="64"/>
      <c r="AP23" s="6"/>
      <c r="AQ23" s="6"/>
      <c r="AR23" s="17"/>
      <c r="AS23" s="17"/>
      <c r="AT23" s="17"/>
      <c r="AU23" s="17"/>
      <c r="AV23" s="17"/>
      <c r="AW23" s="17"/>
      <c r="AX23" s="17"/>
      <c r="BC23" s="17"/>
      <c r="BD23" s="17"/>
      <c r="BE23" s="17"/>
      <c r="BF23" s="17"/>
      <c r="BG23" s="17"/>
      <c r="BH23" s="17"/>
      <c r="BI23" s="17"/>
      <c r="BJ23" s="17"/>
      <c r="BK23" s="17"/>
    </row>
    <row r="24" spans="1:63" s="5" customFormat="1" ht="14.4" customHeight="1" x14ac:dyDescent="0.3">
      <c r="A24" s="10"/>
      <c r="B24" s="7"/>
      <c r="C24" s="306" t="s">
        <v>14</v>
      </c>
      <c r="D24" s="306"/>
      <c r="E24" s="306"/>
      <c r="F24" s="306"/>
      <c r="G24" s="306"/>
      <c r="H24" s="72"/>
      <c r="I24" s="72"/>
      <c r="J24" s="72"/>
      <c r="K24" s="72"/>
      <c r="L24" s="83"/>
      <c r="M24" s="83"/>
      <c r="N24" s="75"/>
      <c r="O24" s="7"/>
      <c r="P24" s="7"/>
      <c r="Q24" s="7"/>
      <c r="R24" s="7"/>
      <c r="S24" s="7"/>
      <c r="T24" s="7"/>
      <c r="U24" s="7"/>
      <c r="V24" s="7"/>
      <c r="W24" s="10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4"/>
      <c r="AL24" s="64"/>
      <c r="AM24" s="64"/>
      <c r="AN24" s="64"/>
      <c r="AO24" s="64"/>
      <c r="AP24" s="6"/>
      <c r="AQ24" s="6"/>
      <c r="AR24" s="17"/>
      <c r="AS24" s="17"/>
      <c r="AT24" s="17"/>
      <c r="AU24" s="17"/>
      <c r="AV24" s="17"/>
      <c r="AW24" s="17"/>
      <c r="AX24" s="17"/>
      <c r="BC24" s="17"/>
      <c r="BD24" s="17"/>
      <c r="BE24" s="17"/>
      <c r="BF24" s="17"/>
      <c r="BG24" s="17"/>
      <c r="BH24" s="17"/>
      <c r="BI24" s="17"/>
      <c r="BJ24" s="17"/>
      <c r="BK24" s="17"/>
    </row>
    <row r="25" spans="1:63" s="5" customFormat="1" ht="14.4" customHeight="1" x14ac:dyDescent="0.3">
      <c r="A25" s="10"/>
      <c r="B25" s="7"/>
      <c r="C25" s="307"/>
      <c r="D25" s="307"/>
      <c r="E25" s="307"/>
      <c r="F25" s="307"/>
      <c r="G25" s="307"/>
      <c r="H25" s="70"/>
      <c r="I25" s="309">
        <v>45</v>
      </c>
      <c r="J25" s="309"/>
      <c r="K25" s="310" t="s">
        <v>17</v>
      </c>
      <c r="L25" s="310"/>
      <c r="M25" s="310"/>
      <c r="N25" s="75"/>
      <c r="O25" s="7"/>
      <c r="P25" s="7"/>
      <c r="Q25" s="7"/>
      <c r="R25" s="7"/>
      <c r="S25" s="7"/>
      <c r="T25" s="7"/>
      <c r="U25" s="7"/>
      <c r="V25" s="7"/>
      <c r="W25" s="10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4"/>
      <c r="AL25" s="64"/>
      <c r="AM25" s="64"/>
      <c r="AN25" s="64"/>
      <c r="AO25" s="64"/>
      <c r="AP25" s="6"/>
      <c r="AQ25" s="6"/>
      <c r="AR25" s="17"/>
      <c r="AS25" s="17"/>
      <c r="AT25" s="17"/>
      <c r="AU25" s="17"/>
      <c r="AV25" s="17"/>
      <c r="AW25" s="17"/>
      <c r="AX25" s="17"/>
      <c r="BC25" s="17"/>
      <c r="BD25" s="17"/>
      <c r="BE25" s="17"/>
      <c r="BF25" s="17"/>
      <c r="BG25" s="17"/>
      <c r="BH25" s="17"/>
      <c r="BI25" s="17"/>
      <c r="BJ25" s="17"/>
      <c r="BK25" s="17"/>
    </row>
    <row r="26" spans="1:63" s="5" customFormat="1" ht="18" x14ac:dyDescent="0.3">
      <c r="A26" s="10"/>
      <c r="B26" s="7"/>
      <c r="C26" s="308"/>
      <c r="D26" s="308"/>
      <c r="E26" s="308"/>
      <c r="F26" s="308"/>
      <c r="G26" s="308"/>
      <c r="H26" s="71"/>
      <c r="I26" s="305" t="s">
        <v>51</v>
      </c>
      <c r="J26" s="305"/>
      <c r="K26" s="71"/>
      <c r="L26" s="85"/>
      <c r="M26" s="85"/>
      <c r="N26" s="75"/>
      <c r="O26" s="7"/>
      <c r="P26" s="78"/>
      <c r="Q26" s="76"/>
      <c r="R26" s="7"/>
      <c r="S26" s="7"/>
      <c r="T26" s="7"/>
      <c r="U26" s="7"/>
      <c r="V26" s="7"/>
      <c r="W26" s="10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4"/>
      <c r="AL26" s="64"/>
      <c r="AM26" s="64"/>
      <c r="AN26" s="64"/>
      <c r="AO26" s="64"/>
      <c r="AP26" s="6"/>
      <c r="AQ26" s="6"/>
      <c r="AR26" s="17"/>
      <c r="AS26" s="17"/>
      <c r="AT26" s="17"/>
      <c r="AU26" s="17"/>
      <c r="AV26" s="17"/>
      <c r="AW26" s="17"/>
      <c r="AX26" s="17"/>
      <c r="BC26" s="17"/>
      <c r="BD26" s="17"/>
      <c r="BE26" s="17"/>
      <c r="BF26" s="17"/>
      <c r="BG26" s="17"/>
      <c r="BH26" s="17"/>
      <c r="BI26" s="17"/>
      <c r="BJ26" s="17"/>
      <c r="BK26" s="17"/>
    </row>
    <row r="27" spans="1:63" s="5" customFormat="1" ht="14.4" customHeight="1" x14ac:dyDescent="0.3">
      <c r="A27" s="10"/>
      <c r="B27" s="7"/>
      <c r="C27" s="306" t="s">
        <v>15</v>
      </c>
      <c r="D27" s="306"/>
      <c r="E27" s="306"/>
      <c r="F27" s="306"/>
      <c r="G27" s="306"/>
      <c r="H27" s="72"/>
      <c r="I27" s="72"/>
      <c r="J27" s="72"/>
      <c r="K27" s="72"/>
      <c r="L27" s="83"/>
      <c r="M27" s="83"/>
      <c r="N27" s="75"/>
      <c r="O27" s="7"/>
      <c r="P27" s="78"/>
      <c r="Q27" s="76"/>
      <c r="R27" s="7"/>
      <c r="S27" s="7"/>
      <c r="T27" s="7"/>
      <c r="U27" s="7"/>
      <c r="V27" s="7"/>
      <c r="W27" s="10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4"/>
      <c r="AL27" s="64"/>
      <c r="AM27" s="64"/>
      <c r="AN27" s="64"/>
      <c r="AO27" s="64"/>
      <c r="AP27" s="6"/>
      <c r="AQ27" s="6"/>
      <c r="AR27" s="17"/>
      <c r="AS27" s="17"/>
      <c r="AT27" s="17"/>
      <c r="AU27" s="17"/>
      <c r="AV27" s="17"/>
      <c r="AW27" s="17"/>
      <c r="AX27" s="17"/>
      <c r="BC27" s="17"/>
      <c r="BD27" s="17"/>
      <c r="BE27" s="17"/>
      <c r="BF27" s="17"/>
      <c r="BG27" s="17"/>
      <c r="BH27" s="17"/>
      <c r="BI27" s="17"/>
      <c r="BJ27" s="17"/>
      <c r="BK27" s="17"/>
    </row>
    <row r="28" spans="1:63" s="5" customFormat="1" ht="14.4" customHeight="1" x14ac:dyDescent="0.3">
      <c r="A28" s="10"/>
      <c r="B28" s="7"/>
      <c r="C28" s="307"/>
      <c r="D28" s="307"/>
      <c r="E28" s="307"/>
      <c r="F28" s="307"/>
      <c r="G28" s="307"/>
      <c r="H28" s="70"/>
      <c r="I28" s="311">
        <v>45</v>
      </c>
      <c r="J28" s="311"/>
      <c r="K28" s="310" t="s">
        <v>16</v>
      </c>
      <c r="L28" s="310"/>
      <c r="M28" s="310"/>
      <c r="N28" s="75"/>
      <c r="O28" s="7"/>
      <c r="P28" s="7"/>
      <c r="Q28" s="7"/>
      <c r="R28" s="7"/>
      <c r="S28" s="7"/>
      <c r="T28" s="7"/>
      <c r="U28" s="7"/>
      <c r="V28" s="7"/>
      <c r="W28" s="10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4"/>
      <c r="AL28" s="64"/>
      <c r="AM28" s="64"/>
      <c r="AN28" s="64"/>
      <c r="AO28" s="64"/>
      <c r="AP28" s="6"/>
      <c r="AQ28" s="6"/>
      <c r="AR28" s="17"/>
      <c r="AS28" s="17"/>
      <c r="AT28" s="17"/>
      <c r="AU28" s="17"/>
      <c r="AV28" s="17"/>
      <c r="AW28" s="17"/>
      <c r="AX28" s="17"/>
      <c r="BC28" s="17"/>
      <c r="BD28" s="17"/>
      <c r="BE28" s="17"/>
      <c r="BF28" s="17"/>
      <c r="BG28" s="17"/>
      <c r="BH28" s="17"/>
      <c r="BI28" s="17"/>
      <c r="BJ28" s="17"/>
      <c r="BK28" s="17"/>
    </row>
    <row r="29" spans="1:63" s="5" customFormat="1" ht="14.4" customHeight="1" x14ac:dyDescent="0.3">
      <c r="A29" s="10"/>
      <c r="B29" s="7"/>
      <c r="C29" s="307"/>
      <c r="D29" s="307"/>
      <c r="E29" s="307"/>
      <c r="F29" s="307"/>
      <c r="G29" s="307"/>
      <c r="H29" s="70"/>
      <c r="I29" s="312" t="s">
        <v>52</v>
      </c>
      <c r="J29" s="312"/>
      <c r="K29" s="70"/>
      <c r="L29" s="90"/>
      <c r="M29" s="90"/>
      <c r="N29" s="75"/>
      <c r="O29" s="7"/>
      <c r="P29" s="7"/>
      <c r="Q29" s="7"/>
      <c r="R29" s="7"/>
      <c r="S29" s="7"/>
      <c r="T29" s="7"/>
      <c r="U29" s="7"/>
      <c r="V29" s="7"/>
      <c r="W29" s="10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4"/>
      <c r="AL29" s="64"/>
      <c r="AM29" s="64"/>
      <c r="AN29" s="64"/>
      <c r="AO29" s="64"/>
      <c r="AP29" s="6"/>
      <c r="AQ29" s="6"/>
      <c r="AR29" s="17"/>
      <c r="AS29" s="17"/>
      <c r="AT29" s="17"/>
      <c r="AU29" s="17"/>
      <c r="AV29" s="17"/>
      <c r="AW29" s="17"/>
      <c r="AX29" s="17"/>
      <c r="BC29" s="17"/>
      <c r="BD29" s="17"/>
      <c r="BE29" s="17"/>
      <c r="BF29" s="17"/>
      <c r="BG29" s="17"/>
      <c r="BH29" s="17"/>
      <c r="BI29" s="17"/>
      <c r="BJ29" s="17"/>
      <c r="BK29" s="17"/>
    </row>
    <row r="30" spans="1:63" s="5" customFormat="1" x14ac:dyDescent="0.3">
      <c r="A30" s="10"/>
      <c r="B30" s="7"/>
      <c r="C30" s="74"/>
      <c r="D30" s="74"/>
      <c r="E30" s="74"/>
      <c r="F30" s="74"/>
      <c r="G30" s="74"/>
      <c r="H30" s="70"/>
      <c r="I30" s="91"/>
      <c r="J30" s="91"/>
      <c r="K30" s="70"/>
      <c r="L30" s="90"/>
      <c r="M30" s="90"/>
      <c r="N30" s="75"/>
      <c r="O30" s="7"/>
      <c r="P30" s="7"/>
      <c r="Q30" s="7"/>
      <c r="R30" s="7"/>
      <c r="S30" s="7"/>
      <c r="T30" s="7"/>
      <c r="U30" s="7"/>
      <c r="V30" s="7"/>
      <c r="W30" s="10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4"/>
      <c r="AL30" s="64"/>
      <c r="AM30" s="64"/>
      <c r="AN30" s="64"/>
      <c r="AO30" s="64"/>
      <c r="AP30" s="6"/>
      <c r="AQ30" s="6"/>
      <c r="AR30" s="17"/>
      <c r="AS30" s="17"/>
      <c r="AT30" s="17"/>
      <c r="AU30" s="17"/>
      <c r="AV30" s="17"/>
      <c r="AW30" s="17"/>
      <c r="AX30" s="17"/>
      <c r="BC30" s="17"/>
      <c r="BD30" s="17"/>
      <c r="BE30" s="17"/>
      <c r="BF30" s="17"/>
      <c r="BG30" s="17"/>
      <c r="BH30" s="17"/>
      <c r="BI30" s="17"/>
      <c r="BJ30" s="17"/>
      <c r="BK30" s="17"/>
    </row>
    <row r="31" spans="1:63" s="5" customFormat="1" x14ac:dyDescent="0.3">
      <c r="A31" s="10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10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4"/>
      <c r="AL31" s="64"/>
      <c r="AM31" s="64"/>
      <c r="AN31" s="64"/>
      <c r="AO31" s="64"/>
      <c r="AP31" s="6"/>
      <c r="AQ31" s="6"/>
      <c r="AR31" s="17"/>
      <c r="AS31" s="17"/>
      <c r="AT31" s="17"/>
      <c r="AU31" s="17"/>
      <c r="AV31" s="17"/>
      <c r="AW31" s="17"/>
      <c r="AX31" s="17"/>
      <c r="BC31" s="17"/>
      <c r="BD31" s="17"/>
      <c r="BE31" s="17"/>
      <c r="BF31" s="17"/>
      <c r="BG31" s="17"/>
      <c r="BH31" s="17"/>
      <c r="BI31" s="17"/>
      <c r="BJ31" s="17"/>
      <c r="BK31" s="17"/>
    </row>
    <row r="32" spans="1:63" s="5" customFormat="1" ht="21" customHeight="1" x14ac:dyDescent="0.4">
      <c r="A32" s="10"/>
      <c r="B32" s="8"/>
      <c r="C32" s="9" t="s">
        <v>186</v>
      </c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10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4"/>
      <c r="AL32" s="64"/>
      <c r="AM32" s="64"/>
      <c r="AN32" s="64"/>
      <c r="AO32" s="64"/>
      <c r="AP32" s="6"/>
      <c r="AQ32" s="6"/>
      <c r="AR32" s="17"/>
      <c r="AS32" s="17"/>
      <c r="AT32" s="17"/>
      <c r="AU32" s="17"/>
      <c r="AV32" s="17"/>
      <c r="AW32" s="17"/>
      <c r="AX32" s="17"/>
      <c r="BC32" s="17"/>
      <c r="BD32" s="17"/>
      <c r="BE32" s="17"/>
      <c r="BF32" s="17"/>
      <c r="BG32" s="17"/>
      <c r="BH32" s="17"/>
      <c r="BI32" s="17"/>
      <c r="BJ32" s="17"/>
      <c r="BK32" s="17"/>
    </row>
    <row r="33" spans="1:63" s="5" customFormat="1" x14ac:dyDescent="0.3">
      <c r="A33" s="1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10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4"/>
      <c r="AL33" s="64"/>
      <c r="AM33" s="64"/>
      <c r="AN33" s="64"/>
      <c r="AO33" s="64"/>
      <c r="AP33" s="6"/>
      <c r="AQ33" s="6"/>
      <c r="AR33" s="17"/>
      <c r="AS33" s="17"/>
      <c r="AT33" s="17"/>
      <c r="AU33" s="17"/>
      <c r="AV33" s="17"/>
      <c r="AW33" s="17"/>
      <c r="AX33" s="17"/>
      <c r="BC33" s="17"/>
      <c r="BD33" s="17"/>
      <c r="BE33" s="17"/>
      <c r="BF33" s="17"/>
      <c r="BG33" s="17"/>
      <c r="BH33" s="17"/>
      <c r="BI33" s="17"/>
      <c r="BJ33" s="17"/>
      <c r="BK33" s="17"/>
    </row>
    <row r="34" spans="1:63" s="13" customFormat="1" x14ac:dyDescent="0.3">
      <c r="A34" s="1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1"/>
      <c r="X34" s="67"/>
      <c r="Y34" s="68"/>
      <c r="Z34" s="68"/>
      <c r="AA34" s="68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15"/>
      <c r="AS34" s="15"/>
      <c r="AT34" s="15"/>
      <c r="AU34" s="15"/>
      <c r="AV34" s="15"/>
      <c r="AW34" s="15"/>
      <c r="AX34" s="15"/>
    </row>
    <row r="35" spans="1:63" s="13" customFormat="1" x14ac:dyDescent="0.3">
      <c r="A35" s="11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1"/>
      <c r="X35" s="67"/>
      <c r="Y35" s="68"/>
      <c r="Z35" s="68"/>
      <c r="AA35" s="68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15"/>
      <c r="AS35" s="15"/>
      <c r="AT35" s="15"/>
      <c r="AU35" s="15"/>
      <c r="AV35" s="15"/>
      <c r="AW35" s="15"/>
      <c r="AX35" s="15"/>
    </row>
    <row r="36" spans="1:63" ht="14.4" customHeight="1" x14ac:dyDescent="0.3">
      <c r="A36" s="10"/>
      <c r="B36" s="7"/>
      <c r="C36" s="187"/>
      <c r="D36" s="187"/>
      <c r="E36" s="187"/>
      <c r="F36" s="187"/>
      <c r="G36" s="189"/>
      <c r="H36" s="188"/>
      <c r="I36" s="189"/>
      <c r="J36" s="189"/>
      <c r="K36" s="106"/>
      <c r="L36" s="70"/>
      <c r="M36" s="249"/>
      <c r="N36" s="249"/>
      <c r="O36" s="249"/>
      <c r="P36" s="249"/>
      <c r="Q36" s="250"/>
      <c r="R36" s="251"/>
      <c r="S36" s="250"/>
      <c r="T36" s="250"/>
      <c r="U36" s="2"/>
      <c r="V36" s="12"/>
      <c r="W36" s="10"/>
    </row>
    <row r="37" spans="1:63" ht="14.4" customHeight="1" x14ac:dyDescent="0.3">
      <c r="A37" s="10"/>
      <c r="B37" s="7"/>
      <c r="C37" s="188"/>
      <c r="D37" s="188"/>
      <c r="E37" s="188"/>
      <c r="F37" s="188"/>
      <c r="G37" s="188"/>
      <c r="H37" s="188"/>
      <c r="I37" s="190"/>
      <c r="J37" s="188"/>
      <c r="K37" s="70"/>
      <c r="L37" s="70"/>
      <c r="M37" s="251"/>
      <c r="N37" s="251"/>
      <c r="O37" s="251"/>
      <c r="P37" s="251"/>
      <c r="Q37" s="251"/>
      <c r="R37" s="251"/>
      <c r="S37" s="252"/>
      <c r="T37" s="251"/>
      <c r="U37" s="18"/>
      <c r="V37" s="7"/>
      <c r="W37" s="10"/>
    </row>
    <row r="38" spans="1:63" s="4" customFormat="1" ht="14.4" customHeight="1" x14ac:dyDescent="0.3">
      <c r="A38" s="168"/>
      <c r="B38" s="18"/>
      <c r="C38" s="314" t="s">
        <v>211</v>
      </c>
      <c r="D38" s="314"/>
      <c r="E38" s="314"/>
      <c r="F38" s="188"/>
      <c r="G38" s="188"/>
      <c r="H38" s="188"/>
      <c r="I38" s="190"/>
      <c r="J38" s="188"/>
      <c r="K38" s="70"/>
      <c r="L38" s="70"/>
      <c r="M38" s="326" t="s">
        <v>213</v>
      </c>
      <c r="N38" s="326"/>
      <c r="O38" s="326"/>
      <c r="P38" s="251"/>
      <c r="Q38" s="251"/>
      <c r="R38" s="251"/>
      <c r="S38" s="252"/>
      <c r="T38" s="251"/>
      <c r="U38" s="18"/>
      <c r="V38" s="18"/>
      <c r="W38" s="168"/>
      <c r="X38" s="169"/>
      <c r="Y38" s="170"/>
      <c r="Z38" s="170"/>
      <c r="AA38" s="170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2"/>
      <c r="AS38" s="172"/>
      <c r="AT38" s="172"/>
      <c r="AU38" s="172"/>
      <c r="AV38" s="172"/>
      <c r="AW38" s="172"/>
      <c r="AX38" s="172"/>
    </row>
    <row r="39" spans="1:63" ht="14.4" customHeight="1" x14ac:dyDescent="0.3">
      <c r="A39" s="10"/>
      <c r="B39" s="7"/>
      <c r="C39" s="314"/>
      <c r="D39" s="314"/>
      <c r="E39" s="314"/>
      <c r="F39" s="188"/>
      <c r="G39" s="188"/>
      <c r="H39" s="188"/>
      <c r="I39" s="190"/>
      <c r="J39" s="188"/>
      <c r="K39" s="70"/>
      <c r="L39" s="70"/>
      <c r="M39" s="326"/>
      <c r="N39" s="326"/>
      <c r="O39" s="326"/>
      <c r="P39" s="251"/>
      <c r="Q39" s="251"/>
      <c r="R39" s="251"/>
      <c r="S39" s="252"/>
      <c r="T39" s="251"/>
      <c r="U39" s="18"/>
      <c r="V39" s="7"/>
      <c r="W39" s="10"/>
    </row>
    <row r="40" spans="1:63" ht="14.4" customHeight="1" x14ac:dyDescent="0.3">
      <c r="A40" s="10"/>
      <c r="B40" s="7"/>
      <c r="C40" s="188"/>
      <c r="D40" s="188"/>
      <c r="E40" s="188"/>
      <c r="F40" s="188"/>
      <c r="G40" s="188"/>
      <c r="H40" s="188"/>
      <c r="I40" s="188"/>
      <c r="J40" s="188"/>
      <c r="K40" s="70"/>
      <c r="L40" s="70"/>
      <c r="M40" s="251"/>
      <c r="N40" s="251"/>
      <c r="O40" s="251"/>
      <c r="P40" s="251"/>
      <c r="Q40" s="251"/>
      <c r="R40" s="251"/>
      <c r="S40" s="252"/>
      <c r="T40" s="251"/>
      <c r="U40" s="18"/>
      <c r="V40" s="7"/>
      <c r="W40" s="10"/>
    </row>
    <row r="41" spans="1:63" ht="14.4" customHeight="1" x14ac:dyDescent="0.3">
      <c r="A41" s="10"/>
      <c r="B41" s="7"/>
      <c r="C41" s="70"/>
      <c r="D41" s="70"/>
      <c r="E41" s="70"/>
      <c r="F41" s="70"/>
      <c r="G41" s="70"/>
      <c r="H41" s="70"/>
      <c r="I41" s="167"/>
      <c r="J41" s="70"/>
      <c r="K41" s="70"/>
      <c r="L41" s="70"/>
      <c r="M41" s="70"/>
      <c r="N41" s="70"/>
      <c r="O41" s="70"/>
      <c r="P41" s="70"/>
      <c r="Q41" s="70"/>
      <c r="R41" s="70"/>
      <c r="S41" s="167"/>
      <c r="T41" s="70"/>
      <c r="U41" s="18"/>
      <c r="V41" s="7"/>
      <c r="W41" s="10"/>
    </row>
    <row r="42" spans="1:63" ht="14.4" customHeight="1" x14ac:dyDescent="0.3">
      <c r="A42" s="10"/>
      <c r="B42" s="7"/>
      <c r="C42" s="183" t="s">
        <v>7</v>
      </c>
      <c r="D42" s="178"/>
      <c r="E42" s="179">
        <f>PGNiG!H23</f>
        <v>11.175000000000001</v>
      </c>
      <c r="F42" s="88" t="s">
        <v>38</v>
      </c>
      <c r="G42" s="284" t="s">
        <v>297</v>
      </c>
      <c r="H42" s="284"/>
      <c r="I42" s="284"/>
      <c r="J42" s="271"/>
      <c r="K42" s="245" t="b">
        <v>1</v>
      </c>
      <c r="L42" s="70"/>
      <c r="M42" s="183" t="s">
        <v>7</v>
      </c>
      <c r="N42" s="178"/>
      <c r="O42" s="186">
        <v>6.66</v>
      </c>
      <c r="P42" s="88" t="s">
        <v>38</v>
      </c>
      <c r="Q42" s="284" t="s">
        <v>297</v>
      </c>
      <c r="R42" s="284"/>
      <c r="S42" s="284"/>
      <c r="T42" s="271"/>
      <c r="U42" s="246" t="b">
        <v>1</v>
      </c>
      <c r="V42" s="7"/>
      <c r="W42" s="10"/>
    </row>
    <row r="43" spans="1:63" ht="3" customHeight="1" x14ac:dyDescent="0.3">
      <c r="A43" s="10"/>
      <c r="B43" s="7"/>
      <c r="C43" s="176"/>
      <c r="D43" s="178"/>
      <c r="E43" s="179"/>
      <c r="F43" s="88"/>
      <c r="G43" s="2"/>
      <c r="H43" s="70"/>
      <c r="I43" s="167"/>
      <c r="J43" s="70"/>
      <c r="K43" s="70"/>
      <c r="L43" s="70"/>
      <c r="M43" s="176"/>
      <c r="N43" s="178"/>
      <c r="O43" s="179"/>
      <c r="P43" s="88"/>
      <c r="Q43" s="2"/>
      <c r="R43" s="70"/>
      <c r="S43" s="167"/>
      <c r="T43" s="70"/>
      <c r="U43" s="18"/>
      <c r="V43" s="7"/>
      <c r="W43" s="10"/>
    </row>
    <row r="44" spans="1:63" ht="14.4" customHeight="1" x14ac:dyDescent="0.3">
      <c r="A44" s="10"/>
      <c r="B44" s="7"/>
      <c r="C44" s="176"/>
      <c r="D44" s="178"/>
      <c r="E44" s="179"/>
      <c r="F44" s="88"/>
      <c r="G44" s="291" t="s">
        <v>263</v>
      </c>
      <c r="H44" s="291"/>
      <c r="I44" s="291"/>
      <c r="J44" s="271"/>
      <c r="K44" s="245" t="b">
        <v>0</v>
      </c>
      <c r="L44" s="70"/>
      <c r="M44" s="302" t="s">
        <v>3</v>
      </c>
      <c r="N44" s="302"/>
      <c r="O44" s="194">
        <v>3.28</v>
      </c>
      <c r="P44" s="173" t="s">
        <v>42</v>
      </c>
      <c r="Q44" s="2"/>
      <c r="R44" s="70"/>
      <c r="S44" s="167"/>
      <c r="T44" s="70"/>
      <c r="U44" s="18"/>
      <c r="V44" s="7"/>
      <c r="W44" s="10"/>
    </row>
    <row r="45" spans="1:63" ht="3" customHeight="1" x14ac:dyDescent="0.3">
      <c r="A45" s="10"/>
      <c r="B45" s="7"/>
      <c r="C45" s="176"/>
      <c r="D45" s="178"/>
      <c r="E45" s="179"/>
      <c r="F45" s="88"/>
      <c r="G45" s="2"/>
      <c r="H45" s="70"/>
      <c r="I45" s="167"/>
      <c r="J45" s="70"/>
      <c r="K45" s="70"/>
      <c r="L45" s="70"/>
      <c r="M45" s="176"/>
      <c r="N45" s="178"/>
      <c r="O45" s="179"/>
      <c r="P45" s="88"/>
      <c r="Q45" s="2"/>
      <c r="R45" s="70"/>
      <c r="S45" s="167"/>
      <c r="T45" s="70"/>
      <c r="U45" s="18"/>
      <c r="V45" s="7"/>
      <c r="W45" s="10"/>
    </row>
    <row r="46" spans="1:63" ht="14.4" customHeight="1" x14ac:dyDescent="0.3">
      <c r="A46" s="10"/>
      <c r="B46" s="7"/>
      <c r="C46" s="176"/>
      <c r="D46" s="178"/>
      <c r="E46" s="183"/>
      <c r="F46" s="88"/>
      <c r="G46" s="290" t="s">
        <v>36</v>
      </c>
      <c r="H46" s="290"/>
      <c r="I46" s="290" t="s">
        <v>37</v>
      </c>
      <c r="J46" s="290"/>
      <c r="K46" s="70"/>
      <c r="L46" s="70"/>
      <c r="M46" s="176"/>
      <c r="N46" s="178"/>
      <c r="O46" s="183"/>
      <c r="P46" s="88"/>
      <c r="Q46" s="290" t="s">
        <v>36</v>
      </c>
      <c r="R46" s="290"/>
      <c r="S46" s="290" t="s">
        <v>37</v>
      </c>
      <c r="T46" s="290"/>
      <c r="U46" s="18"/>
      <c r="V46" s="7"/>
      <c r="W46" s="10"/>
    </row>
    <row r="47" spans="1:63" ht="14.4" customHeight="1" x14ac:dyDescent="0.3">
      <c r="A47" s="10"/>
      <c r="B47" s="7"/>
      <c r="C47" s="173" t="str">
        <f>"Kocioł tradycyjny, ƞ = "&amp;F47&amp;"%"</f>
        <v>Kocioł tradycyjny, ƞ = 86%</v>
      </c>
      <c r="D47" s="82"/>
      <c r="E47" s="2"/>
      <c r="F47" s="215">
        <v>86</v>
      </c>
      <c r="G47" s="181">
        <f>IF(K42=TRUE,PGNiG!F81,PGNiG!F41)</f>
        <v>1213.0564538785702</v>
      </c>
      <c r="H47" s="79" t="s">
        <v>70</v>
      </c>
      <c r="I47" s="191">
        <f>IF(K44=TRUE,IF(K42=TRUE,PGNiG!M81,PGNiG!M41),IF(K42=TRUE,PGNiG!K81,PGNiG!K41))</f>
        <v>4228.1490117045869</v>
      </c>
      <c r="J47" s="176" t="s">
        <v>39</v>
      </c>
      <c r="K47" s="70"/>
      <c r="L47" s="215">
        <v>86</v>
      </c>
      <c r="M47" s="173" t="s">
        <v>222</v>
      </c>
      <c r="N47" s="82"/>
      <c r="O47" s="2"/>
      <c r="P47" s="2"/>
      <c r="Q47" s="181">
        <f>IF(U42=TRUE,($Q$148-PGNiG!J74)/O42/L47*100,($Q$148)/O42/L47*100)</f>
        <v>2035.4213021160697</v>
      </c>
      <c r="R47" s="79" t="s">
        <v>70</v>
      </c>
      <c r="S47" s="191">
        <f>Q47*O44</f>
        <v>6676.181870940708</v>
      </c>
      <c r="T47" s="176" t="s">
        <v>39</v>
      </c>
      <c r="U47" s="18"/>
      <c r="V47" s="7"/>
      <c r="W47" s="10"/>
    </row>
    <row r="48" spans="1:63" ht="3" customHeight="1" x14ac:dyDescent="0.3">
      <c r="A48" s="10"/>
      <c r="B48" s="7"/>
      <c r="C48" s="173"/>
      <c r="D48" s="82"/>
      <c r="E48" s="2"/>
      <c r="F48" s="215"/>
      <c r="G48" s="181"/>
      <c r="H48" s="79"/>
      <c r="I48" s="192"/>
      <c r="J48" s="184"/>
      <c r="K48" s="70"/>
      <c r="L48" s="215"/>
      <c r="M48" s="173"/>
      <c r="N48" s="82"/>
      <c r="O48" s="2"/>
      <c r="P48" s="2"/>
      <c r="Q48" s="181"/>
      <c r="R48" s="79"/>
      <c r="S48" s="19"/>
      <c r="T48" s="184"/>
      <c r="U48" s="18"/>
      <c r="V48" s="7"/>
      <c r="W48" s="10"/>
    </row>
    <row r="49" spans="1:50" ht="14.4" customHeight="1" x14ac:dyDescent="0.3">
      <c r="A49" s="10"/>
      <c r="B49" s="7"/>
      <c r="C49" s="173" t="str">
        <f>"Kocioł kondensacyjny, ƞ = "&amp;F49&amp;"%"</f>
        <v>Kocioł kondensacyjny, ƞ = 92%</v>
      </c>
      <c r="D49" s="82"/>
      <c r="E49" s="2"/>
      <c r="F49" s="215">
        <v>92</v>
      </c>
      <c r="G49" s="181">
        <f>IF(K42=TRUE,PGNiG!F82,PGNiG!F42)</f>
        <v>1133.9440764517069</v>
      </c>
      <c r="H49" s="79" t="s">
        <v>70</v>
      </c>
      <c r="I49" s="191">
        <f>IF(K44=TRUE,IF(K42=TRUE,PGNiG!M82,PGNiG!M42),IF(K42=TRUE,PGNiG!K82,PGNiG!K42))</f>
        <v>3960.6112152890705</v>
      </c>
      <c r="J49" s="176" t="s">
        <v>39</v>
      </c>
      <c r="K49" s="70"/>
      <c r="L49" s="215">
        <v>92</v>
      </c>
      <c r="M49" s="173" t="s">
        <v>221</v>
      </c>
      <c r="N49" s="82"/>
      <c r="O49" s="2"/>
      <c r="P49" s="2"/>
      <c r="Q49" s="181">
        <f>IF(U42=TRUE,($Q$148-PGNiG!J74)/O42/L49*100,($Q$148)/O42/L49*100)</f>
        <v>1902.6764345867609</v>
      </c>
      <c r="R49" s="79" t="s">
        <v>70</v>
      </c>
      <c r="S49" s="191">
        <f>Q49*O44</f>
        <v>6240.7787054445753</v>
      </c>
      <c r="T49" s="176" t="s">
        <v>39</v>
      </c>
      <c r="U49" s="18"/>
      <c r="V49" s="7"/>
      <c r="W49" s="10"/>
    </row>
    <row r="50" spans="1:50" ht="14.4" customHeight="1" x14ac:dyDescent="0.3">
      <c r="A50" s="10"/>
      <c r="B50" s="7"/>
      <c r="C50" s="173"/>
      <c r="D50" s="82"/>
      <c r="E50" s="2"/>
      <c r="F50" s="215"/>
      <c r="G50" s="181"/>
      <c r="H50" s="79"/>
      <c r="I50" s="191"/>
      <c r="J50" s="176"/>
      <c r="K50" s="70"/>
      <c r="L50" s="215"/>
      <c r="M50" s="173"/>
      <c r="N50" s="82"/>
      <c r="O50" s="2"/>
      <c r="P50" s="2"/>
      <c r="Q50" s="181"/>
      <c r="R50" s="79"/>
      <c r="S50" s="191"/>
      <c r="T50" s="176"/>
      <c r="U50" s="18"/>
      <c r="V50" s="7"/>
      <c r="W50" s="10"/>
    </row>
    <row r="51" spans="1:50" s="2" customFormat="1" ht="14.4" customHeight="1" x14ac:dyDescent="0.3">
      <c r="A51" s="10"/>
      <c r="B51" s="7"/>
      <c r="C51" s="70"/>
      <c r="I51" s="167"/>
      <c r="J51" s="70"/>
      <c r="K51" s="70"/>
      <c r="L51" s="70"/>
      <c r="M51" s="18"/>
      <c r="N51" s="75"/>
      <c r="O51" s="86"/>
      <c r="P51" s="78"/>
      <c r="Q51" s="101"/>
      <c r="R51" s="75"/>
      <c r="S51" s="75"/>
      <c r="T51" s="102"/>
      <c r="U51" s="18"/>
      <c r="V51" s="7"/>
      <c r="W51" s="10"/>
      <c r="X51" s="177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6"/>
      <c r="AS51" s="16"/>
      <c r="AT51" s="16"/>
      <c r="AU51" s="16"/>
      <c r="AV51" s="16"/>
      <c r="AW51" s="16"/>
      <c r="AX51" s="16"/>
    </row>
    <row r="52" spans="1:50" s="2" customFormat="1" ht="14.4" customHeight="1" x14ac:dyDescent="0.3">
      <c r="A52" s="10"/>
      <c r="B52" s="7"/>
      <c r="C52" s="253"/>
      <c r="D52" s="253"/>
      <c r="E52" s="253"/>
      <c r="F52" s="253"/>
      <c r="G52" s="254"/>
      <c r="H52" s="255"/>
      <c r="I52" s="254"/>
      <c r="J52" s="254"/>
      <c r="K52" s="70"/>
      <c r="L52" s="70"/>
      <c r="M52" s="195"/>
      <c r="N52" s="195"/>
      <c r="O52" s="195"/>
      <c r="P52" s="195"/>
      <c r="Q52" s="197"/>
      <c r="R52" s="196"/>
      <c r="S52" s="197"/>
      <c r="T52" s="197"/>
      <c r="U52" s="18"/>
      <c r="V52" s="7"/>
      <c r="W52" s="10"/>
      <c r="X52" s="177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6"/>
      <c r="AS52" s="16"/>
      <c r="AT52" s="16"/>
      <c r="AU52" s="16"/>
      <c r="AV52" s="16"/>
      <c r="AW52" s="16"/>
      <c r="AX52" s="16"/>
    </row>
    <row r="53" spans="1:50" s="2" customFormat="1" ht="14.4" customHeight="1" x14ac:dyDescent="0.3">
      <c r="A53" s="10"/>
      <c r="B53" s="7"/>
      <c r="C53" s="255"/>
      <c r="D53" s="255"/>
      <c r="E53" s="255"/>
      <c r="F53" s="255"/>
      <c r="G53" s="255"/>
      <c r="H53" s="255"/>
      <c r="I53" s="256"/>
      <c r="J53" s="255"/>
      <c r="K53" s="70"/>
      <c r="L53" s="70"/>
      <c r="M53" s="196"/>
      <c r="N53" s="196"/>
      <c r="O53" s="196"/>
      <c r="P53" s="196"/>
      <c r="Q53" s="196"/>
      <c r="R53" s="196"/>
      <c r="S53" s="198"/>
      <c r="T53" s="196"/>
      <c r="U53" s="18"/>
      <c r="V53" s="7"/>
      <c r="W53" s="10"/>
      <c r="X53" s="177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6"/>
      <c r="AS53" s="16"/>
      <c r="AT53" s="16"/>
      <c r="AU53" s="16"/>
      <c r="AV53" s="16"/>
      <c r="AW53" s="16"/>
      <c r="AX53" s="16"/>
    </row>
    <row r="54" spans="1:50" s="2" customFormat="1" ht="14.4" customHeight="1" x14ac:dyDescent="0.3">
      <c r="A54" s="10"/>
      <c r="B54" s="7"/>
      <c r="C54" s="304" t="s">
        <v>4</v>
      </c>
      <c r="D54" s="304"/>
      <c r="E54" s="304"/>
      <c r="F54" s="255"/>
      <c r="G54" s="255"/>
      <c r="H54" s="255"/>
      <c r="I54" s="256"/>
      <c r="J54" s="255"/>
      <c r="K54" s="70"/>
      <c r="L54" s="70"/>
      <c r="M54" s="303" t="s">
        <v>226</v>
      </c>
      <c r="N54" s="303"/>
      <c r="O54" s="303"/>
      <c r="P54" s="196"/>
      <c r="Q54" s="196"/>
      <c r="R54" s="196"/>
      <c r="S54" s="198"/>
      <c r="T54" s="196"/>
      <c r="U54" s="18"/>
      <c r="V54" s="7"/>
      <c r="W54" s="10"/>
      <c r="X54" s="177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6"/>
      <c r="AS54" s="16"/>
      <c r="AT54" s="16"/>
      <c r="AU54" s="16"/>
      <c r="AV54" s="16"/>
      <c r="AW54" s="16"/>
      <c r="AX54" s="16"/>
    </row>
    <row r="55" spans="1:50" s="2" customFormat="1" ht="14.4" customHeight="1" x14ac:dyDescent="0.3">
      <c r="A55" s="10"/>
      <c r="B55" s="7"/>
      <c r="C55" s="304"/>
      <c r="D55" s="304"/>
      <c r="E55" s="304"/>
      <c r="F55" s="255"/>
      <c r="G55" s="255"/>
      <c r="H55" s="255"/>
      <c r="I55" s="256"/>
      <c r="J55" s="255"/>
      <c r="K55" s="70"/>
      <c r="L55" s="70"/>
      <c r="M55" s="303"/>
      <c r="N55" s="303"/>
      <c r="O55" s="303"/>
      <c r="P55" s="196"/>
      <c r="Q55" s="196"/>
      <c r="R55" s="196"/>
      <c r="S55" s="198"/>
      <c r="T55" s="196"/>
      <c r="U55" s="18"/>
      <c r="V55" s="7"/>
      <c r="W55" s="10"/>
      <c r="X55" s="177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6"/>
      <c r="AS55" s="16"/>
      <c r="AT55" s="16"/>
      <c r="AU55" s="16"/>
      <c r="AV55" s="16"/>
      <c r="AW55" s="16"/>
      <c r="AX55" s="16"/>
    </row>
    <row r="56" spans="1:50" s="2" customFormat="1" ht="14.4" customHeight="1" x14ac:dyDescent="0.3">
      <c r="A56" s="10"/>
      <c r="B56" s="7"/>
      <c r="C56" s="255"/>
      <c r="D56" s="255"/>
      <c r="E56" s="255"/>
      <c r="F56" s="255"/>
      <c r="G56" s="255"/>
      <c r="H56" s="255"/>
      <c r="I56" s="256"/>
      <c r="J56" s="255"/>
      <c r="K56" s="70"/>
      <c r="L56" s="70"/>
      <c r="M56" s="196"/>
      <c r="N56" s="196"/>
      <c r="O56" s="196"/>
      <c r="P56" s="196"/>
      <c r="Q56" s="196"/>
      <c r="R56" s="196"/>
      <c r="S56" s="198"/>
      <c r="T56" s="196"/>
      <c r="U56" s="18"/>
      <c r="V56" s="7"/>
      <c r="W56" s="10"/>
      <c r="X56" s="177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6"/>
      <c r="AS56" s="16"/>
      <c r="AT56" s="16"/>
      <c r="AU56" s="16"/>
      <c r="AV56" s="16"/>
      <c r="AW56" s="16"/>
      <c r="AX56" s="16"/>
    </row>
    <row r="57" spans="1:50" s="2" customFormat="1" ht="14.4" customHeight="1" x14ac:dyDescent="0.3">
      <c r="A57" s="10"/>
      <c r="B57" s="7"/>
      <c r="F57" s="70"/>
      <c r="G57" s="70"/>
      <c r="H57" s="70"/>
      <c r="I57" s="167"/>
      <c r="J57" s="70"/>
      <c r="K57" s="70"/>
      <c r="L57" s="70"/>
      <c r="P57" s="70"/>
      <c r="Q57" s="300"/>
      <c r="R57" s="300"/>
      <c r="S57" s="300"/>
      <c r="T57" s="70"/>
      <c r="U57" s="18"/>
      <c r="V57" s="7"/>
      <c r="W57" s="10"/>
      <c r="X57" s="177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6"/>
      <c r="AS57" s="16"/>
      <c r="AT57" s="16"/>
      <c r="AU57" s="16"/>
      <c r="AV57" s="16"/>
      <c r="AW57" s="16"/>
      <c r="AX57" s="16"/>
    </row>
    <row r="58" spans="1:50" s="2" customFormat="1" ht="14.4" customHeight="1" x14ac:dyDescent="0.3">
      <c r="A58" s="10"/>
      <c r="B58" s="7"/>
      <c r="C58" s="183" t="s">
        <v>7</v>
      </c>
      <c r="D58" s="178"/>
      <c r="E58" s="247">
        <v>10.220000000000001</v>
      </c>
      <c r="F58" s="88" t="s">
        <v>38</v>
      </c>
      <c r="G58" s="284" t="s">
        <v>297</v>
      </c>
      <c r="H58" s="284"/>
      <c r="I58" s="284"/>
      <c r="J58" s="271"/>
      <c r="K58" s="245" t="b">
        <v>1</v>
      </c>
      <c r="L58" s="70"/>
      <c r="M58" s="183" t="s">
        <v>7</v>
      </c>
      <c r="N58" s="178"/>
      <c r="O58" s="199">
        <v>4.5999999999999996</v>
      </c>
      <c r="P58" s="88" t="s">
        <v>251</v>
      </c>
      <c r="Q58" s="284" t="s">
        <v>297</v>
      </c>
      <c r="R58" s="284"/>
      <c r="S58" s="284"/>
      <c r="T58" s="271"/>
      <c r="U58" s="245" t="b">
        <v>1</v>
      </c>
      <c r="V58" s="7"/>
      <c r="W58" s="10"/>
      <c r="X58" s="177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6"/>
      <c r="AS58" s="16"/>
      <c r="AT58" s="16"/>
      <c r="AU58" s="16"/>
      <c r="AV58" s="16"/>
      <c r="AW58" s="16"/>
      <c r="AX58" s="16"/>
    </row>
    <row r="59" spans="1:50" s="2" customFormat="1" ht="3" customHeight="1" x14ac:dyDescent="0.3">
      <c r="A59" s="10"/>
      <c r="B59" s="7"/>
      <c r="C59" s="183"/>
      <c r="D59" s="178"/>
      <c r="E59" s="186"/>
      <c r="F59" s="88"/>
      <c r="G59" s="185"/>
      <c r="H59" s="185"/>
      <c r="I59" s="216"/>
      <c r="J59" s="173"/>
      <c r="K59" s="70"/>
      <c r="L59" s="70"/>
      <c r="M59" s="176"/>
      <c r="N59" s="178"/>
      <c r="O59" s="179"/>
      <c r="P59" s="88"/>
      <c r="Q59" s="1"/>
      <c r="R59" s="70"/>
      <c r="S59" s="167"/>
      <c r="T59" s="70"/>
      <c r="U59" s="18"/>
      <c r="V59" s="7"/>
      <c r="W59" s="10"/>
      <c r="X59" s="177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6"/>
      <c r="AS59" s="16"/>
      <c r="AT59" s="16"/>
      <c r="AU59" s="16"/>
      <c r="AV59" s="16"/>
      <c r="AW59" s="16"/>
      <c r="AX59" s="16"/>
    </row>
    <row r="60" spans="1:50" s="2" customFormat="1" ht="14.4" customHeight="1" x14ac:dyDescent="0.3">
      <c r="A60" s="10"/>
      <c r="B60" s="7"/>
      <c r="C60" s="302" t="s">
        <v>3</v>
      </c>
      <c r="D60" s="302"/>
      <c r="E60" s="194">
        <v>5.2</v>
      </c>
      <c r="F60" s="173" t="s">
        <v>42</v>
      </c>
      <c r="H60" s="70"/>
      <c r="I60" s="167"/>
      <c r="J60" s="70"/>
      <c r="K60" s="70"/>
      <c r="L60" s="70"/>
      <c r="M60" s="207" t="s">
        <v>3</v>
      </c>
      <c r="N60" s="207"/>
      <c r="O60" s="194">
        <v>1799</v>
      </c>
      <c r="P60" s="173" t="s">
        <v>40</v>
      </c>
      <c r="Q60" s="301"/>
      <c r="R60" s="301"/>
      <c r="S60" s="182"/>
      <c r="T60" s="173"/>
      <c r="U60" s="18"/>
      <c r="V60" s="7"/>
      <c r="W60" s="10"/>
      <c r="X60" s="177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6"/>
      <c r="AS60" s="16"/>
      <c r="AT60" s="16"/>
      <c r="AU60" s="16"/>
      <c r="AV60" s="16"/>
      <c r="AW60" s="16"/>
      <c r="AX60" s="16"/>
    </row>
    <row r="61" spans="1:50" s="2" customFormat="1" ht="3" customHeight="1" x14ac:dyDescent="0.3">
      <c r="A61" s="10"/>
      <c r="B61" s="7"/>
      <c r="C61" s="217"/>
      <c r="D61" s="217"/>
      <c r="E61" s="216"/>
      <c r="F61" s="173"/>
      <c r="H61" s="70"/>
      <c r="I61" s="167"/>
      <c r="J61" s="70"/>
      <c r="K61" s="70"/>
      <c r="L61" s="70"/>
      <c r="M61" s="176"/>
      <c r="N61" s="178"/>
      <c r="O61" s="179"/>
      <c r="P61" s="88"/>
      <c r="R61" s="70"/>
      <c r="S61" s="167"/>
      <c r="T61" s="70"/>
      <c r="U61" s="18"/>
      <c r="V61" s="7"/>
      <c r="W61" s="10"/>
      <c r="X61" s="177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6"/>
      <c r="AS61" s="16"/>
      <c r="AT61" s="16"/>
      <c r="AU61" s="16"/>
      <c r="AV61" s="16"/>
      <c r="AW61" s="16"/>
      <c r="AX61" s="16"/>
    </row>
    <row r="62" spans="1:50" s="2" customFormat="1" ht="14.4" customHeight="1" x14ac:dyDescent="0.3">
      <c r="A62" s="10"/>
      <c r="B62" s="7"/>
      <c r="C62" s="176"/>
      <c r="D62" s="178"/>
      <c r="E62" s="183"/>
      <c r="F62" s="88"/>
      <c r="G62" s="290" t="s">
        <v>36</v>
      </c>
      <c r="H62" s="290"/>
      <c r="I62" s="290" t="s">
        <v>37</v>
      </c>
      <c r="J62" s="290"/>
      <c r="K62" s="70"/>
      <c r="L62" s="70"/>
      <c r="M62" s="176"/>
      <c r="N62" s="178"/>
      <c r="O62" s="183" t="s">
        <v>212</v>
      </c>
      <c r="P62" s="88"/>
      <c r="Q62" s="290" t="s">
        <v>36</v>
      </c>
      <c r="R62" s="290"/>
      <c r="S62" s="290" t="s">
        <v>37</v>
      </c>
      <c r="T62" s="290"/>
      <c r="U62" s="18"/>
      <c r="V62" s="7"/>
      <c r="W62" s="10"/>
      <c r="X62" s="177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6"/>
      <c r="AS62" s="16"/>
      <c r="AT62" s="16"/>
      <c r="AU62" s="16"/>
      <c r="AV62" s="16"/>
      <c r="AW62" s="16"/>
      <c r="AX62" s="16"/>
    </row>
    <row r="63" spans="1:50" s="2" customFormat="1" ht="14.4" customHeight="1" x14ac:dyDescent="0.3">
      <c r="A63" s="10"/>
      <c r="B63" s="7"/>
      <c r="C63" s="173" t="s">
        <v>223</v>
      </c>
      <c r="D63" s="82"/>
      <c r="F63" s="215">
        <v>83</v>
      </c>
      <c r="G63" s="181">
        <f>IF(K58=TRUE,($Q$148-PGNiG!J74)/E58/F63*100,$Q$148/E58/F63*100)</f>
        <v>1374.3520913399193</v>
      </c>
      <c r="H63" s="79" t="s">
        <v>296</v>
      </c>
      <c r="I63" s="191">
        <f>G63*E60</f>
        <v>7146.6308749675809</v>
      </c>
      <c r="J63" s="176" t="s">
        <v>39</v>
      </c>
      <c r="K63" s="70"/>
      <c r="L63" s="70"/>
      <c r="M63" s="173" t="s">
        <v>195</v>
      </c>
      <c r="N63" s="82"/>
      <c r="O63" s="180">
        <v>89</v>
      </c>
      <c r="P63" s="173" t="s">
        <v>29</v>
      </c>
      <c r="Q63" s="181">
        <f>IF(U58=TRUE,(Q148-PGNiG!J74)/O58/O63*100,Q148/O58/O63*100)</f>
        <v>2847.6011358085007</v>
      </c>
      <c r="R63" s="79" t="s">
        <v>71</v>
      </c>
      <c r="S63" s="191">
        <f>Q63*O60/1000</f>
        <v>5122.8344433194934</v>
      </c>
      <c r="T63" s="176" t="s">
        <v>39</v>
      </c>
      <c r="U63" s="18"/>
      <c r="V63" s="7"/>
      <c r="W63" s="10"/>
      <c r="X63" s="177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6"/>
      <c r="AS63" s="16"/>
      <c r="AT63" s="16"/>
      <c r="AU63" s="16"/>
      <c r="AV63" s="16"/>
      <c r="AW63" s="16"/>
      <c r="AX63" s="16"/>
    </row>
    <row r="64" spans="1:50" s="2" customFormat="1" ht="3" customHeight="1" x14ac:dyDescent="0.3">
      <c r="A64" s="10"/>
      <c r="B64" s="7"/>
      <c r="C64" s="173"/>
      <c r="D64" s="82"/>
      <c r="F64" s="215"/>
      <c r="G64" s="181"/>
      <c r="H64" s="79"/>
      <c r="I64" s="192"/>
      <c r="J64" s="184"/>
      <c r="K64" s="70"/>
      <c r="L64" s="70"/>
      <c r="U64" s="18"/>
      <c r="V64" s="7"/>
      <c r="W64" s="10"/>
      <c r="X64" s="177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6"/>
      <c r="AS64" s="16"/>
      <c r="AT64" s="16"/>
      <c r="AU64" s="16"/>
      <c r="AV64" s="16"/>
      <c r="AW64" s="16"/>
      <c r="AX64" s="16"/>
    </row>
    <row r="65" spans="1:50" s="2" customFormat="1" ht="14.4" customHeight="1" x14ac:dyDescent="0.3">
      <c r="A65" s="10"/>
      <c r="B65" s="7"/>
      <c r="C65" s="173" t="s">
        <v>224</v>
      </c>
      <c r="D65" s="82"/>
      <c r="F65" s="215">
        <v>90</v>
      </c>
      <c r="G65" s="181">
        <f>IF(K58=TRUE,($Q$148-PGNiG!J74)/E58/F65*100,$Q$148/E58/F65*100)</f>
        <v>1267.4580397912589</v>
      </c>
      <c r="H65" s="79" t="s">
        <v>296</v>
      </c>
      <c r="I65" s="191">
        <f>G65*E60</f>
        <v>6590.7818069145469</v>
      </c>
      <c r="J65" s="176" t="s">
        <v>39</v>
      </c>
      <c r="K65" s="70"/>
      <c r="L65" s="70"/>
      <c r="M65" s="175"/>
      <c r="N65" s="82"/>
      <c r="O65" s="182"/>
      <c r="P65" s="200"/>
      <c r="Q65" s="201"/>
      <c r="R65" s="88"/>
      <c r="S65" s="202"/>
      <c r="T65" s="200"/>
      <c r="U65" s="18"/>
      <c r="V65" s="7"/>
      <c r="W65" s="10"/>
      <c r="X65" s="177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6"/>
      <c r="AS65" s="16"/>
      <c r="AT65" s="16"/>
      <c r="AU65" s="16"/>
      <c r="AV65" s="16"/>
      <c r="AW65" s="16"/>
      <c r="AX65" s="16"/>
    </row>
    <row r="66" spans="1:50" s="2" customFormat="1" ht="14.4" customHeight="1" x14ac:dyDescent="0.3">
      <c r="A66" s="10"/>
      <c r="B66" s="7"/>
      <c r="C66" s="173"/>
      <c r="D66" s="82"/>
      <c r="F66" s="215"/>
      <c r="G66" s="181"/>
      <c r="H66" s="79"/>
      <c r="I66" s="191"/>
      <c r="J66" s="176"/>
      <c r="K66" s="70"/>
      <c r="L66" s="70"/>
      <c r="M66" s="175"/>
      <c r="N66" s="82"/>
      <c r="O66" s="182"/>
      <c r="P66" s="200"/>
      <c r="Q66" s="201"/>
      <c r="R66" s="88"/>
      <c r="S66" s="202"/>
      <c r="T66" s="200"/>
      <c r="U66" s="18"/>
      <c r="V66" s="7"/>
      <c r="W66" s="10"/>
      <c r="X66" s="177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6"/>
      <c r="AS66" s="16"/>
      <c r="AT66" s="16"/>
      <c r="AU66" s="16"/>
      <c r="AV66" s="16"/>
      <c r="AW66" s="16"/>
      <c r="AX66" s="16"/>
    </row>
    <row r="67" spans="1:50" s="2" customFormat="1" ht="14.4" customHeight="1" x14ac:dyDescent="0.3">
      <c r="A67" s="10"/>
      <c r="B67" s="7"/>
      <c r="C67" s="70"/>
      <c r="I67" s="167"/>
      <c r="J67" s="70"/>
      <c r="K67" s="70"/>
      <c r="L67" s="70"/>
      <c r="M67" s="18"/>
      <c r="N67" s="75"/>
      <c r="O67" s="86"/>
      <c r="P67" s="78"/>
      <c r="Q67" s="101"/>
      <c r="R67" s="75"/>
      <c r="S67" s="75"/>
      <c r="T67" s="102"/>
      <c r="U67" s="18"/>
      <c r="V67" s="7"/>
      <c r="W67" s="10"/>
      <c r="X67" s="177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6"/>
      <c r="AS67" s="16"/>
      <c r="AT67" s="16"/>
      <c r="AU67" s="16"/>
      <c r="AV67" s="16"/>
      <c r="AW67" s="16"/>
      <c r="AX67" s="16"/>
    </row>
    <row r="68" spans="1:50" ht="14.4" customHeight="1" x14ac:dyDescent="0.3">
      <c r="A68" s="10"/>
      <c r="B68" s="7"/>
      <c r="C68" s="195"/>
      <c r="D68" s="195"/>
      <c r="E68" s="195"/>
      <c r="F68" s="195"/>
      <c r="G68" s="197"/>
      <c r="H68" s="196"/>
      <c r="I68" s="197"/>
      <c r="J68" s="197"/>
      <c r="K68" s="106"/>
      <c r="L68" s="70"/>
      <c r="M68" s="203"/>
      <c r="N68" s="203"/>
      <c r="O68" s="203"/>
      <c r="P68" s="203"/>
      <c r="Q68" s="205"/>
      <c r="R68" s="204"/>
      <c r="S68" s="205"/>
      <c r="T68" s="205"/>
      <c r="U68" s="2"/>
      <c r="V68" s="12"/>
      <c r="W68" s="10"/>
    </row>
    <row r="69" spans="1:50" ht="14.4" customHeight="1" x14ac:dyDescent="0.3">
      <c r="A69" s="10"/>
      <c r="B69" s="7"/>
      <c r="C69" s="196"/>
      <c r="D69" s="196"/>
      <c r="E69" s="196"/>
      <c r="F69" s="196"/>
      <c r="G69" s="196"/>
      <c r="H69" s="196"/>
      <c r="I69" s="198"/>
      <c r="J69" s="196"/>
      <c r="K69" s="70"/>
      <c r="L69" s="70"/>
      <c r="M69" s="204"/>
      <c r="N69" s="204"/>
      <c r="O69" s="204"/>
      <c r="P69" s="204"/>
      <c r="Q69" s="204"/>
      <c r="R69" s="204"/>
      <c r="S69" s="206"/>
      <c r="T69" s="204"/>
      <c r="U69" s="18"/>
      <c r="V69" s="7"/>
      <c r="W69" s="10"/>
    </row>
    <row r="70" spans="1:50" s="4" customFormat="1" ht="14.4" customHeight="1" x14ac:dyDescent="0.3">
      <c r="A70" s="168"/>
      <c r="B70" s="18"/>
      <c r="C70" s="303" t="s">
        <v>225</v>
      </c>
      <c r="D70" s="303"/>
      <c r="E70" s="303"/>
      <c r="F70" s="303"/>
      <c r="G70" s="196"/>
      <c r="H70" s="196"/>
      <c r="I70" s="198"/>
      <c r="J70" s="196"/>
      <c r="K70" s="70"/>
      <c r="L70" s="70"/>
      <c r="M70" s="325" t="s">
        <v>35</v>
      </c>
      <c r="N70" s="325"/>
      <c r="O70" s="248"/>
      <c r="P70" s="204"/>
      <c r="Q70" s="204"/>
      <c r="R70" s="204"/>
      <c r="S70" s="206"/>
      <c r="T70" s="204"/>
      <c r="U70" s="18"/>
      <c r="V70" s="18"/>
      <c r="W70" s="168"/>
      <c r="X70" s="169"/>
      <c r="Y70" s="170"/>
      <c r="Z70" s="170"/>
      <c r="AA70" s="170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2"/>
      <c r="AS70" s="172"/>
      <c r="AT70" s="172"/>
      <c r="AU70" s="172"/>
      <c r="AV70" s="172"/>
      <c r="AW70" s="172"/>
      <c r="AX70" s="172"/>
    </row>
    <row r="71" spans="1:50" ht="14.4" customHeight="1" x14ac:dyDescent="0.3">
      <c r="A71" s="10"/>
      <c r="B71" s="7"/>
      <c r="C71" s="303"/>
      <c r="D71" s="303"/>
      <c r="E71" s="303"/>
      <c r="F71" s="303"/>
      <c r="G71" s="196"/>
      <c r="H71" s="196"/>
      <c r="I71" s="198"/>
      <c r="J71" s="196"/>
      <c r="K71" s="70"/>
      <c r="L71" s="70"/>
      <c r="M71" s="325"/>
      <c r="N71" s="325"/>
      <c r="O71" s="248"/>
      <c r="P71" s="204"/>
      <c r="Q71" s="204"/>
      <c r="R71" s="204"/>
      <c r="S71" s="206"/>
      <c r="T71" s="204"/>
      <c r="U71" s="18"/>
      <c r="V71" s="7"/>
      <c r="W71" s="10"/>
    </row>
    <row r="72" spans="1:50" ht="14.4" customHeight="1" x14ac:dyDescent="0.3">
      <c r="A72" s="10"/>
      <c r="B72" s="7"/>
      <c r="C72" s="196"/>
      <c r="D72" s="196"/>
      <c r="E72" s="196"/>
      <c r="F72" s="196"/>
      <c r="G72" s="196"/>
      <c r="H72" s="196"/>
      <c r="I72" s="198"/>
      <c r="J72" s="196"/>
      <c r="K72" s="70"/>
      <c r="L72" s="70"/>
      <c r="M72" s="204"/>
      <c r="N72" s="204"/>
      <c r="O72" s="204"/>
      <c r="P72" s="204"/>
      <c r="Q72" s="204"/>
      <c r="R72" s="204"/>
      <c r="S72" s="206"/>
      <c r="T72" s="204"/>
      <c r="U72" s="18"/>
      <c r="V72" s="7"/>
      <c r="W72" s="10"/>
    </row>
    <row r="73" spans="1:50" ht="14.4" customHeight="1" x14ac:dyDescent="0.3">
      <c r="A73" s="10"/>
      <c r="B73" s="7"/>
      <c r="C73" s="70"/>
      <c r="D73" s="70"/>
      <c r="E73" s="70"/>
      <c r="F73" s="70"/>
      <c r="G73" s="2"/>
      <c r="H73" s="2"/>
      <c r="I73" s="2"/>
      <c r="J73" s="70"/>
      <c r="K73" s="70"/>
      <c r="L73" s="70"/>
      <c r="M73" s="70"/>
      <c r="N73" s="70"/>
      <c r="O73" s="70"/>
      <c r="P73" s="70"/>
      <c r="Q73" s="70"/>
      <c r="R73" s="70"/>
      <c r="S73" s="167"/>
      <c r="T73" s="70"/>
      <c r="U73" s="18"/>
      <c r="V73" s="7"/>
      <c r="W73" s="10"/>
    </row>
    <row r="74" spans="1:50" ht="14.4" customHeight="1" x14ac:dyDescent="0.3">
      <c r="A74" s="10"/>
      <c r="B74" s="7"/>
      <c r="C74" s="183" t="s">
        <v>7</v>
      </c>
      <c r="D74" s="178"/>
      <c r="E74" s="199">
        <v>1900</v>
      </c>
      <c r="F74" s="88" t="s">
        <v>214</v>
      </c>
      <c r="G74" s="183"/>
      <c r="H74" s="178"/>
      <c r="I74" s="2"/>
      <c r="J74" s="2"/>
      <c r="K74" s="70"/>
      <c r="L74" s="70"/>
      <c r="M74" s="183" t="s">
        <v>7</v>
      </c>
      <c r="N74" s="178"/>
      <c r="O74" s="199">
        <v>27</v>
      </c>
      <c r="P74" s="88" t="s">
        <v>45</v>
      </c>
      <c r="Q74" s="263"/>
      <c r="R74" s="264"/>
      <c r="S74" s="2"/>
      <c r="T74" s="2"/>
      <c r="U74" s="18"/>
      <c r="V74" s="7"/>
      <c r="W74" s="10"/>
    </row>
    <row r="75" spans="1:50" ht="3" customHeight="1" x14ac:dyDescent="0.3">
      <c r="A75" s="10"/>
      <c r="B75" s="7"/>
      <c r="C75" s="176"/>
      <c r="D75" s="178"/>
      <c r="E75" s="167"/>
      <c r="F75" s="70"/>
      <c r="G75" s="2"/>
      <c r="H75" s="70"/>
      <c r="I75" s="2"/>
      <c r="J75" s="2"/>
      <c r="K75" s="70"/>
      <c r="L75" s="70"/>
      <c r="M75" s="176"/>
      <c r="N75" s="178"/>
      <c r="O75" s="179"/>
      <c r="P75" s="88"/>
      <c r="Q75" s="165"/>
      <c r="R75" s="173"/>
      <c r="S75" s="167"/>
      <c r="T75" s="173"/>
      <c r="U75" s="18"/>
      <c r="V75" s="7"/>
      <c r="W75" s="10"/>
    </row>
    <row r="76" spans="1:50" ht="14.4" customHeight="1" x14ac:dyDescent="0.3">
      <c r="A76" s="10"/>
      <c r="B76" s="7"/>
      <c r="C76" s="207" t="s">
        <v>3</v>
      </c>
      <c r="D76" s="207"/>
      <c r="E76" s="180">
        <v>600</v>
      </c>
      <c r="F76" s="173" t="s">
        <v>41</v>
      </c>
      <c r="G76" s="302"/>
      <c r="H76" s="302"/>
      <c r="I76" s="2"/>
      <c r="J76" s="2"/>
      <c r="K76" s="70"/>
      <c r="L76" s="70"/>
      <c r="M76" s="302" t="s">
        <v>3</v>
      </c>
      <c r="N76" s="302"/>
      <c r="O76" s="194">
        <v>2099</v>
      </c>
      <c r="P76" s="173" t="s">
        <v>40</v>
      </c>
      <c r="Q76" s="291" t="s">
        <v>228</v>
      </c>
      <c r="R76" s="291"/>
      <c r="S76" s="291"/>
      <c r="T76" s="193"/>
      <c r="U76" s="246" t="b">
        <v>0</v>
      </c>
      <c r="V76" s="7"/>
      <c r="W76" s="10"/>
    </row>
    <row r="77" spans="1:50" ht="3" customHeight="1" x14ac:dyDescent="0.3">
      <c r="A77" s="10"/>
      <c r="B77" s="7"/>
      <c r="C77" s="176"/>
      <c r="D77" s="178"/>
      <c r="E77" s="179"/>
      <c r="F77" s="88"/>
      <c r="G77" s="2"/>
      <c r="H77" s="70"/>
      <c r="I77" s="167"/>
      <c r="J77" s="70"/>
      <c r="K77" s="70"/>
      <c r="L77" s="70"/>
      <c r="M77" s="2"/>
      <c r="N77" s="2"/>
      <c r="O77" s="2"/>
      <c r="P77" s="2"/>
      <c r="Q77" s="2"/>
      <c r="R77" s="2"/>
      <c r="S77" s="2"/>
      <c r="T77" s="2"/>
      <c r="U77" s="18"/>
      <c r="V77" s="7"/>
      <c r="W77" s="10"/>
    </row>
    <row r="78" spans="1:50" ht="14.4" customHeight="1" x14ac:dyDescent="0.3">
      <c r="A78" s="10"/>
      <c r="B78" s="7"/>
      <c r="C78" s="176"/>
      <c r="D78" s="178"/>
      <c r="E78" s="183" t="s">
        <v>212</v>
      </c>
      <c r="F78" s="88"/>
      <c r="G78" s="290" t="s">
        <v>36</v>
      </c>
      <c r="H78" s="290"/>
      <c r="I78" s="290" t="s">
        <v>37</v>
      </c>
      <c r="J78" s="290"/>
      <c r="K78" s="70"/>
      <c r="L78" s="70"/>
      <c r="M78" s="176"/>
      <c r="N78" s="178"/>
      <c r="O78" s="183" t="s">
        <v>212</v>
      </c>
      <c r="P78" s="88"/>
      <c r="Q78" s="290" t="s">
        <v>36</v>
      </c>
      <c r="R78" s="290"/>
      <c r="S78" s="290" t="s">
        <v>37</v>
      </c>
      <c r="T78" s="290"/>
      <c r="U78" s="18"/>
      <c r="V78" s="7"/>
      <c r="W78" s="10"/>
      <c r="X78" s="238"/>
      <c r="Y78" s="239" t="s">
        <v>249</v>
      </c>
      <c r="Z78" s="239" t="s">
        <v>248</v>
      </c>
    </row>
    <row r="79" spans="1:50" ht="4.95" customHeight="1" x14ac:dyDescent="0.3">
      <c r="A79" s="10"/>
      <c r="B79" s="7"/>
      <c r="C79" s="176"/>
      <c r="D79" s="178"/>
      <c r="E79" s="183"/>
      <c r="F79" s="88"/>
      <c r="G79" s="185"/>
      <c r="H79" s="185"/>
      <c r="I79" s="185"/>
      <c r="J79" s="185"/>
      <c r="K79" s="70"/>
      <c r="L79" s="70"/>
      <c r="M79" s="2"/>
      <c r="N79" s="2"/>
      <c r="O79" s="2"/>
      <c r="P79" s="2"/>
      <c r="Q79" s="2"/>
      <c r="R79" s="2"/>
      <c r="S79" s="2"/>
      <c r="T79" s="2"/>
      <c r="U79" s="18"/>
      <c r="V79" s="7"/>
      <c r="W79" s="10"/>
      <c r="X79" s="238"/>
      <c r="Y79" s="239"/>
      <c r="Z79" s="239"/>
    </row>
    <row r="80" spans="1:50" ht="14.4" customHeight="1" x14ac:dyDescent="0.3">
      <c r="A80" s="10"/>
      <c r="B80" s="7"/>
      <c r="C80" s="175" t="s">
        <v>196</v>
      </c>
      <c r="D80" s="82"/>
      <c r="E80" s="180">
        <v>80</v>
      </c>
      <c r="F80" s="176" t="s">
        <v>29</v>
      </c>
      <c r="G80" s="181">
        <f>Q148/E74/(E80/100)</f>
        <v>8.9902615953947365</v>
      </c>
      <c r="H80" s="79" t="s">
        <v>72</v>
      </c>
      <c r="I80" s="191">
        <f>G80*E76</f>
        <v>5394.1569572368417</v>
      </c>
      <c r="J80" s="176" t="s">
        <v>39</v>
      </c>
      <c r="K80" s="70"/>
      <c r="L80" s="70"/>
      <c r="M80" s="173" t="s">
        <v>5</v>
      </c>
      <c r="N80" s="82"/>
      <c r="O80" s="174">
        <v>70</v>
      </c>
      <c r="P80" s="173" t="s">
        <v>29</v>
      </c>
      <c r="Q80" s="181">
        <f>Q148/O74*3.6/O80*100</f>
        <v>2602.8947857142857</v>
      </c>
      <c r="R80" s="79" t="s">
        <v>71</v>
      </c>
      <c r="S80" s="191">
        <f>IF(U76=TRUE,2000+Z80/1000*O76,S81)</f>
        <v>5463.4761552142854</v>
      </c>
      <c r="T80" s="176" t="s">
        <v>39</v>
      </c>
      <c r="U80" s="18"/>
      <c r="V80" s="7"/>
      <c r="W80" s="10"/>
      <c r="X80" s="238">
        <f>Q80</f>
        <v>2602.8947857142857</v>
      </c>
      <c r="Y80" s="239">
        <f>IF(X80&lt;1500,X80,1500)</f>
        <v>1500</v>
      </c>
      <c r="Z80" s="238">
        <f>X80-Y80</f>
        <v>1102.8947857142857</v>
      </c>
    </row>
    <row r="81" spans="1:50" ht="14.4" customHeight="1" x14ac:dyDescent="0.3">
      <c r="A81" s="10"/>
      <c r="B81" s="7"/>
      <c r="C81" s="175"/>
      <c r="D81" s="82"/>
      <c r="E81" s="182"/>
      <c r="F81" s="200"/>
      <c r="G81" s="201"/>
      <c r="H81" s="88"/>
      <c r="I81" s="202"/>
      <c r="J81" s="200"/>
      <c r="K81" s="70"/>
      <c r="L81" s="70"/>
      <c r="M81" s="2"/>
      <c r="N81" s="2"/>
      <c r="O81" s="2"/>
      <c r="P81" s="2"/>
      <c r="Q81" s="2"/>
      <c r="R81" s="2"/>
      <c r="S81" s="240">
        <f>Q80*O76/1000</f>
        <v>5463.4761552142854</v>
      </c>
      <c r="T81" s="2"/>
      <c r="U81" s="18"/>
      <c r="V81" s="7"/>
      <c r="W81" s="10"/>
    </row>
    <row r="82" spans="1:50" s="2" customFormat="1" ht="14.4" customHeight="1" x14ac:dyDescent="0.3">
      <c r="A82" s="10"/>
      <c r="B82" s="7"/>
      <c r="K82" s="70"/>
      <c r="L82" s="70"/>
      <c r="U82" s="18"/>
      <c r="V82" s="7"/>
      <c r="W82" s="10"/>
      <c r="X82" s="177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6"/>
      <c r="AS82" s="16"/>
      <c r="AT82" s="16"/>
      <c r="AU82" s="16"/>
      <c r="AV82" s="16"/>
      <c r="AW82" s="16"/>
      <c r="AX82" s="16"/>
    </row>
    <row r="83" spans="1:50" s="2" customFormat="1" ht="14.4" customHeight="1" x14ac:dyDescent="0.3">
      <c r="A83" s="10"/>
      <c r="B83" s="7"/>
      <c r="C83" s="257"/>
      <c r="D83" s="257"/>
      <c r="E83" s="257"/>
      <c r="F83" s="257"/>
      <c r="G83" s="258"/>
      <c r="H83" s="259"/>
      <c r="I83" s="258"/>
      <c r="J83" s="258"/>
      <c r="K83" s="70"/>
      <c r="L83" s="70"/>
      <c r="M83" s="241"/>
      <c r="N83" s="241"/>
      <c r="O83" s="241"/>
      <c r="P83" s="241"/>
      <c r="Q83" s="242"/>
      <c r="R83" s="243"/>
      <c r="S83" s="242"/>
      <c r="T83" s="242"/>
      <c r="U83" s="18"/>
      <c r="V83" s="7"/>
      <c r="W83" s="10"/>
      <c r="X83" s="177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6"/>
      <c r="AS83" s="16"/>
      <c r="AT83" s="16"/>
      <c r="AU83" s="16"/>
      <c r="AV83" s="16"/>
      <c r="AW83" s="16"/>
      <c r="AX83" s="16"/>
    </row>
    <row r="84" spans="1:50" s="2" customFormat="1" ht="14.4" customHeight="1" x14ac:dyDescent="0.3">
      <c r="A84" s="10"/>
      <c r="B84" s="7"/>
      <c r="C84" s="259"/>
      <c r="D84" s="259"/>
      <c r="E84" s="259"/>
      <c r="F84" s="259"/>
      <c r="G84" s="259"/>
      <c r="H84" s="259"/>
      <c r="I84" s="260"/>
      <c r="J84" s="259"/>
      <c r="K84" s="70"/>
      <c r="L84" s="70"/>
      <c r="M84" s="243"/>
      <c r="N84" s="243"/>
      <c r="O84" s="243"/>
      <c r="P84" s="243"/>
      <c r="Q84" s="243"/>
      <c r="R84" s="243"/>
      <c r="S84" s="244"/>
      <c r="T84" s="243"/>
      <c r="U84" s="18"/>
      <c r="V84" s="7"/>
      <c r="W84" s="10"/>
      <c r="X84" s="177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6"/>
      <c r="AS84" s="16"/>
      <c r="AT84" s="16"/>
      <c r="AU84" s="16"/>
      <c r="AV84" s="16"/>
      <c r="AW84" s="16"/>
      <c r="AX84" s="16"/>
    </row>
    <row r="85" spans="1:50" s="2" customFormat="1" ht="14.4" customHeight="1" x14ac:dyDescent="0.3">
      <c r="A85" s="10"/>
      <c r="B85" s="7"/>
      <c r="C85" s="316" t="s">
        <v>231</v>
      </c>
      <c r="D85" s="316"/>
      <c r="E85" s="316"/>
      <c r="F85" s="316"/>
      <c r="G85" s="316"/>
      <c r="H85" s="259"/>
      <c r="I85" s="260"/>
      <c r="J85" s="259"/>
      <c r="K85" s="70"/>
      <c r="L85" s="70"/>
      <c r="M85" s="288" t="s">
        <v>230</v>
      </c>
      <c r="N85" s="288"/>
      <c r="O85" s="288"/>
      <c r="P85" s="288"/>
      <c r="Q85" s="288"/>
      <c r="R85" s="243"/>
      <c r="S85" s="244"/>
      <c r="T85" s="243"/>
      <c r="U85" s="18"/>
      <c r="V85" s="7"/>
      <c r="W85" s="10"/>
      <c r="X85" s="177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6"/>
      <c r="AS85" s="16"/>
      <c r="AT85" s="16"/>
      <c r="AU85" s="16"/>
      <c r="AV85" s="16"/>
      <c r="AW85" s="16"/>
      <c r="AX85" s="16"/>
    </row>
    <row r="86" spans="1:50" s="2" customFormat="1" ht="14.4" customHeight="1" x14ac:dyDescent="0.3">
      <c r="A86" s="10"/>
      <c r="B86" s="7"/>
      <c r="C86" s="316"/>
      <c r="D86" s="316"/>
      <c r="E86" s="316"/>
      <c r="F86" s="316"/>
      <c r="G86" s="316"/>
      <c r="H86" s="259"/>
      <c r="I86" s="260"/>
      <c r="J86" s="259"/>
      <c r="K86" s="70"/>
      <c r="L86" s="70"/>
      <c r="M86" s="288"/>
      <c r="N86" s="288"/>
      <c r="O86" s="288"/>
      <c r="P86" s="288"/>
      <c r="Q86" s="288"/>
      <c r="R86" s="243"/>
      <c r="S86" s="244"/>
      <c r="T86" s="243"/>
      <c r="U86" s="18"/>
      <c r="V86" s="7"/>
      <c r="W86" s="10"/>
      <c r="X86" s="177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6"/>
      <c r="AS86" s="16"/>
      <c r="AT86" s="16"/>
      <c r="AU86" s="16"/>
      <c r="AV86" s="16"/>
      <c r="AW86" s="16"/>
      <c r="AX86" s="16"/>
    </row>
    <row r="87" spans="1:50" s="2" customFormat="1" ht="14.4" customHeight="1" x14ac:dyDescent="0.3">
      <c r="A87" s="10"/>
      <c r="B87" s="7"/>
      <c r="C87" s="259"/>
      <c r="D87" s="259"/>
      <c r="E87" s="259"/>
      <c r="F87" s="259"/>
      <c r="G87" s="259"/>
      <c r="H87" s="259"/>
      <c r="I87" s="260"/>
      <c r="J87" s="259"/>
      <c r="K87" s="70"/>
      <c r="L87" s="70"/>
      <c r="M87" s="243"/>
      <c r="N87" s="243"/>
      <c r="O87" s="243"/>
      <c r="P87" s="243"/>
      <c r="Q87" s="243"/>
      <c r="R87" s="243"/>
      <c r="S87" s="244"/>
      <c r="T87" s="243"/>
      <c r="U87" s="18"/>
      <c r="V87" s="7"/>
      <c r="W87" s="10"/>
      <c r="X87" s="177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6"/>
      <c r="AS87" s="16"/>
      <c r="AT87" s="16"/>
      <c r="AU87" s="16"/>
      <c r="AV87" s="16"/>
      <c r="AW87" s="16"/>
      <c r="AX87" s="16"/>
    </row>
    <row r="88" spans="1:50" s="2" customFormat="1" ht="14.4" customHeight="1" x14ac:dyDescent="0.3">
      <c r="A88" s="10"/>
      <c r="B88" s="7"/>
      <c r="H88" s="70"/>
      <c r="I88" s="167"/>
      <c r="J88" s="70"/>
      <c r="K88" s="70"/>
      <c r="L88" s="70"/>
      <c r="R88" s="70"/>
      <c r="S88" s="167"/>
      <c r="T88" s="70"/>
      <c r="U88" s="18"/>
      <c r="V88" s="7"/>
      <c r="W88" s="10"/>
      <c r="X88" s="177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6"/>
      <c r="AS88" s="16"/>
      <c r="AT88" s="16"/>
      <c r="AU88" s="16"/>
      <c r="AV88" s="16"/>
      <c r="AW88" s="16"/>
      <c r="AX88" s="16"/>
    </row>
    <row r="89" spans="1:50" s="2" customFormat="1" ht="14.4" customHeight="1" x14ac:dyDescent="0.3">
      <c r="A89" s="10"/>
      <c r="B89" s="7"/>
      <c r="C89" s="302" t="s">
        <v>212</v>
      </c>
      <c r="D89" s="302"/>
      <c r="E89" s="180">
        <v>4.2</v>
      </c>
      <c r="F89" s="173" t="s">
        <v>252</v>
      </c>
      <c r="G89" s="291" t="s">
        <v>229</v>
      </c>
      <c r="H89" s="291"/>
      <c r="I89" s="291"/>
      <c r="J89" s="193"/>
      <c r="K89" s="246" t="b">
        <v>0</v>
      </c>
      <c r="L89" s="70"/>
      <c r="M89" s="302" t="s">
        <v>212</v>
      </c>
      <c r="N89" s="302"/>
      <c r="O89" s="180">
        <v>3.8</v>
      </c>
      <c r="P89" s="173" t="s">
        <v>252</v>
      </c>
      <c r="Q89" s="291" t="s">
        <v>229</v>
      </c>
      <c r="R89" s="291"/>
      <c r="S89" s="291"/>
      <c r="T89" s="193"/>
      <c r="U89" s="246" t="b">
        <v>0</v>
      </c>
      <c r="V89" s="7"/>
      <c r="W89" s="10"/>
      <c r="X89" s="177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6"/>
      <c r="AS89" s="16"/>
      <c r="AT89" s="16"/>
      <c r="AU89" s="16"/>
      <c r="AV89" s="16"/>
      <c r="AW89" s="16"/>
      <c r="AX89" s="16"/>
    </row>
    <row r="90" spans="1:50" s="2" customFormat="1" ht="3" customHeight="1" x14ac:dyDescent="0.3">
      <c r="A90" s="10"/>
      <c r="B90" s="7"/>
      <c r="C90" s="176"/>
      <c r="D90" s="178"/>
      <c r="E90" s="179"/>
      <c r="F90" s="88"/>
      <c r="H90" s="70"/>
      <c r="I90" s="167"/>
      <c r="J90" s="70"/>
      <c r="K90" s="70"/>
      <c r="L90" s="70"/>
      <c r="M90" s="176"/>
      <c r="N90" s="178"/>
      <c r="O90" s="179"/>
      <c r="P90" s="88"/>
      <c r="Q90" s="165"/>
      <c r="R90" s="173"/>
      <c r="S90" s="167"/>
      <c r="T90" s="173"/>
      <c r="U90" s="18"/>
      <c r="V90" s="7"/>
      <c r="W90" s="10"/>
      <c r="X90" s="177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6"/>
      <c r="AS90" s="16"/>
      <c r="AT90" s="16"/>
      <c r="AU90" s="16"/>
      <c r="AV90" s="16"/>
      <c r="AW90" s="16"/>
      <c r="AX90" s="16"/>
    </row>
    <row r="91" spans="1:50" s="2" customFormat="1" ht="14.4" customHeight="1" x14ac:dyDescent="0.3">
      <c r="A91" s="10"/>
      <c r="B91" s="7"/>
      <c r="C91" s="176"/>
      <c r="D91" s="290" t="s">
        <v>61</v>
      </c>
      <c r="E91" s="290"/>
      <c r="F91" s="290" t="s">
        <v>217</v>
      </c>
      <c r="G91" s="290"/>
      <c r="H91" s="290"/>
      <c r="I91" s="290" t="s">
        <v>37</v>
      </c>
      <c r="J91" s="290"/>
      <c r="K91" s="222">
        <f>IF(K89=TRUE,IF((G92+I128)&gt;5000,1500,1000),0)</f>
        <v>0</v>
      </c>
      <c r="L91" s="70"/>
      <c r="N91" s="290" t="s">
        <v>61</v>
      </c>
      <c r="O91" s="290"/>
      <c r="P91" s="290" t="s">
        <v>217</v>
      </c>
      <c r="Q91" s="290"/>
      <c r="R91" s="290"/>
      <c r="S91" s="290" t="s">
        <v>37</v>
      </c>
      <c r="T91" s="290"/>
      <c r="U91" s="222">
        <f>IF(U89=TRUE,IF((Q92+I128)&gt;5000,1500,1000),0)</f>
        <v>0</v>
      </c>
      <c r="V91" s="7"/>
      <c r="W91" s="10"/>
      <c r="X91" s="177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6"/>
      <c r="AS91" s="16"/>
      <c r="AT91" s="16"/>
      <c r="AU91" s="16"/>
      <c r="AV91" s="16"/>
      <c r="AW91" s="16"/>
      <c r="AX91" s="16"/>
    </row>
    <row r="92" spans="1:50" s="2" customFormat="1" ht="14.4" customHeight="1" x14ac:dyDescent="0.3">
      <c r="A92" s="10"/>
      <c r="B92" s="7"/>
      <c r="C92" s="173" t="s">
        <v>215</v>
      </c>
      <c r="D92" s="346">
        <f>IF(F115="TAURON",Tauron!V69,Enea!V69)</f>
        <v>1.3001305219757215</v>
      </c>
      <c r="E92" s="88" t="s">
        <v>32</v>
      </c>
      <c r="F92" s="173"/>
      <c r="G92" s="97">
        <f>EE!M36+EE!N36</f>
        <v>3441.0245115546213</v>
      </c>
      <c r="H92" s="88" t="s">
        <v>73</v>
      </c>
      <c r="I92" s="202">
        <f>G92*D92-K91</f>
        <v>4473.780994338762</v>
      </c>
      <c r="J92" s="176" t="s">
        <v>39</v>
      </c>
      <c r="K92" s="70"/>
      <c r="L92" s="70"/>
      <c r="M92" s="173" t="s">
        <v>215</v>
      </c>
      <c r="N92" s="345">
        <f>IF(F115="Enea",Enea!AD69,IF(F115="Tauron",Tauron!AD69,"- -"))</f>
        <v>1.2940145827981777</v>
      </c>
      <c r="O92" s="88" t="s">
        <v>32</v>
      </c>
      <c r="P92" s="173"/>
      <c r="Q92" s="201">
        <f>EE!M59+EE!N59</f>
        <v>3794.8854817487272</v>
      </c>
      <c r="R92" s="88" t="s">
        <v>73</v>
      </c>
      <c r="S92" s="202">
        <f>Q92*N92-U91</f>
        <v>4910.6371534319405</v>
      </c>
      <c r="T92" s="176" t="s">
        <v>39</v>
      </c>
      <c r="U92" s="18"/>
      <c r="V92" s="7"/>
      <c r="W92" s="10"/>
      <c r="X92" s="177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6"/>
      <c r="AS92" s="16"/>
      <c r="AT92" s="16"/>
      <c r="AU92" s="16"/>
      <c r="AV92" s="16"/>
      <c r="AW92" s="16"/>
      <c r="AX92" s="16"/>
    </row>
    <row r="93" spans="1:50" s="2" customFormat="1" ht="3" customHeight="1" x14ac:dyDescent="0.3">
      <c r="A93" s="10"/>
      <c r="B93" s="7"/>
      <c r="C93" s="173"/>
      <c r="D93" s="210"/>
      <c r="F93" s="173"/>
      <c r="G93" s="181"/>
      <c r="H93" s="79"/>
      <c r="I93" s="192"/>
      <c r="J93" s="184"/>
      <c r="K93" s="70"/>
      <c r="L93" s="70"/>
      <c r="M93" s="173"/>
      <c r="N93" s="182"/>
      <c r="P93" s="173"/>
      <c r="Q93" s="181"/>
      <c r="R93" s="79"/>
      <c r="S93" s="192"/>
      <c r="T93" s="184"/>
      <c r="U93" s="18"/>
      <c r="V93" s="7"/>
      <c r="W93" s="10"/>
      <c r="X93" s="177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6"/>
      <c r="AS93" s="16"/>
      <c r="AT93" s="16"/>
      <c r="AU93" s="16"/>
      <c r="AV93" s="16"/>
      <c r="AW93" s="16"/>
      <c r="AX93" s="16"/>
    </row>
    <row r="94" spans="1:50" s="2" customFormat="1" ht="14.4" customHeight="1" x14ac:dyDescent="0.3">
      <c r="A94" s="10"/>
      <c r="B94" s="7"/>
      <c r="C94" s="175" t="s">
        <v>216</v>
      </c>
      <c r="D94" s="346">
        <f>IF(F115="TAURON",Tauron!V70,Enea!V70)</f>
        <v>1.2117703156098019</v>
      </c>
      <c r="E94" s="88" t="s">
        <v>32</v>
      </c>
      <c r="F94" s="97">
        <f>EE!M40+EE!N40</f>
        <v>1720.5122557773107</v>
      </c>
      <c r="G94" s="97">
        <f>EE!M43+EE!N43</f>
        <v>1720.5122557773107</v>
      </c>
      <c r="H94" s="88" t="s">
        <v>73</v>
      </c>
      <c r="I94" s="202">
        <f>(G94+F94)*D94-K91</f>
        <v>4169.7313583876075</v>
      </c>
      <c r="J94" s="176" t="s">
        <v>39</v>
      </c>
      <c r="K94" s="70"/>
      <c r="L94" s="70"/>
      <c r="M94" s="175" t="s">
        <v>216</v>
      </c>
      <c r="N94" s="345">
        <f>IF(F115="Enea",Enea!AD70,IF(F115="Tauron",Tauron!AD70,"- -"))</f>
        <v>1.219417262805216</v>
      </c>
      <c r="O94" s="88" t="s">
        <v>32</v>
      </c>
      <c r="P94" s="201">
        <f>EE!M63+EE!N63</f>
        <v>2087.1870149618003</v>
      </c>
      <c r="Q94" s="201">
        <f>EE!M66+EE!N66</f>
        <v>1707.6984667869274</v>
      </c>
      <c r="R94" s="88" t="s">
        <v>73</v>
      </c>
      <c r="S94" s="202">
        <f>(Q94+P94)*N94-U91</f>
        <v>4627.5488668132866</v>
      </c>
      <c r="T94" s="176" t="s">
        <v>39</v>
      </c>
      <c r="U94" s="18"/>
      <c r="V94" s="7"/>
      <c r="W94" s="10"/>
      <c r="X94" s="177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6"/>
      <c r="AS94" s="16"/>
      <c r="AT94" s="16"/>
      <c r="AU94" s="16"/>
      <c r="AV94" s="16"/>
      <c r="AW94" s="16"/>
      <c r="AX94" s="16"/>
    </row>
    <row r="95" spans="1:50" s="2" customFormat="1" ht="3" customHeight="1" x14ac:dyDescent="0.3">
      <c r="A95" s="10"/>
      <c r="B95" s="7"/>
      <c r="C95" s="175"/>
      <c r="D95" s="210"/>
      <c r="F95" s="97"/>
      <c r="G95" s="97"/>
      <c r="H95" s="79"/>
      <c r="I95" s="202"/>
      <c r="J95" s="176"/>
      <c r="K95" s="70"/>
      <c r="L95" s="70"/>
      <c r="M95" s="175"/>
      <c r="N95" s="182"/>
      <c r="P95" s="201"/>
      <c r="Q95" s="201"/>
      <c r="R95" s="79"/>
      <c r="S95" s="202"/>
      <c r="T95" s="176"/>
      <c r="U95" s="18"/>
      <c r="V95" s="7"/>
      <c r="W95" s="10"/>
      <c r="X95" s="177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6"/>
      <c r="AS95" s="16"/>
      <c r="AT95" s="16"/>
      <c r="AU95" s="16"/>
      <c r="AV95" s="16"/>
      <c r="AW95" s="16"/>
      <c r="AX95" s="16"/>
    </row>
    <row r="96" spans="1:50" s="2" customFormat="1" ht="14.4" customHeight="1" x14ac:dyDescent="0.3">
      <c r="A96" s="10"/>
      <c r="B96" s="7"/>
      <c r="C96" s="175" t="s">
        <v>218</v>
      </c>
      <c r="D96" s="346">
        <f>IF(F115="TAURON",Tauron!V71,Enea!V71)</f>
        <v>1.1688403156098017</v>
      </c>
      <c r="E96" s="88" t="s">
        <v>32</v>
      </c>
      <c r="F96" s="97">
        <f>EE!M47+EE!N47</f>
        <v>1204.3585790441173</v>
      </c>
      <c r="G96" s="97">
        <f>EE!M50+EE!N50</f>
        <v>2236.6659325105038</v>
      </c>
      <c r="H96" s="88" t="s">
        <v>73</v>
      </c>
      <c r="I96" s="202">
        <f>(G96+F96)*D96-K91</f>
        <v>4022.0081761065676</v>
      </c>
      <c r="J96" s="176" t="s">
        <v>39</v>
      </c>
      <c r="K96" s="70"/>
      <c r="L96" s="70"/>
      <c r="M96" s="175" t="s">
        <v>218</v>
      </c>
      <c r="N96" s="345">
        <f>IF(F115="Enea",Enea!AD71,IF(F115="Tauron",Tauron!AD71,"- -"))</f>
        <v>1.198497262805216</v>
      </c>
      <c r="O96" s="88" t="s">
        <v>32</v>
      </c>
      <c r="P96" s="201">
        <f>EE!M70+EE!N70</f>
        <v>1707.6984667869274</v>
      </c>
      <c r="Q96" s="201">
        <f>EE!M73+EE!N73</f>
        <v>2087.1870149618003</v>
      </c>
      <c r="R96" s="88" t="s">
        <v>73</v>
      </c>
      <c r="S96" s="202">
        <f>(Q96+P96)*N96-U91</f>
        <v>4548.1598625351035</v>
      </c>
      <c r="T96" s="176" t="s">
        <v>39</v>
      </c>
      <c r="U96" s="18"/>
      <c r="V96" s="7"/>
      <c r="W96" s="10"/>
      <c r="X96" s="177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6"/>
      <c r="AS96" s="16"/>
      <c r="AT96" s="16"/>
      <c r="AU96" s="16"/>
      <c r="AV96" s="16"/>
      <c r="AW96" s="16"/>
      <c r="AX96" s="16"/>
    </row>
    <row r="97" spans="1:50" s="2" customFormat="1" ht="14.4" customHeight="1" x14ac:dyDescent="0.3">
      <c r="A97" s="10"/>
      <c r="B97" s="7"/>
      <c r="C97" s="175"/>
      <c r="D97" s="209"/>
      <c r="E97" s="88"/>
      <c r="F97" s="97"/>
      <c r="G97" s="97"/>
      <c r="H97" s="88"/>
      <c r="I97" s="202"/>
      <c r="J97" s="176"/>
      <c r="K97" s="70"/>
      <c r="L97" s="70"/>
      <c r="M97" s="175"/>
      <c r="N97" s="208"/>
      <c r="O97" s="88"/>
      <c r="P97" s="201"/>
      <c r="Q97" s="201"/>
      <c r="R97" s="88"/>
      <c r="S97" s="202"/>
      <c r="T97" s="176"/>
      <c r="U97" s="18"/>
      <c r="V97" s="7"/>
      <c r="W97" s="10"/>
      <c r="X97" s="177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6"/>
      <c r="AS97" s="16"/>
      <c r="AT97" s="16"/>
      <c r="AU97" s="16"/>
      <c r="AV97" s="16"/>
      <c r="AW97" s="16"/>
      <c r="AX97" s="16"/>
    </row>
    <row r="98" spans="1:50" s="2" customFormat="1" ht="14.4" customHeight="1" x14ac:dyDescent="0.3">
      <c r="A98" s="10"/>
      <c r="B98" s="7"/>
      <c r="C98" s="175"/>
      <c r="D98" s="82"/>
      <c r="E98" s="182"/>
      <c r="F98" s="97"/>
      <c r="G98" s="97"/>
      <c r="H98" s="79"/>
      <c r="I98" s="202"/>
      <c r="J98" s="176"/>
      <c r="K98" s="70"/>
      <c r="L98" s="70"/>
      <c r="M98" s="175"/>
      <c r="N98" s="82"/>
      <c r="O98" s="182"/>
      <c r="P98" s="200"/>
      <c r="Q98" s="201"/>
      <c r="R98" s="88"/>
      <c r="S98" s="202"/>
      <c r="T98" s="200"/>
      <c r="U98" s="18"/>
      <c r="V98" s="7"/>
      <c r="W98" s="10"/>
      <c r="X98" s="177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6"/>
      <c r="AS98" s="16"/>
      <c r="AT98" s="16"/>
      <c r="AU98" s="16"/>
      <c r="AV98" s="16"/>
      <c r="AW98" s="16"/>
      <c r="AX98" s="16"/>
    </row>
    <row r="99" spans="1:50" s="2" customFormat="1" ht="14.4" customHeight="1" x14ac:dyDescent="0.3">
      <c r="A99" s="10"/>
      <c r="B99" s="7"/>
      <c r="C99" s="203"/>
      <c r="D99" s="203"/>
      <c r="E99" s="203"/>
      <c r="F99" s="203"/>
      <c r="G99" s="205"/>
      <c r="H99" s="204"/>
      <c r="I99" s="205"/>
      <c r="J99" s="205"/>
      <c r="K99" s="70"/>
      <c r="L99" s="70"/>
      <c r="M99" s="293" t="s">
        <v>229</v>
      </c>
      <c r="N99" s="293"/>
      <c r="O99" s="293"/>
      <c r="Q99" s="221"/>
      <c r="R99" s="221"/>
      <c r="S99" s="202"/>
      <c r="T99" s="200"/>
      <c r="U99" s="18"/>
      <c r="V99" s="7"/>
      <c r="W99" s="10"/>
      <c r="X99" s="177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6"/>
      <c r="AS99" s="16"/>
      <c r="AT99" s="16"/>
      <c r="AU99" s="16"/>
      <c r="AV99" s="16"/>
      <c r="AW99" s="16"/>
      <c r="AX99" s="16"/>
    </row>
    <row r="100" spans="1:50" s="2" customFormat="1" ht="14.4" customHeight="1" x14ac:dyDescent="0.3">
      <c r="A100" s="10"/>
      <c r="B100" s="7"/>
      <c r="C100" s="204"/>
      <c r="D100" s="204"/>
      <c r="E100" s="204"/>
      <c r="F100" s="204"/>
      <c r="G100" s="204"/>
      <c r="H100" s="204"/>
      <c r="I100" s="206"/>
      <c r="J100" s="204"/>
      <c r="K100" s="70"/>
      <c r="L100" s="70"/>
      <c r="M100" s="298" t="s">
        <v>277</v>
      </c>
      <c r="N100" s="298"/>
      <c r="O100" s="298"/>
      <c r="P100" s="298"/>
      <c r="Q100" s="298"/>
      <c r="R100" s="298"/>
      <c r="S100" s="298"/>
      <c r="T100" s="298"/>
      <c r="U100" s="18"/>
      <c r="V100" s="7"/>
      <c r="W100" s="10"/>
      <c r="X100" s="177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6"/>
      <c r="AS100" s="16"/>
      <c r="AT100" s="16"/>
      <c r="AU100" s="16"/>
      <c r="AV100" s="16"/>
      <c r="AW100" s="16"/>
      <c r="AX100" s="16"/>
    </row>
    <row r="101" spans="1:50" s="2" customFormat="1" ht="14.4" customHeight="1" x14ac:dyDescent="0.3">
      <c r="A101" s="10"/>
      <c r="B101" s="7"/>
      <c r="C101" s="315" t="s">
        <v>147</v>
      </c>
      <c r="D101" s="315"/>
      <c r="E101" s="315"/>
      <c r="F101" s="204"/>
      <c r="G101" s="204"/>
      <c r="H101" s="204"/>
      <c r="I101" s="206"/>
      <c r="J101" s="204"/>
      <c r="K101" s="70"/>
      <c r="L101" s="70"/>
      <c r="M101" s="298"/>
      <c r="N101" s="298"/>
      <c r="O101" s="298"/>
      <c r="P101" s="298"/>
      <c r="Q101" s="298"/>
      <c r="R101" s="298"/>
      <c r="S101" s="298"/>
      <c r="T101" s="298"/>
      <c r="U101" s="18"/>
      <c r="V101" s="7"/>
      <c r="W101" s="10"/>
      <c r="X101" s="177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6"/>
      <c r="AS101" s="16"/>
      <c r="AT101" s="16"/>
      <c r="AU101" s="16"/>
      <c r="AV101" s="16"/>
      <c r="AW101" s="16"/>
      <c r="AX101" s="16"/>
    </row>
    <row r="102" spans="1:50" s="2" customFormat="1" ht="14.4" customHeight="1" x14ac:dyDescent="0.3">
      <c r="A102" s="10"/>
      <c r="B102" s="7"/>
      <c r="C102" s="315"/>
      <c r="D102" s="315"/>
      <c r="E102" s="315"/>
      <c r="F102" s="204"/>
      <c r="G102" s="204"/>
      <c r="H102" s="204"/>
      <c r="I102" s="206"/>
      <c r="J102" s="204"/>
      <c r="K102" s="70"/>
      <c r="L102" s="70"/>
      <c r="M102" s="298"/>
      <c r="N102" s="298"/>
      <c r="O102" s="298"/>
      <c r="P102" s="298"/>
      <c r="Q102" s="298"/>
      <c r="R102" s="298"/>
      <c r="S102" s="298"/>
      <c r="T102" s="298"/>
      <c r="U102" s="18"/>
      <c r="V102" s="7"/>
      <c r="W102" s="10"/>
      <c r="X102" s="177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6"/>
      <c r="AS102" s="16"/>
      <c r="AT102" s="16"/>
      <c r="AU102" s="16"/>
      <c r="AV102" s="16"/>
      <c r="AW102" s="16"/>
      <c r="AX102" s="16"/>
    </row>
    <row r="103" spans="1:50" s="2" customFormat="1" ht="14.4" customHeight="1" x14ac:dyDescent="0.3">
      <c r="A103" s="10"/>
      <c r="B103" s="7"/>
      <c r="C103" s="204"/>
      <c r="D103" s="204"/>
      <c r="E103" s="204"/>
      <c r="F103" s="204"/>
      <c r="G103" s="204"/>
      <c r="H103" s="204"/>
      <c r="I103" s="206"/>
      <c r="J103" s="204"/>
      <c r="K103" s="70"/>
      <c r="L103" s="70"/>
      <c r="M103" s="266" t="s">
        <v>278</v>
      </c>
      <c r="N103" s="82"/>
      <c r="O103" s="182"/>
      <c r="P103" s="227"/>
      <c r="Q103" s="226"/>
      <c r="R103" s="226"/>
      <c r="S103" s="226"/>
      <c r="T103" s="226"/>
      <c r="U103" s="18"/>
      <c r="V103" s="7"/>
      <c r="W103" s="10"/>
      <c r="X103" s="177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6"/>
      <c r="AS103" s="16"/>
      <c r="AT103" s="16"/>
      <c r="AU103" s="16"/>
      <c r="AV103" s="16"/>
      <c r="AW103" s="16"/>
      <c r="AX103" s="16"/>
    </row>
    <row r="104" spans="1:50" s="2" customFormat="1" ht="14.4" customHeight="1" x14ac:dyDescent="0.3">
      <c r="A104" s="10"/>
      <c r="B104" s="7"/>
      <c r="F104" s="70"/>
      <c r="G104" s="70"/>
      <c r="H104" s="70"/>
      <c r="I104" s="167"/>
      <c r="J104" s="70"/>
      <c r="K104" s="70"/>
      <c r="L104" s="70"/>
      <c r="M104" s="273" t="s">
        <v>279</v>
      </c>
      <c r="Q104" s="201"/>
      <c r="R104" s="88"/>
      <c r="S104" s="202"/>
      <c r="T104" s="200"/>
      <c r="U104" s="18"/>
      <c r="V104" s="7"/>
      <c r="W104" s="10"/>
      <c r="X104" s="177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6"/>
      <c r="AS104" s="16"/>
      <c r="AT104" s="16"/>
      <c r="AU104" s="16"/>
      <c r="AV104" s="16"/>
      <c r="AW104" s="16"/>
      <c r="AX104" s="16"/>
    </row>
    <row r="105" spans="1:50" s="2" customFormat="1" ht="14.4" customHeight="1" x14ac:dyDescent="0.3">
      <c r="A105" s="10"/>
      <c r="B105" s="7"/>
      <c r="C105" s="183" t="s">
        <v>227</v>
      </c>
      <c r="D105" s="178"/>
      <c r="E105" s="186"/>
      <c r="F105" s="215">
        <v>99</v>
      </c>
      <c r="G105" s="291" t="s">
        <v>229</v>
      </c>
      <c r="H105" s="291"/>
      <c r="I105" s="291"/>
      <c r="J105" s="193"/>
      <c r="K105" s="245" t="b">
        <v>0</v>
      </c>
      <c r="L105" s="70"/>
      <c r="M105" s="221" t="s">
        <v>263</v>
      </c>
      <c r="N105" s="221"/>
      <c r="O105" s="221"/>
      <c r="P105" s="200"/>
      <c r="Q105" s="201"/>
      <c r="R105" s="88"/>
      <c r="S105" s="202"/>
      <c r="T105" s="200"/>
      <c r="U105" s="18"/>
      <c r="V105" s="7"/>
      <c r="W105" s="10"/>
      <c r="X105" s="177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6"/>
      <c r="AS105" s="16"/>
      <c r="AT105" s="16"/>
      <c r="AU105" s="16"/>
      <c r="AV105" s="16"/>
      <c r="AW105" s="16"/>
      <c r="AX105" s="16"/>
    </row>
    <row r="106" spans="1:50" s="2" customFormat="1" ht="3" customHeight="1" x14ac:dyDescent="0.3">
      <c r="A106" s="10"/>
      <c r="B106" s="7"/>
      <c r="C106" s="176"/>
      <c r="D106" s="178"/>
      <c r="E106" s="179"/>
      <c r="F106" s="88"/>
      <c r="H106" s="70"/>
      <c r="I106" s="167"/>
      <c r="J106" s="70"/>
      <c r="K106" s="222"/>
      <c r="L106" s="70"/>
      <c r="N106" s="82"/>
      <c r="O106" s="182"/>
      <c r="P106" s="200"/>
      <c r="Q106" s="201"/>
      <c r="R106" s="88"/>
      <c r="S106" s="202"/>
      <c r="T106" s="200"/>
      <c r="U106" s="18"/>
      <c r="V106" s="7"/>
      <c r="W106" s="10"/>
      <c r="X106" s="177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6"/>
      <c r="AS106" s="16"/>
      <c r="AT106" s="16"/>
      <c r="AU106" s="16"/>
      <c r="AV106" s="16"/>
      <c r="AW106" s="16"/>
      <c r="AX106" s="16"/>
    </row>
    <row r="107" spans="1:50" s="2" customFormat="1" ht="14.4" customHeight="1" x14ac:dyDescent="0.3">
      <c r="A107" s="10"/>
      <c r="B107" s="7"/>
      <c r="C107" s="176"/>
      <c r="D107" s="290" t="s">
        <v>61</v>
      </c>
      <c r="E107" s="290"/>
      <c r="F107" s="290" t="s">
        <v>217</v>
      </c>
      <c r="G107" s="290"/>
      <c r="H107" s="290"/>
      <c r="I107" s="290" t="s">
        <v>37</v>
      </c>
      <c r="J107" s="290"/>
      <c r="K107" s="222">
        <f>IF(K105=TRUE,IF(G108&gt;5000,1500,1000),0)</f>
        <v>0</v>
      </c>
      <c r="L107" s="70"/>
      <c r="M107" s="299" t="s">
        <v>280</v>
      </c>
      <c r="N107" s="299"/>
      <c r="O107" s="299"/>
      <c r="P107" s="299"/>
      <c r="Q107" s="299"/>
      <c r="R107" s="299"/>
      <c r="S107" s="299"/>
      <c r="T107" s="299"/>
      <c r="U107" s="18"/>
      <c r="V107" s="7"/>
      <c r="W107" s="10"/>
      <c r="X107" s="177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6"/>
      <c r="AS107" s="16"/>
      <c r="AT107" s="16"/>
      <c r="AU107" s="16"/>
      <c r="AV107" s="16"/>
      <c r="AW107" s="16"/>
      <c r="AX107" s="16"/>
    </row>
    <row r="108" spans="1:50" s="2" customFormat="1" ht="14.4" customHeight="1" x14ac:dyDescent="0.3">
      <c r="A108" s="10"/>
      <c r="B108" s="7"/>
      <c r="C108" s="173" t="s">
        <v>215</v>
      </c>
      <c r="D108" s="345">
        <f>IF(F115="TAURON",Tauron!AL69,Enea!AL69)</f>
        <v>1.2508924948184363</v>
      </c>
      <c r="E108" s="88" t="s">
        <v>32</v>
      </c>
      <c r="F108" s="173"/>
      <c r="G108" s="201">
        <f>EE!M82+EE!N82</f>
        <v>13803.229924242423</v>
      </c>
      <c r="H108" s="88" t="s">
        <v>73</v>
      </c>
      <c r="I108" s="202">
        <f>K108-K107</f>
        <v>17266.356716488102</v>
      </c>
      <c r="J108" s="176" t="s">
        <v>39</v>
      </c>
      <c r="K108" s="223">
        <f>G108*D108</f>
        <v>17266.356716488102</v>
      </c>
      <c r="L108" s="70"/>
      <c r="M108" s="299"/>
      <c r="N108" s="299"/>
      <c r="O108" s="299"/>
      <c r="P108" s="299"/>
      <c r="Q108" s="299"/>
      <c r="R108" s="299"/>
      <c r="S108" s="299"/>
      <c r="T108" s="299"/>
      <c r="U108" s="18"/>
      <c r="V108" s="7"/>
      <c r="W108" s="10"/>
      <c r="X108" s="177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6"/>
      <c r="AS108" s="16"/>
      <c r="AT108" s="16"/>
      <c r="AU108" s="16"/>
      <c r="AV108" s="16"/>
      <c r="AW108" s="16"/>
      <c r="AX108" s="16"/>
    </row>
    <row r="109" spans="1:50" s="2" customFormat="1" ht="3" customHeight="1" x14ac:dyDescent="0.3">
      <c r="A109" s="10"/>
      <c r="B109" s="7"/>
      <c r="C109" s="173"/>
      <c r="D109" s="210"/>
      <c r="F109" s="173"/>
      <c r="G109" s="181"/>
      <c r="H109" s="79"/>
      <c r="I109" s="192"/>
      <c r="J109" s="184"/>
      <c r="K109" s="224"/>
      <c r="L109" s="70"/>
      <c r="M109" s="299"/>
      <c r="N109" s="299"/>
      <c r="O109" s="299"/>
      <c r="P109" s="299"/>
      <c r="Q109" s="299"/>
      <c r="R109" s="299"/>
      <c r="S109" s="299"/>
      <c r="T109" s="299"/>
      <c r="U109" s="18"/>
      <c r="V109" s="7"/>
      <c r="W109" s="10"/>
      <c r="X109" s="177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6"/>
      <c r="AS109" s="16"/>
      <c r="AT109" s="16"/>
      <c r="AU109" s="16"/>
      <c r="AV109" s="16"/>
      <c r="AW109" s="16"/>
      <c r="AX109" s="16"/>
    </row>
    <row r="110" spans="1:50" s="2" customFormat="1" ht="14.4" customHeight="1" x14ac:dyDescent="0.3">
      <c r="A110" s="10"/>
      <c r="B110" s="7"/>
      <c r="C110" s="175" t="s">
        <v>216</v>
      </c>
      <c r="D110" s="345">
        <f>IF(F115="TAURON",Tauron!AL70,Enea!AL70)</f>
        <v>1.1573225246832626</v>
      </c>
      <c r="E110" s="88" t="s">
        <v>32</v>
      </c>
      <c r="F110" s="201">
        <f>EE!M86+EE!N86</f>
        <v>6901.6149621212116</v>
      </c>
      <c r="G110" s="201">
        <f>EE!M89+EE!N89</f>
        <v>6901.6149621212116</v>
      </c>
      <c r="H110" s="88" t="s">
        <v>73</v>
      </c>
      <c r="I110" s="202">
        <f>K110-K107</f>
        <v>15974.788904707801</v>
      </c>
      <c r="J110" s="176" t="s">
        <v>39</v>
      </c>
      <c r="K110" s="223">
        <f>(G110+F110)*D110</f>
        <v>15974.788904707801</v>
      </c>
      <c r="L110" s="70"/>
      <c r="M110" s="299"/>
      <c r="N110" s="299"/>
      <c r="O110" s="299"/>
      <c r="P110" s="299"/>
      <c r="Q110" s="299"/>
      <c r="R110" s="299"/>
      <c r="S110" s="299"/>
      <c r="T110" s="299"/>
      <c r="U110" s="18"/>
      <c r="V110" s="7"/>
      <c r="W110" s="10"/>
      <c r="X110" s="177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6"/>
      <c r="AS110" s="16"/>
      <c r="AT110" s="16"/>
      <c r="AU110" s="16"/>
      <c r="AV110" s="16"/>
      <c r="AW110" s="16"/>
      <c r="AX110" s="16"/>
    </row>
    <row r="111" spans="1:50" s="2" customFormat="1" ht="3" customHeight="1" x14ac:dyDescent="0.3">
      <c r="A111" s="10"/>
      <c r="B111" s="7"/>
      <c r="C111" s="175"/>
      <c r="D111" s="210"/>
      <c r="F111" s="201"/>
      <c r="G111" s="201"/>
      <c r="H111" s="79"/>
      <c r="I111" s="202"/>
      <c r="J111" s="176"/>
      <c r="K111" s="223"/>
      <c r="L111" s="70"/>
      <c r="N111" s="82"/>
      <c r="O111" s="182"/>
      <c r="P111" s="200"/>
      <c r="Q111" s="201"/>
      <c r="R111" s="88"/>
      <c r="S111" s="202"/>
      <c r="T111" s="200"/>
      <c r="U111" s="18"/>
      <c r="V111" s="7"/>
      <c r="W111" s="10"/>
      <c r="X111" s="177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6"/>
      <c r="AS111" s="16"/>
      <c r="AT111" s="16"/>
      <c r="AU111" s="16"/>
      <c r="AV111" s="16"/>
      <c r="AW111" s="16"/>
      <c r="AX111" s="16"/>
    </row>
    <row r="112" spans="1:50" s="2" customFormat="1" ht="14.4" customHeight="1" x14ac:dyDescent="0.3">
      <c r="A112" s="10"/>
      <c r="B112" s="7"/>
      <c r="C112" s="175" t="s">
        <v>218</v>
      </c>
      <c r="D112" s="345">
        <f>IF(F115="TAURON",Tauron!AL71,Enea!AL71)</f>
        <v>1.1143925246832629</v>
      </c>
      <c r="E112" s="88" t="s">
        <v>32</v>
      </c>
      <c r="F112" s="201">
        <f>EE!M93+EE!N93</f>
        <v>4831.1304734848482</v>
      </c>
      <c r="G112" s="201">
        <f>EE!M96+EE!N96</f>
        <v>8972.0994507575761</v>
      </c>
      <c r="H112" s="88" t="s">
        <v>73</v>
      </c>
      <c r="I112" s="202">
        <f>K112-K107</f>
        <v>15382.216244060077</v>
      </c>
      <c r="J112" s="176" t="s">
        <v>39</v>
      </c>
      <c r="K112" s="223">
        <f>(G112+F112)*D112</f>
        <v>15382.216244060077</v>
      </c>
      <c r="L112" s="70"/>
      <c r="M112" s="267" t="s">
        <v>228</v>
      </c>
      <c r="N112" s="82"/>
      <c r="O112" s="182"/>
      <c r="P112" s="200"/>
      <c r="Q112" s="201"/>
      <c r="R112" s="88"/>
      <c r="S112" s="202"/>
      <c r="T112" s="200"/>
      <c r="U112" s="18"/>
      <c r="V112" s="7"/>
      <c r="W112" s="10"/>
      <c r="X112" s="177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6"/>
      <c r="AS112" s="16"/>
      <c r="AT112" s="16"/>
      <c r="AU112" s="16"/>
      <c r="AV112" s="16"/>
      <c r="AW112" s="16"/>
      <c r="AX112" s="16"/>
    </row>
    <row r="113" spans="1:50" s="2" customFormat="1" ht="14.4" customHeight="1" x14ac:dyDescent="0.3">
      <c r="A113" s="10"/>
      <c r="B113" s="7"/>
      <c r="C113" s="175"/>
      <c r="D113" s="208"/>
      <c r="E113" s="88"/>
      <c r="F113" s="201"/>
      <c r="G113" s="201"/>
      <c r="H113" s="88"/>
      <c r="I113" s="202"/>
      <c r="J113" s="176"/>
      <c r="K113" s="223"/>
      <c r="L113" s="70"/>
      <c r="M113" s="266" t="s">
        <v>253</v>
      </c>
      <c r="N113" s="265"/>
      <c r="O113" s="265"/>
      <c r="P113" s="265"/>
      <c r="Q113" s="265"/>
      <c r="R113" s="265"/>
      <c r="S113" s="265"/>
      <c r="T113" s="265"/>
      <c r="U113" s="18"/>
      <c r="V113" s="7"/>
      <c r="W113" s="10"/>
      <c r="X113" s="177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6"/>
      <c r="AS113" s="16"/>
      <c r="AT113" s="16"/>
      <c r="AU113" s="16"/>
      <c r="AV113" s="16"/>
      <c r="AW113" s="16"/>
      <c r="AX113" s="16"/>
    </row>
    <row r="114" spans="1:50" s="2" customFormat="1" ht="14.4" customHeight="1" x14ac:dyDescent="0.3">
      <c r="A114" s="10"/>
      <c r="B114" s="18"/>
      <c r="C114" s="175"/>
      <c r="D114" s="208"/>
      <c r="E114" s="88"/>
      <c r="F114" s="201"/>
      <c r="G114" s="201"/>
      <c r="H114" s="88"/>
      <c r="I114" s="202"/>
      <c r="J114" s="200"/>
      <c r="K114" s="223"/>
      <c r="L114" s="70"/>
      <c r="M114" s="298" t="s">
        <v>254</v>
      </c>
      <c r="N114" s="298"/>
      <c r="O114" s="298"/>
      <c r="P114" s="298"/>
      <c r="Q114" s="298"/>
      <c r="R114" s="298"/>
      <c r="S114" s="298"/>
      <c r="T114" s="298"/>
      <c r="U114" s="18"/>
      <c r="V114" s="18"/>
      <c r="W114" s="10"/>
      <c r="X114" s="177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6"/>
      <c r="AS114" s="16"/>
      <c r="AT114" s="16"/>
      <c r="AU114" s="16"/>
      <c r="AV114" s="16"/>
      <c r="AW114" s="16"/>
      <c r="AX114" s="16"/>
    </row>
    <row r="115" spans="1:50" s="2" customFormat="1" ht="14.4" customHeight="1" x14ac:dyDescent="0.3">
      <c r="A115" s="10"/>
      <c r="B115" s="18"/>
      <c r="C115" s="175" t="s">
        <v>299</v>
      </c>
      <c r="D115" s="208"/>
      <c r="E115" s="88"/>
      <c r="F115" s="270" t="s">
        <v>259</v>
      </c>
      <c r="G115" s="201"/>
      <c r="H115" s="88"/>
      <c r="I115" s="202"/>
      <c r="J115" s="200"/>
      <c r="K115" s="223"/>
      <c r="L115" s="70"/>
      <c r="M115" s="298"/>
      <c r="N115" s="298"/>
      <c r="O115" s="298"/>
      <c r="P115" s="298"/>
      <c r="Q115" s="298"/>
      <c r="R115" s="298"/>
      <c r="S115" s="298"/>
      <c r="T115" s="298"/>
      <c r="U115" s="18"/>
      <c r="V115" s="18"/>
      <c r="W115" s="10"/>
      <c r="X115" s="177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6"/>
      <c r="AS115" s="16"/>
      <c r="AT115" s="16"/>
      <c r="AU115" s="16"/>
      <c r="AV115" s="16"/>
      <c r="AW115" s="16"/>
      <c r="AX115" s="16"/>
    </row>
    <row r="116" spans="1:50" s="2" customFormat="1" ht="14.4" customHeight="1" x14ac:dyDescent="0.3">
      <c r="A116" s="10"/>
      <c r="B116" s="18"/>
      <c r="C116" s="175"/>
      <c r="D116" s="208"/>
      <c r="E116" s="88"/>
      <c r="F116" s="201"/>
      <c r="G116" s="201"/>
      <c r="H116" s="88"/>
      <c r="I116" s="202"/>
      <c r="J116" s="200"/>
      <c r="K116" s="223"/>
      <c r="L116" s="70"/>
      <c r="M116" s="261"/>
      <c r="N116" s="261"/>
      <c r="O116" s="261"/>
      <c r="P116" s="261"/>
      <c r="Q116" s="261"/>
      <c r="R116" s="261"/>
      <c r="S116" s="261"/>
      <c r="T116" s="261"/>
      <c r="U116" s="18"/>
      <c r="V116" s="18"/>
      <c r="W116" s="10"/>
      <c r="X116" s="177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6"/>
      <c r="AS116" s="16"/>
      <c r="AT116" s="16"/>
      <c r="AU116" s="16"/>
      <c r="AV116" s="16"/>
      <c r="AW116" s="16"/>
      <c r="AX116" s="16"/>
    </row>
    <row r="117" spans="1:50" s="2" customFormat="1" ht="14.4" customHeight="1" x14ac:dyDescent="0.3">
      <c r="A117" s="10"/>
      <c r="B117" s="7"/>
      <c r="C117" s="175"/>
      <c r="D117" s="208"/>
      <c r="E117" s="88"/>
      <c r="F117" s="201"/>
      <c r="G117" s="201"/>
      <c r="H117" s="88"/>
      <c r="I117" s="202"/>
      <c r="J117" s="176"/>
      <c r="K117" s="70"/>
      <c r="L117" s="70"/>
      <c r="M117" s="175"/>
      <c r="N117" s="82"/>
      <c r="O117" s="182"/>
      <c r="P117" s="200"/>
      <c r="Q117" s="201"/>
      <c r="R117" s="88"/>
      <c r="S117" s="202"/>
      <c r="T117" s="200"/>
      <c r="U117" s="18"/>
      <c r="V117" s="7"/>
      <c r="W117" s="10"/>
      <c r="X117" s="177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6"/>
      <c r="AS117" s="16"/>
      <c r="AT117" s="16"/>
      <c r="AU117" s="16"/>
      <c r="AV117" s="16"/>
      <c r="AW117" s="16"/>
      <c r="AX117" s="16"/>
    </row>
    <row r="118" spans="1:50" s="2" customFormat="1" ht="14.4" customHeight="1" x14ac:dyDescent="0.3">
      <c r="A118" s="10"/>
      <c r="B118" s="7"/>
      <c r="C118" s="175"/>
      <c r="D118" s="208"/>
      <c r="E118" s="88"/>
      <c r="F118" s="201"/>
      <c r="G118" s="201"/>
      <c r="H118" s="88"/>
      <c r="I118" s="202"/>
      <c r="J118" s="176"/>
      <c r="K118" s="70"/>
      <c r="L118" s="70"/>
      <c r="M118" s="175"/>
      <c r="N118" s="82"/>
      <c r="O118" s="182"/>
      <c r="P118" s="200"/>
      <c r="Q118" s="201"/>
      <c r="R118" s="88"/>
      <c r="S118" s="202"/>
      <c r="T118" s="200"/>
      <c r="U118" s="18"/>
      <c r="V118" s="7"/>
      <c r="W118" s="10"/>
      <c r="X118" s="177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6"/>
      <c r="AS118" s="16"/>
      <c r="AT118" s="16"/>
      <c r="AU118" s="16"/>
      <c r="AV118" s="16"/>
      <c r="AW118" s="16"/>
      <c r="AX118" s="16"/>
    </row>
    <row r="119" spans="1:50" ht="14.4" customHeight="1" x14ac:dyDescent="0.3">
      <c r="A119" s="10"/>
      <c r="B119" s="2"/>
      <c r="C119" s="104"/>
      <c r="D119" s="104"/>
      <c r="E119" s="104"/>
      <c r="F119" s="14"/>
      <c r="G119" s="14"/>
      <c r="H119" s="14"/>
      <c r="I119" s="94"/>
      <c r="J119" s="14"/>
      <c r="K119" s="100"/>
      <c r="L119" s="14"/>
      <c r="M119" s="14"/>
      <c r="N119" s="95"/>
      <c r="O119" s="95"/>
      <c r="P119" s="95"/>
      <c r="Q119" s="100"/>
      <c r="R119" s="14"/>
      <c r="S119" s="14"/>
      <c r="T119" s="103"/>
      <c r="U119" s="14"/>
      <c r="V119" s="2"/>
      <c r="W119" s="10"/>
    </row>
    <row r="120" spans="1:50" x14ac:dyDescent="0.3">
      <c r="A120" s="10"/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2"/>
      <c r="W120" s="10"/>
    </row>
    <row r="121" spans="1:50" x14ac:dyDescent="0.3">
      <c r="A121" s="10"/>
      <c r="B121" s="8"/>
      <c r="C121" s="8"/>
      <c r="D121" s="8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8"/>
      <c r="P121" s="292"/>
      <c r="Q121" s="292"/>
      <c r="R121" s="292"/>
      <c r="S121" s="292"/>
      <c r="T121" s="292"/>
      <c r="U121" s="292"/>
      <c r="V121" s="292"/>
      <c r="W121" s="10"/>
      <c r="AB121" s="65"/>
      <c r="AE121" s="66"/>
    </row>
    <row r="122" spans="1:50" ht="21" x14ac:dyDescent="0.3">
      <c r="A122" s="10"/>
      <c r="B122" s="8"/>
      <c r="C122" s="156" t="s">
        <v>185</v>
      </c>
      <c r="D122" s="156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8"/>
      <c r="P122" s="292"/>
      <c r="Q122" s="292"/>
      <c r="R122" s="292"/>
      <c r="S122" s="292"/>
      <c r="T122" s="292"/>
      <c r="U122" s="292"/>
      <c r="V122" s="292"/>
      <c r="W122" s="10"/>
      <c r="AB122" s="65"/>
      <c r="AE122" s="66"/>
    </row>
    <row r="123" spans="1:50" x14ac:dyDescent="0.3">
      <c r="A123" s="10"/>
      <c r="B123" s="8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8"/>
      <c r="P123" s="20"/>
      <c r="Q123" s="20"/>
      <c r="R123" s="20"/>
      <c r="S123" s="20"/>
      <c r="T123" s="20"/>
      <c r="U123" s="20"/>
      <c r="V123" s="20"/>
      <c r="W123" s="10"/>
      <c r="AB123" s="65"/>
      <c r="AE123" s="66"/>
    </row>
    <row r="124" spans="1:50" x14ac:dyDescent="0.3">
      <c r="A124" s="10"/>
      <c r="B124" s="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2"/>
      <c r="W124" s="10"/>
    </row>
    <row r="125" spans="1:50" x14ac:dyDescent="0.3">
      <c r="A125" s="10"/>
      <c r="B125" s="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2"/>
      <c r="W125" s="10"/>
    </row>
    <row r="126" spans="1:50" ht="14.4" customHeight="1" x14ac:dyDescent="0.3">
      <c r="A126" s="10"/>
      <c r="B126" s="2"/>
      <c r="C126" s="104"/>
      <c r="D126" s="104"/>
      <c r="E126" s="104"/>
      <c r="F126" s="104"/>
      <c r="G126" s="14"/>
      <c r="H126" s="14"/>
      <c r="I126" s="14"/>
      <c r="J126" s="14"/>
      <c r="K126" s="290" t="s">
        <v>61</v>
      </c>
      <c r="L126" s="290"/>
      <c r="M126" s="14"/>
      <c r="N126" s="207" t="s">
        <v>146</v>
      </c>
      <c r="O126" s="290" t="s">
        <v>217</v>
      </c>
      <c r="P126" s="290"/>
      <c r="Q126" s="290"/>
      <c r="R126" s="290" t="s">
        <v>37</v>
      </c>
      <c r="S126" s="290"/>
      <c r="T126" s="2"/>
      <c r="U126" s="2"/>
      <c r="V126" s="2"/>
      <c r="W126" s="10"/>
    </row>
    <row r="127" spans="1:50" x14ac:dyDescent="0.3">
      <c r="A127" s="10"/>
      <c r="B127" s="2"/>
      <c r="C127" s="104"/>
      <c r="D127" s="104"/>
      <c r="E127" s="104"/>
      <c r="F127" s="2"/>
      <c r="G127" s="2"/>
      <c r="H127" s="2"/>
      <c r="I127" s="2"/>
      <c r="J127" s="2"/>
      <c r="K127" s="208">
        <f>IF(F115="TAURON",Tauron!N69,Enea!N69)</f>
        <v>1.1224598631578944</v>
      </c>
      <c r="L127" s="173" t="s">
        <v>32</v>
      </c>
      <c r="M127" s="1"/>
      <c r="N127" s="211" t="s">
        <v>57</v>
      </c>
      <c r="O127" s="213"/>
      <c r="P127" s="201">
        <f>EE!M13+EE!N13</f>
        <v>4750</v>
      </c>
      <c r="Q127" s="88" t="s">
        <v>73</v>
      </c>
      <c r="R127" s="202">
        <f>Enea!M69</f>
        <v>5161.94715</v>
      </c>
      <c r="S127" s="200" t="s">
        <v>39</v>
      </c>
      <c r="T127" s="2"/>
      <c r="U127" s="2"/>
      <c r="V127" s="2"/>
      <c r="W127" s="10"/>
    </row>
    <row r="128" spans="1:50" x14ac:dyDescent="0.3">
      <c r="A128" s="10"/>
      <c r="B128" s="2"/>
      <c r="C128" s="104"/>
      <c r="D128" s="104"/>
      <c r="E128" s="104"/>
      <c r="F128" s="297" t="s">
        <v>220</v>
      </c>
      <c r="G128" s="297"/>
      <c r="H128" s="297"/>
      <c r="I128" s="201">
        <f>EE!D7</f>
        <v>4750</v>
      </c>
      <c r="J128" s="88" t="s">
        <v>191</v>
      </c>
      <c r="K128" s="208">
        <f>IF(F115="TAURON",Tauron!N70,Enea!N70)</f>
        <v>1.0284668105263157</v>
      </c>
      <c r="L128" s="173" t="s">
        <v>32</v>
      </c>
      <c r="M128" s="1"/>
      <c r="N128" s="211" t="s">
        <v>58</v>
      </c>
      <c r="O128" s="201">
        <f>EE!M17+EE!N17</f>
        <v>2375</v>
      </c>
      <c r="P128" s="201">
        <f>EE!M20+EE!N20</f>
        <v>2375</v>
      </c>
      <c r="Q128" s="88" t="s">
        <v>73</v>
      </c>
      <c r="R128" s="202">
        <f>Enea!M70</f>
        <v>4656.1588499999998</v>
      </c>
      <c r="S128" s="200" t="s">
        <v>39</v>
      </c>
      <c r="T128" s="2"/>
      <c r="U128" s="2"/>
      <c r="V128" s="2"/>
      <c r="W128" s="10"/>
    </row>
    <row r="129" spans="1:31" x14ac:dyDescent="0.3">
      <c r="A129" s="10"/>
      <c r="B129" s="2"/>
      <c r="C129" s="104"/>
      <c r="D129" s="104"/>
      <c r="E129" s="104"/>
      <c r="F129" s="104"/>
      <c r="G129" s="1"/>
      <c r="H129" s="1"/>
      <c r="I129" s="1"/>
      <c r="J129" s="70"/>
      <c r="K129" s="208">
        <f>IF(F115="TAURON",Tauron!N71,Enea!N71)</f>
        <v>1.0029253368421052</v>
      </c>
      <c r="L129" s="173" t="s">
        <v>32</v>
      </c>
      <c r="M129" s="1"/>
      <c r="N129" s="211" t="s">
        <v>59</v>
      </c>
      <c r="O129" s="201">
        <f>EE!M24+EE!N24</f>
        <v>1900</v>
      </c>
      <c r="P129" s="201">
        <f>EE!M27+EE!N27</f>
        <v>2850</v>
      </c>
      <c r="Q129" s="88" t="s">
        <v>73</v>
      </c>
      <c r="R129" s="202">
        <f>Enea!M71</f>
        <v>4676.0172000000002</v>
      </c>
      <c r="S129" s="200" t="s">
        <v>39</v>
      </c>
      <c r="T129" s="2"/>
      <c r="U129" s="2"/>
      <c r="V129" s="2"/>
      <c r="W129" s="10"/>
    </row>
    <row r="130" spans="1:31" x14ac:dyDescent="0.3">
      <c r="A130" s="10"/>
      <c r="B130" s="2"/>
      <c r="C130" s="105"/>
      <c r="D130" s="105"/>
      <c r="E130" s="105"/>
      <c r="F130" s="105"/>
      <c r="G130" s="3"/>
      <c r="H130" s="3"/>
      <c r="I130" s="3"/>
      <c r="J130" s="3"/>
      <c r="K130" s="212"/>
      <c r="L130" s="212"/>
      <c r="M130" s="3"/>
      <c r="N130" s="212"/>
      <c r="O130" s="3"/>
      <c r="P130" s="3"/>
      <c r="Q130" s="3"/>
      <c r="R130" s="3"/>
      <c r="S130" s="3"/>
      <c r="T130" s="3"/>
      <c r="U130" s="3"/>
      <c r="V130" s="2"/>
      <c r="W130" s="10"/>
    </row>
    <row r="131" spans="1:31" x14ac:dyDescent="0.3">
      <c r="A131" s="10"/>
      <c r="B131" s="2"/>
      <c r="C131" s="104"/>
      <c r="D131" s="104"/>
      <c r="E131" s="104"/>
      <c r="F131" s="104"/>
      <c r="G131" s="1"/>
      <c r="H131" s="1"/>
      <c r="I131" s="1"/>
      <c r="J131" s="1"/>
      <c r="K131" s="166"/>
      <c r="L131" s="166"/>
      <c r="M131" s="1"/>
      <c r="N131" s="166"/>
      <c r="O131" s="2"/>
      <c r="P131" s="1"/>
      <c r="Q131" s="1"/>
      <c r="R131" s="1"/>
      <c r="S131" s="1"/>
      <c r="T131" s="1"/>
      <c r="U131" s="1"/>
      <c r="V131" s="2"/>
      <c r="W131" s="10"/>
    </row>
    <row r="132" spans="1:31" ht="14.4" customHeight="1" x14ac:dyDescent="0.3">
      <c r="A132" s="10"/>
      <c r="B132" s="2"/>
      <c r="C132" s="104"/>
      <c r="D132" s="104"/>
      <c r="E132" s="104"/>
      <c r="F132" s="104"/>
      <c r="G132" s="1"/>
      <c r="H132" s="1"/>
      <c r="I132" s="1"/>
      <c r="J132" s="1"/>
      <c r="K132" s="166"/>
      <c r="L132" s="166"/>
      <c r="M132" s="1"/>
      <c r="N132" s="165"/>
      <c r="O132" s="2"/>
      <c r="P132" s="158"/>
      <c r="Q132" s="2"/>
      <c r="R132" s="157"/>
      <c r="S132" s="157"/>
      <c r="T132" s="157"/>
      <c r="U132" s="157"/>
      <c r="V132" s="2"/>
      <c r="W132" s="10"/>
    </row>
    <row r="133" spans="1:31" ht="14.4" customHeight="1" x14ac:dyDescent="0.3">
      <c r="A133" s="10"/>
      <c r="B133" s="2"/>
      <c r="C133" s="214" t="s">
        <v>190</v>
      </c>
      <c r="D133" s="131"/>
      <c r="E133" s="96"/>
      <c r="F133" s="2"/>
      <c r="H133" s="104"/>
      <c r="I133" s="104"/>
      <c r="J133" s="104"/>
      <c r="K133" s="208">
        <f>IF($F$115="TAURON",Tauron!K74,Enea!K74)</f>
        <v>0.87709049999999988</v>
      </c>
      <c r="L133" s="173" t="s">
        <v>32</v>
      </c>
      <c r="M133" s="1"/>
      <c r="N133" s="211" t="s">
        <v>57</v>
      </c>
      <c r="O133" s="289" t="s">
        <v>192</v>
      </c>
      <c r="P133" s="289"/>
      <c r="Q133" s="289"/>
      <c r="R133" s="289"/>
      <c r="S133" s="289"/>
      <c r="T133" s="228"/>
      <c r="U133" s="218"/>
      <c r="V133" s="2"/>
      <c r="W133" s="10"/>
    </row>
    <row r="134" spans="1:31" x14ac:dyDescent="0.3">
      <c r="A134" s="10"/>
      <c r="B134" s="2"/>
      <c r="C134" s="211"/>
      <c r="D134" s="96"/>
      <c r="E134" s="96"/>
      <c r="F134" s="104"/>
      <c r="G134" s="104"/>
      <c r="H134" s="104"/>
      <c r="I134" s="104"/>
      <c r="J134" s="104"/>
      <c r="K134" s="208">
        <f>IF($F$115="TAURON",Tauron!K75,Enea!K75)</f>
        <v>0.77892450000000002</v>
      </c>
      <c r="L134" s="173" t="s">
        <v>32</v>
      </c>
      <c r="M134" s="1"/>
      <c r="N134" s="211" t="s">
        <v>58</v>
      </c>
      <c r="O134" s="289"/>
      <c r="P134" s="289"/>
      <c r="Q134" s="289"/>
      <c r="R134" s="289"/>
      <c r="S134" s="289"/>
      <c r="T134" s="228"/>
      <c r="U134" s="218"/>
      <c r="V134" s="2"/>
      <c r="W134" s="10"/>
    </row>
    <row r="135" spans="1:31" x14ac:dyDescent="0.3">
      <c r="A135" s="10"/>
      <c r="B135" s="2"/>
      <c r="C135" s="211"/>
      <c r="D135" s="96"/>
      <c r="E135" s="96"/>
      <c r="F135" s="104"/>
      <c r="G135" s="104"/>
      <c r="H135" s="104"/>
      <c r="I135" s="104"/>
      <c r="J135" s="104"/>
      <c r="K135" s="208">
        <f>IF($F$115="TAURON",Tauron!K76,Enea!K76)</f>
        <v>0.75225350000000002</v>
      </c>
      <c r="L135" s="173" t="s">
        <v>32</v>
      </c>
      <c r="M135" s="1"/>
      <c r="N135" s="211" t="s">
        <v>59</v>
      </c>
      <c r="O135" s="289"/>
      <c r="P135" s="289"/>
      <c r="Q135" s="289"/>
      <c r="R135" s="289"/>
      <c r="S135" s="289"/>
      <c r="T135" s="228"/>
      <c r="U135" s="218"/>
      <c r="V135" s="2"/>
      <c r="W135" s="10"/>
    </row>
    <row r="136" spans="1:31" x14ac:dyDescent="0.3">
      <c r="A136" s="10"/>
      <c r="B136" s="2"/>
      <c r="C136" s="211"/>
      <c r="D136" s="96"/>
      <c r="E136" s="96"/>
      <c r="F136" s="104"/>
      <c r="G136" s="131"/>
      <c r="H136" s="1"/>
      <c r="I136" s="131"/>
      <c r="J136" s="1"/>
      <c r="K136" s="165"/>
      <c r="L136" s="165"/>
      <c r="M136" s="1"/>
      <c r="N136" s="165"/>
      <c r="O136" s="2"/>
      <c r="P136" s="2"/>
      <c r="Q136" s="2"/>
      <c r="R136" s="2"/>
      <c r="S136" s="2"/>
      <c r="T136" s="2"/>
      <c r="U136" s="1"/>
      <c r="V136" s="2"/>
      <c r="W136" s="10"/>
    </row>
    <row r="137" spans="1:31" ht="14.4" customHeight="1" x14ac:dyDescent="0.3">
      <c r="A137" s="10"/>
      <c r="B137" s="2"/>
      <c r="C137" s="214" t="s">
        <v>189</v>
      </c>
      <c r="D137" s="131"/>
      <c r="E137" s="96"/>
      <c r="F137" s="104"/>
      <c r="H137" s="131"/>
      <c r="I137" s="131"/>
      <c r="J137" s="131"/>
      <c r="K137" s="208">
        <f>IF($F$115="TAURON",Tauron!N74,Enea!N74)</f>
        <v>1.3009103090909089</v>
      </c>
      <c r="L137" s="173" t="s">
        <v>32</v>
      </c>
      <c r="M137" s="1"/>
      <c r="N137" s="211" t="s">
        <v>57</v>
      </c>
      <c r="O137" s="2"/>
      <c r="P137" s="2"/>
      <c r="Q137" s="2"/>
      <c r="R137" s="2"/>
      <c r="S137" s="2"/>
      <c r="U137" s="1"/>
      <c r="V137" s="2"/>
      <c r="W137" s="10"/>
    </row>
    <row r="138" spans="1:31" x14ac:dyDescent="0.3">
      <c r="A138" s="10"/>
      <c r="B138" s="2"/>
      <c r="C138" s="96"/>
      <c r="D138" s="96"/>
      <c r="E138" s="96"/>
      <c r="F138" s="104"/>
      <c r="G138" s="131"/>
      <c r="H138" s="131"/>
      <c r="I138" s="131"/>
      <c r="J138" s="131"/>
      <c r="K138" s="208">
        <f>IF($F$115="TAURON",Tauron!N75,Enea!N75)</f>
        <v>1.2099521272727269</v>
      </c>
      <c r="L138" s="173" t="s">
        <v>32</v>
      </c>
      <c r="M138" s="1"/>
      <c r="N138" s="211" t="s">
        <v>58</v>
      </c>
      <c r="O138" s="2"/>
      <c r="P138" s="2"/>
      <c r="Q138" s="2"/>
      <c r="R138" s="2"/>
      <c r="S138" s="2"/>
      <c r="T138" s="2"/>
      <c r="U138" s="1"/>
      <c r="V138" s="2"/>
      <c r="W138" s="10"/>
    </row>
    <row r="139" spans="1:31" x14ac:dyDescent="0.3">
      <c r="A139" s="10"/>
      <c r="B139" s="2"/>
      <c r="C139" s="96"/>
      <c r="D139" s="96"/>
      <c r="E139" s="96"/>
      <c r="F139" s="104"/>
      <c r="G139" s="104"/>
      <c r="H139" s="104"/>
      <c r="I139" s="104"/>
      <c r="J139" s="104"/>
      <c r="K139" s="208">
        <f>IF($F$115="TAURON",Tauron!N76,Enea!N76)</f>
        <v>1.1852321272727271</v>
      </c>
      <c r="L139" s="173" t="s">
        <v>32</v>
      </c>
      <c r="M139" s="1"/>
      <c r="N139" s="211" t="s">
        <v>59</v>
      </c>
      <c r="O139" s="2"/>
      <c r="P139" s="2"/>
      <c r="Q139" s="2"/>
      <c r="R139" s="2"/>
      <c r="S139" s="2"/>
      <c r="T139" s="1"/>
      <c r="U139" s="1"/>
      <c r="V139" s="2"/>
      <c r="W139" s="10"/>
    </row>
    <row r="140" spans="1:31" x14ac:dyDescent="0.3">
      <c r="A140" s="10"/>
      <c r="B140" s="2"/>
      <c r="C140" s="96"/>
      <c r="D140" s="96"/>
      <c r="E140" s="96"/>
      <c r="F140" s="104"/>
      <c r="G140" s="104"/>
      <c r="H140" s="104"/>
      <c r="I140" s="104"/>
      <c r="J140" s="104"/>
      <c r="K140" s="208"/>
      <c r="L140" s="173"/>
      <c r="M140" s="1"/>
      <c r="N140" s="211"/>
      <c r="O140" s="2"/>
      <c r="P140" s="2"/>
      <c r="Q140" s="2"/>
      <c r="R140" s="2"/>
      <c r="S140" s="2"/>
      <c r="T140" s="1"/>
      <c r="U140" s="1"/>
      <c r="V140" s="2"/>
      <c r="W140" s="10"/>
    </row>
    <row r="141" spans="1:31" x14ac:dyDescent="0.3">
      <c r="A141" s="10"/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2"/>
      <c r="W141" s="10"/>
      <c r="X141" s="69"/>
    </row>
    <row r="142" spans="1:31" x14ac:dyDescent="0.3">
      <c r="A142" s="10"/>
      <c r="B142" s="8"/>
      <c r="C142" s="313"/>
      <c r="D142" s="313"/>
      <c r="E142" s="313"/>
      <c r="F142" s="313"/>
      <c r="G142" s="313"/>
      <c r="H142" s="313"/>
      <c r="I142" s="313"/>
      <c r="J142" s="313"/>
      <c r="K142" s="313"/>
      <c r="L142" s="313"/>
      <c r="M142" s="313"/>
      <c r="N142" s="313"/>
      <c r="O142" s="8"/>
      <c r="P142" s="292"/>
      <c r="Q142" s="292"/>
      <c r="R142" s="292"/>
      <c r="S142" s="292"/>
      <c r="T142" s="292"/>
      <c r="U142" s="292"/>
      <c r="V142" s="292"/>
      <c r="W142" s="10"/>
      <c r="AB142" s="65"/>
      <c r="AE142" s="66"/>
    </row>
    <row r="143" spans="1:31" x14ac:dyDescent="0.3">
      <c r="A143" s="10"/>
      <c r="B143" s="8"/>
      <c r="C143" s="313"/>
      <c r="D143" s="313"/>
      <c r="E143" s="313"/>
      <c r="F143" s="313"/>
      <c r="G143" s="313"/>
      <c r="H143" s="313"/>
      <c r="I143" s="313"/>
      <c r="J143" s="313"/>
      <c r="K143" s="313"/>
      <c r="L143" s="313"/>
      <c r="M143" s="313"/>
      <c r="N143" s="313"/>
      <c r="O143" s="8"/>
      <c r="P143" s="292"/>
      <c r="Q143" s="292"/>
      <c r="R143" s="292"/>
      <c r="S143" s="292"/>
      <c r="T143" s="292"/>
      <c r="U143" s="292"/>
      <c r="V143" s="292"/>
      <c r="W143" s="10"/>
      <c r="AB143" s="65"/>
      <c r="AE143" s="66"/>
    </row>
    <row r="144" spans="1:31" x14ac:dyDescent="0.3">
      <c r="A144" s="10"/>
      <c r="B144" s="126"/>
      <c r="C144" s="74"/>
      <c r="D144" s="74"/>
      <c r="E144" s="74"/>
      <c r="F144" s="74"/>
      <c r="G144" s="74"/>
      <c r="H144" s="70"/>
      <c r="I144" s="91"/>
      <c r="J144" s="91"/>
      <c r="K144" s="70"/>
      <c r="L144" s="90"/>
      <c r="M144" s="90"/>
      <c r="N144" s="75"/>
      <c r="O144" s="89"/>
      <c r="P144" s="126"/>
      <c r="Q144" s="126"/>
      <c r="R144" s="126"/>
      <c r="S144" s="126"/>
      <c r="T144" s="126"/>
      <c r="U144" s="126"/>
      <c r="V144" s="126"/>
      <c r="W144" s="10"/>
      <c r="AB144" s="65"/>
      <c r="AE144" s="66"/>
    </row>
    <row r="145" spans="1:31" x14ac:dyDescent="0.3">
      <c r="A145" s="10"/>
      <c r="B145" s="126"/>
      <c r="C145" s="74"/>
      <c r="D145" s="74"/>
      <c r="E145" s="74"/>
      <c r="F145" s="74"/>
      <c r="G145" s="74"/>
      <c r="H145" s="70"/>
      <c r="I145" s="91"/>
      <c r="J145" s="91"/>
      <c r="K145" s="70"/>
      <c r="L145" s="90"/>
      <c r="M145" s="90"/>
      <c r="N145" s="75"/>
      <c r="O145" s="89"/>
      <c r="P145" s="126"/>
      <c r="Q145" s="126"/>
      <c r="R145" s="126"/>
      <c r="S145" s="126"/>
      <c r="T145" s="126"/>
      <c r="U145" s="126"/>
      <c r="V145" s="126"/>
      <c r="W145" s="10"/>
      <c r="AB145" s="65"/>
      <c r="AE145" s="66"/>
    </row>
    <row r="146" spans="1:31" x14ac:dyDescent="0.3">
      <c r="A146" s="10"/>
      <c r="B146" s="126"/>
      <c r="C146" s="75" t="s">
        <v>64</v>
      </c>
      <c r="D146" s="75"/>
      <c r="E146" s="74"/>
      <c r="F146" s="74"/>
      <c r="G146" s="74"/>
      <c r="H146" s="7"/>
      <c r="I146" s="7"/>
      <c r="J146" s="91"/>
      <c r="K146" s="7"/>
      <c r="L146" s="7"/>
      <c r="M146" s="294">
        <f>ROUND(I16*I19/2000,2)</f>
        <v>5.16</v>
      </c>
      <c r="N146" s="294"/>
      <c r="O146" s="79" t="s">
        <v>65</v>
      </c>
      <c r="P146" s="126"/>
      <c r="Q146" s="126"/>
      <c r="R146" s="126"/>
      <c r="S146" s="126"/>
      <c r="T146" s="126"/>
      <c r="U146" s="126"/>
      <c r="V146" s="126"/>
      <c r="W146" s="10"/>
      <c r="AB146" s="65"/>
      <c r="AE146" s="66"/>
    </row>
    <row r="147" spans="1:31" x14ac:dyDescent="0.3">
      <c r="A147" s="10"/>
      <c r="B147" s="126"/>
      <c r="C147" s="75"/>
      <c r="D147" s="75"/>
      <c r="E147" s="74"/>
      <c r="F147" s="74"/>
      <c r="G147" s="74"/>
      <c r="H147" s="7"/>
      <c r="I147" s="7"/>
      <c r="J147" s="91"/>
      <c r="K147" s="107"/>
      <c r="L147" s="79"/>
      <c r="M147" s="118"/>
      <c r="N147" s="119"/>
      <c r="O147" s="7"/>
      <c r="P147" s="126"/>
      <c r="Q147" s="126"/>
      <c r="R147" s="126"/>
      <c r="S147" s="126"/>
      <c r="T147" s="126"/>
      <c r="U147" s="126"/>
      <c r="V147" s="126"/>
      <c r="W147" s="10"/>
      <c r="AB147" s="65"/>
      <c r="AE147" s="66"/>
    </row>
    <row r="148" spans="1:31" x14ac:dyDescent="0.3">
      <c r="A148" s="10"/>
      <c r="B148" s="126"/>
      <c r="C148" s="115"/>
      <c r="D148" s="115"/>
      <c r="E148" s="111"/>
      <c r="F148" s="111"/>
      <c r="G148" s="111"/>
      <c r="H148" s="115"/>
      <c r="I148" s="115"/>
      <c r="J148" s="113"/>
      <c r="K148" s="112"/>
      <c r="L148" s="114"/>
      <c r="M148" s="120"/>
      <c r="N148" s="121"/>
      <c r="O148" s="116"/>
      <c r="P148" s="126"/>
      <c r="Q148" s="286">
        <f>M149+M152</f>
        <v>13665.197625000001</v>
      </c>
      <c r="R148" s="287"/>
      <c r="S148" s="126"/>
      <c r="T148" s="126"/>
      <c r="U148" s="126"/>
      <c r="V148" s="126"/>
      <c r="W148" s="10"/>
      <c r="AB148" s="65"/>
      <c r="AE148" s="66"/>
    </row>
    <row r="149" spans="1:31" x14ac:dyDescent="0.3">
      <c r="A149" s="10"/>
      <c r="B149" s="126"/>
      <c r="C149" s="86" t="s">
        <v>148</v>
      </c>
      <c r="D149" s="86"/>
      <c r="E149" s="74"/>
      <c r="F149" s="74"/>
      <c r="G149" s="74"/>
      <c r="H149" s="5"/>
      <c r="I149" s="5"/>
      <c r="J149" s="91"/>
      <c r="K149" s="7"/>
      <c r="L149" s="7"/>
      <c r="M149" s="295">
        <f>I16*I19</f>
        <v>10320</v>
      </c>
      <c r="N149" s="295"/>
      <c r="O149" s="79" t="s">
        <v>69</v>
      </c>
      <c r="P149" s="126"/>
      <c r="Q149" s="286"/>
      <c r="R149" s="287"/>
      <c r="S149" s="126"/>
      <c r="T149" s="126"/>
      <c r="U149" s="126"/>
      <c r="V149" s="126"/>
      <c r="W149" s="10"/>
      <c r="AB149" s="65"/>
      <c r="AE149" s="66"/>
    </row>
    <row r="150" spans="1:31" x14ac:dyDescent="0.3">
      <c r="A150" s="10"/>
      <c r="B150" s="126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118"/>
      <c r="N150" s="122"/>
      <c r="O150" s="117"/>
      <c r="P150" s="126"/>
      <c r="Q150" s="286"/>
      <c r="R150" s="287"/>
      <c r="S150" s="126"/>
      <c r="T150" s="126"/>
      <c r="U150" s="126"/>
      <c r="V150" s="126"/>
      <c r="W150" s="10"/>
      <c r="AB150" s="65"/>
      <c r="AE150" s="66"/>
    </row>
    <row r="151" spans="1:31" x14ac:dyDescent="0.3">
      <c r="A151" s="10"/>
      <c r="B151" s="126"/>
      <c r="C151" s="111"/>
      <c r="D151" s="111"/>
      <c r="E151" s="111"/>
      <c r="F151" s="111"/>
      <c r="G151" s="111"/>
      <c r="H151" s="112"/>
      <c r="I151" s="113"/>
      <c r="J151" s="113"/>
      <c r="K151" s="112"/>
      <c r="L151" s="114"/>
      <c r="M151" s="120"/>
      <c r="N151" s="121"/>
      <c r="O151" s="89"/>
      <c r="P151" s="126"/>
      <c r="Q151" s="286"/>
      <c r="R151" s="287"/>
      <c r="S151" s="126"/>
      <c r="T151" s="126"/>
      <c r="U151" s="126"/>
      <c r="V151" s="126"/>
      <c r="W151" s="10"/>
      <c r="AB151" s="65"/>
      <c r="AE151" s="66"/>
    </row>
    <row r="152" spans="1:31" x14ac:dyDescent="0.3">
      <c r="A152" s="10"/>
      <c r="B152" s="126"/>
      <c r="C152" s="86" t="s">
        <v>149</v>
      </c>
      <c r="D152" s="86"/>
      <c r="E152" s="74"/>
      <c r="F152" s="74"/>
      <c r="G152" s="74"/>
      <c r="H152" s="70"/>
      <c r="I152" s="91"/>
      <c r="J152" s="91"/>
      <c r="K152" s="7"/>
      <c r="L152" s="7"/>
      <c r="M152" s="296">
        <f>I22*I25*365*(I28-10)*0.0011638</f>
        <v>3345.1976249999998</v>
      </c>
      <c r="N152" s="296"/>
      <c r="O152" s="88" t="s">
        <v>69</v>
      </c>
      <c r="P152" s="126"/>
      <c r="Q152" s="286"/>
      <c r="R152" s="287"/>
      <c r="S152" s="126"/>
      <c r="T152" s="126"/>
      <c r="U152" s="126"/>
      <c r="V152" s="126"/>
      <c r="W152" s="10"/>
      <c r="AB152" s="65"/>
      <c r="AE152" s="66"/>
    </row>
    <row r="153" spans="1:31" x14ac:dyDescent="0.3">
      <c r="A153" s="10"/>
      <c r="B153" s="126"/>
      <c r="C153" s="108"/>
      <c r="D153" s="108"/>
      <c r="E153" s="108"/>
      <c r="F153" s="108"/>
      <c r="G153" s="108"/>
      <c r="H153" s="98"/>
      <c r="I153" s="109"/>
      <c r="J153" s="109"/>
      <c r="K153" s="98"/>
      <c r="L153" s="110"/>
      <c r="M153" s="110"/>
      <c r="N153" s="99"/>
      <c r="O153" s="99"/>
      <c r="P153" s="126"/>
      <c r="Q153" s="286"/>
      <c r="R153" s="287"/>
      <c r="S153" s="126"/>
      <c r="T153" s="126"/>
      <c r="U153" s="126"/>
      <c r="V153" s="126"/>
      <c r="W153" s="10"/>
      <c r="AB153" s="65"/>
      <c r="AE153" s="66"/>
    </row>
    <row r="154" spans="1:31" x14ac:dyDescent="0.3">
      <c r="A154" s="10"/>
      <c r="B154" s="126"/>
      <c r="C154" s="74"/>
      <c r="D154" s="74"/>
      <c r="E154" s="74"/>
      <c r="F154" s="74"/>
      <c r="G154" s="74"/>
      <c r="H154" s="70"/>
      <c r="I154" s="91"/>
      <c r="J154" s="91"/>
      <c r="K154" s="70"/>
      <c r="L154" s="90"/>
      <c r="M154" s="90"/>
      <c r="N154" s="75"/>
      <c r="O154" s="75"/>
      <c r="P154" s="126"/>
      <c r="Q154" s="233"/>
      <c r="R154" s="234"/>
      <c r="S154" s="126"/>
      <c r="T154" s="126"/>
      <c r="U154" s="126"/>
      <c r="V154" s="126"/>
      <c r="W154" s="10"/>
      <c r="AB154" s="65"/>
      <c r="AE154" s="66"/>
    </row>
    <row r="155" spans="1:31" x14ac:dyDescent="0.3">
      <c r="A155" s="10"/>
      <c r="B155" s="126"/>
      <c r="C155" s="74"/>
      <c r="D155" s="74"/>
      <c r="E155" s="74"/>
      <c r="F155" s="74"/>
      <c r="G155" s="74"/>
      <c r="H155" s="70"/>
      <c r="I155" s="91"/>
      <c r="J155" s="91"/>
      <c r="K155" s="70"/>
      <c r="L155" s="90"/>
      <c r="M155" s="90"/>
      <c r="N155" s="75"/>
      <c r="O155" s="126"/>
      <c r="P155" s="126"/>
      <c r="Q155" s="233"/>
      <c r="R155" s="234"/>
      <c r="S155" s="126"/>
      <c r="T155" s="126"/>
      <c r="U155" s="126"/>
      <c r="V155" s="126"/>
      <c r="W155" s="10"/>
      <c r="AB155" s="65"/>
      <c r="AE155" s="66"/>
    </row>
    <row r="156" spans="1:31" x14ac:dyDescent="0.3">
      <c r="A156" s="10"/>
      <c r="B156" s="126"/>
      <c r="C156" s="74"/>
      <c r="D156" s="74"/>
      <c r="E156" s="74"/>
      <c r="F156" s="74"/>
      <c r="G156" s="74"/>
      <c r="H156" s="70"/>
      <c r="I156" s="91"/>
      <c r="J156" s="91"/>
      <c r="K156" s="70"/>
      <c r="L156" s="90"/>
      <c r="M156" s="90"/>
      <c r="N156" s="75"/>
      <c r="O156" s="75"/>
      <c r="P156" s="126"/>
      <c r="Q156" s="126"/>
      <c r="R156" s="126"/>
      <c r="S156" s="126"/>
      <c r="T156" s="126"/>
      <c r="U156" s="126"/>
      <c r="V156" s="126"/>
      <c r="W156" s="10"/>
      <c r="AB156" s="65"/>
      <c r="AE156" s="66"/>
    </row>
    <row r="157" spans="1:31" ht="14.4" customHeight="1" x14ac:dyDescent="0.3">
      <c r="A157" s="10"/>
      <c r="B157" s="8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8"/>
      <c r="P157" s="292"/>
      <c r="Q157" s="292"/>
      <c r="R157" s="292"/>
      <c r="S157" s="292"/>
      <c r="T157" s="292"/>
      <c r="U157" s="292"/>
      <c r="V157" s="292"/>
      <c r="W157" s="10"/>
      <c r="AB157" s="65"/>
      <c r="AE157" s="66"/>
    </row>
    <row r="158" spans="1:31" ht="21" customHeight="1" x14ac:dyDescent="0.3">
      <c r="A158" s="10"/>
      <c r="B158" s="8"/>
      <c r="C158" s="156" t="s">
        <v>232</v>
      </c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8"/>
      <c r="P158" s="292"/>
      <c r="Q158" s="292"/>
      <c r="R158" s="292"/>
      <c r="S158" s="292"/>
      <c r="T158" s="292"/>
      <c r="U158" s="292"/>
      <c r="V158" s="292"/>
      <c r="W158" s="10"/>
      <c r="AB158" s="65"/>
      <c r="AE158" s="66"/>
    </row>
    <row r="159" spans="1:31" ht="14.4" customHeight="1" x14ac:dyDescent="0.3">
      <c r="A159" s="10"/>
      <c r="B159" s="8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8"/>
      <c r="P159" s="292"/>
      <c r="Q159" s="292"/>
      <c r="R159" s="292"/>
      <c r="S159" s="292"/>
      <c r="T159" s="292"/>
      <c r="U159" s="292"/>
      <c r="V159" s="292"/>
      <c r="W159" s="10"/>
      <c r="AB159" s="65"/>
      <c r="AE159" s="66"/>
    </row>
    <row r="160" spans="1:31" x14ac:dyDescent="0.3">
      <c r="A160" s="10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0"/>
    </row>
    <row r="161" spans="1:23" x14ac:dyDescent="0.3">
      <c r="A161" s="10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0"/>
    </row>
    <row r="162" spans="1:23" x14ac:dyDescent="0.3">
      <c r="A162" s="10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0"/>
    </row>
    <row r="163" spans="1:23" x14ac:dyDescent="0.3">
      <c r="A163" s="10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0"/>
    </row>
    <row r="164" spans="1:23" x14ac:dyDescent="0.3">
      <c r="A164" s="10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0"/>
    </row>
    <row r="165" spans="1:23" x14ac:dyDescent="0.3">
      <c r="A165" s="10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0"/>
    </row>
    <row r="166" spans="1:23" x14ac:dyDescent="0.3">
      <c r="A166" s="10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0"/>
    </row>
    <row r="167" spans="1:23" x14ac:dyDescent="0.3">
      <c r="A167" s="10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0"/>
    </row>
    <row r="168" spans="1:23" x14ac:dyDescent="0.3">
      <c r="A168" s="10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0"/>
    </row>
    <row r="169" spans="1:23" x14ac:dyDescent="0.3">
      <c r="A169" s="10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0"/>
    </row>
    <row r="170" spans="1:23" x14ac:dyDescent="0.3">
      <c r="A170" s="10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0"/>
    </row>
    <row r="171" spans="1:23" x14ac:dyDescent="0.3">
      <c r="A171" s="10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0"/>
    </row>
    <row r="172" spans="1:23" x14ac:dyDescent="0.3">
      <c r="A172" s="10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0"/>
    </row>
    <row r="173" spans="1:23" x14ac:dyDescent="0.3">
      <c r="A173" s="10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0"/>
    </row>
    <row r="174" spans="1:23" x14ac:dyDescent="0.3">
      <c r="A174" s="10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0"/>
    </row>
    <row r="175" spans="1:23" x14ac:dyDescent="0.3">
      <c r="A175" s="10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0"/>
    </row>
    <row r="176" spans="1:23" x14ac:dyDescent="0.3">
      <c r="A176" s="10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0"/>
    </row>
    <row r="177" spans="1:31" x14ac:dyDescent="0.3">
      <c r="A177" s="10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0"/>
    </row>
    <row r="178" spans="1:31" x14ac:dyDescent="0.3">
      <c r="A178" s="10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0"/>
    </row>
    <row r="179" spans="1:31" x14ac:dyDescent="0.3">
      <c r="A179" s="10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0"/>
    </row>
    <row r="180" spans="1:31" x14ac:dyDescent="0.3">
      <c r="A180" s="10"/>
      <c r="B180" s="126"/>
      <c r="C180" s="126"/>
      <c r="D180" s="235" t="s">
        <v>211</v>
      </c>
      <c r="E180" s="236"/>
      <c r="F180" s="235" t="s">
        <v>213</v>
      </c>
      <c r="G180" s="236"/>
      <c r="H180" s="235" t="s">
        <v>4</v>
      </c>
      <c r="I180" s="236"/>
      <c r="J180" s="235" t="s">
        <v>6</v>
      </c>
      <c r="K180" s="237" t="s">
        <v>35</v>
      </c>
      <c r="L180" s="285" t="s">
        <v>43</v>
      </c>
      <c r="M180" s="285"/>
      <c r="N180" s="285"/>
      <c r="O180" s="285" t="s">
        <v>44</v>
      </c>
      <c r="P180" s="285"/>
      <c r="Q180" s="285"/>
      <c r="R180" s="285" t="s">
        <v>147</v>
      </c>
      <c r="S180" s="285"/>
      <c r="T180" s="285"/>
      <c r="U180" s="126"/>
      <c r="V180" s="126"/>
      <c r="W180" s="10"/>
    </row>
    <row r="181" spans="1:31" x14ac:dyDescent="0.3">
      <c r="A181" s="10"/>
      <c r="B181" s="126"/>
      <c r="C181" s="126"/>
      <c r="D181" s="347" t="str">
        <f>IF(K42=TRUE,"+ instalacja solarna","")</f>
        <v>+ instalacja solarna</v>
      </c>
      <c r="E181" s="236"/>
      <c r="F181" s="347" t="str">
        <f>IF(U42=TRUE,"+ instalacja solarna","")</f>
        <v>+ instalacja solarna</v>
      </c>
      <c r="G181" s="236"/>
      <c r="H181" s="347" t="str">
        <f>IF(K58=TRUE,"+ instalacja solarna","")</f>
        <v>+ instalacja solarna</v>
      </c>
      <c r="I181" s="285" t="s">
        <v>250</v>
      </c>
      <c r="J181" s="285"/>
      <c r="K181" s="285"/>
      <c r="L181" s="237" t="s">
        <v>57</v>
      </c>
      <c r="M181" s="237" t="s">
        <v>58</v>
      </c>
      <c r="N181" s="237" t="s">
        <v>59</v>
      </c>
      <c r="O181" s="237" t="s">
        <v>57</v>
      </c>
      <c r="P181" s="237" t="s">
        <v>58</v>
      </c>
      <c r="Q181" s="237" t="s">
        <v>59</v>
      </c>
      <c r="R181" s="237" t="s">
        <v>57</v>
      </c>
      <c r="S181" s="237" t="s">
        <v>58</v>
      </c>
      <c r="T181" s="237" t="s">
        <v>59</v>
      </c>
      <c r="U181" s="126"/>
      <c r="V181" s="126"/>
      <c r="W181" s="10"/>
    </row>
    <row r="182" spans="1:31" x14ac:dyDescent="0.3">
      <c r="A182" s="10"/>
      <c r="B182" s="126"/>
      <c r="C182" s="126"/>
      <c r="D182" s="347"/>
      <c r="E182" s="236"/>
      <c r="F182" s="347"/>
      <c r="G182" s="236"/>
      <c r="H182" s="347"/>
      <c r="I182" s="348" t="str">
        <f>IF(U58=TRUE,"+ instalacja","")</f>
        <v>+ instalacja</v>
      </c>
      <c r="J182" s="348"/>
      <c r="K182" s="236"/>
      <c r="L182" s="237"/>
      <c r="M182" s="237"/>
      <c r="N182" s="237"/>
      <c r="O182" s="237"/>
      <c r="P182" s="237"/>
      <c r="Q182" s="237"/>
      <c r="R182" s="237"/>
      <c r="S182" s="237"/>
      <c r="T182" s="237"/>
      <c r="U182" s="126"/>
      <c r="V182" s="126"/>
      <c r="W182" s="10"/>
    </row>
    <row r="183" spans="1:31" x14ac:dyDescent="0.3">
      <c r="A183" s="10"/>
      <c r="B183" s="126"/>
      <c r="C183" s="126"/>
      <c r="D183" s="236"/>
      <c r="E183" s="236"/>
      <c r="F183" s="236"/>
      <c r="G183" s="236"/>
      <c r="H183" s="236"/>
      <c r="I183" s="348" t="str">
        <f>IF(U58=TRUE,"solarna","")</f>
        <v>solarna</v>
      </c>
      <c r="J183" s="348"/>
      <c r="K183" s="236"/>
      <c r="L183" s="237"/>
      <c r="M183" s="237"/>
      <c r="N183" s="237"/>
      <c r="O183" s="237"/>
      <c r="P183" s="237"/>
      <c r="Q183" s="237"/>
      <c r="R183" s="237"/>
      <c r="S183" s="237"/>
      <c r="T183" s="237"/>
      <c r="U183" s="126"/>
      <c r="V183" s="126"/>
      <c r="W183" s="10"/>
    </row>
    <row r="184" spans="1:31" x14ac:dyDescent="0.3">
      <c r="A184" s="10"/>
      <c r="B184" s="126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7"/>
      <c r="O184" s="7"/>
      <c r="P184" s="126"/>
      <c r="Q184" s="126"/>
      <c r="R184" s="126"/>
      <c r="S184" s="126"/>
      <c r="T184" s="126"/>
      <c r="U184" s="126"/>
      <c r="V184" s="126"/>
      <c r="W184" s="10"/>
      <c r="AB184" s="65"/>
      <c r="AE184" s="66"/>
    </row>
    <row r="185" spans="1:31" ht="14.4" customHeight="1" x14ac:dyDescent="0.3">
      <c r="A185" s="10"/>
      <c r="B185" s="8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8"/>
      <c r="P185" s="292"/>
      <c r="Q185" s="292"/>
      <c r="R185" s="292"/>
      <c r="S185" s="292"/>
      <c r="T185" s="292"/>
      <c r="U185" s="292"/>
      <c r="V185" s="292"/>
      <c r="W185" s="10"/>
      <c r="AB185" s="65"/>
      <c r="AE185" s="66"/>
    </row>
    <row r="186" spans="1:31" ht="21" customHeight="1" x14ac:dyDescent="0.3">
      <c r="A186" s="10"/>
      <c r="B186" s="8"/>
      <c r="C186" s="156" t="s">
        <v>247</v>
      </c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8"/>
      <c r="P186" s="292"/>
      <c r="Q186" s="292"/>
      <c r="R186" s="292"/>
      <c r="S186" s="292"/>
      <c r="T186" s="292"/>
      <c r="U186" s="292"/>
      <c r="V186" s="292"/>
      <c r="W186" s="10"/>
      <c r="AB186" s="65"/>
      <c r="AE186" s="66"/>
    </row>
    <row r="187" spans="1:31" ht="14.4" customHeight="1" x14ac:dyDescent="0.3">
      <c r="A187" s="10"/>
      <c r="B187" s="8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8"/>
      <c r="P187" s="292"/>
      <c r="Q187" s="292"/>
      <c r="R187" s="292"/>
      <c r="S187" s="292"/>
      <c r="T187" s="292"/>
      <c r="U187" s="292"/>
      <c r="V187" s="292"/>
      <c r="W187" s="10"/>
      <c r="AB187" s="65"/>
      <c r="AE187" s="66"/>
    </row>
    <row r="188" spans="1:31" x14ac:dyDescent="0.3">
      <c r="A188" s="10"/>
      <c r="B188" s="126"/>
      <c r="C188" s="63"/>
      <c r="D188" s="63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0"/>
      <c r="AB188" s="65"/>
      <c r="AE188" s="66"/>
    </row>
    <row r="189" spans="1:31" x14ac:dyDescent="0.3">
      <c r="A189" s="10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0"/>
      <c r="AB189" s="65"/>
      <c r="AE189" s="66"/>
    </row>
    <row r="190" spans="1:31" x14ac:dyDescent="0.3">
      <c r="A190" s="10"/>
      <c r="B190" s="126"/>
      <c r="C190" s="231"/>
      <c r="D190" s="231"/>
      <c r="E190" s="231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0"/>
      <c r="AB190" s="65"/>
      <c r="AE190" s="66"/>
    </row>
    <row r="191" spans="1:31" x14ac:dyDescent="0.3">
      <c r="A191" s="10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3"/>
      <c r="S191" s="129"/>
      <c r="T191" s="129"/>
      <c r="U191" s="129"/>
      <c r="V191" s="126"/>
      <c r="W191" s="10"/>
      <c r="AB191" s="65"/>
      <c r="AE191" s="66"/>
    </row>
    <row r="192" spans="1:31" x14ac:dyDescent="0.3">
      <c r="A192" s="10"/>
      <c r="B192" s="126"/>
      <c r="C192" s="225"/>
      <c r="D192" s="225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30"/>
      <c r="S192" s="126"/>
      <c r="T192" s="126"/>
      <c r="U192" s="126"/>
      <c r="V192" s="126"/>
      <c r="W192" s="10"/>
      <c r="AB192" s="65"/>
      <c r="AE192" s="66"/>
    </row>
    <row r="193" spans="1:31" x14ac:dyDescent="0.3">
      <c r="A193" s="10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0"/>
      <c r="AB193" s="65"/>
      <c r="AE193" s="66"/>
    </row>
    <row r="194" spans="1:31" x14ac:dyDescent="0.3">
      <c r="A194" s="10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7"/>
      <c r="U194" s="128"/>
      <c r="V194" s="126"/>
      <c r="W194" s="10"/>
      <c r="AB194" s="65"/>
      <c r="AE194" s="66"/>
    </row>
    <row r="195" spans="1:31" x14ac:dyDescent="0.3">
      <c r="A195" s="10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7"/>
      <c r="T195" s="128"/>
      <c r="U195" s="128"/>
      <c r="V195" s="126"/>
      <c r="W195" s="10"/>
      <c r="AB195" s="65"/>
      <c r="AE195" s="66"/>
    </row>
    <row r="196" spans="1:31" x14ac:dyDescent="0.3">
      <c r="A196" s="10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7"/>
      <c r="T196" s="128"/>
      <c r="U196" s="128"/>
      <c r="V196" s="126"/>
      <c r="W196" s="10"/>
      <c r="AB196" s="65"/>
      <c r="AE196" s="66"/>
    </row>
    <row r="197" spans="1:31" x14ac:dyDescent="0.3">
      <c r="A197" s="10"/>
      <c r="B197" s="126"/>
      <c r="C197" s="2"/>
      <c r="D197" s="219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0"/>
      <c r="AB197" s="65"/>
      <c r="AE197" s="66"/>
    </row>
    <row r="198" spans="1:31" x14ac:dyDescent="0.3">
      <c r="A198" s="10"/>
      <c r="B198" s="126"/>
      <c r="C198" s="2"/>
      <c r="D198" s="220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0"/>
      <c r="AB198" s="65"/>
      <c r="AE198" s="66"/>
    </row>
    <row r="199" spans="1:31" x14ac:dyDescent="0.3">
      <c r="A199" s="10"/>
      <c r="B199" s="126"/>
      <c r="C199" s="2"/>
      <c r="D199" s="220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0"/>
      <c r="AB199" s="65"/>
      <c r="AE199" s="66"/>
    </row>
    <row r="200" spans="1:31" x14ac:dyDescent="0.3">
      <c r="A200" s="10"/>
      <c r="B200" s="126"/>
      <c r="C200" s="2"/>
      <c r="D200" s="220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0"/>
      <c r="AB200" s="65"/>
      <c r="AE200" s="66"/>
    </row>
    <row r="201" spans="1:31" x14ac:dyDescent="0.3">
      <c r="A201" s="10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0"/>
    </row>
    <row r="202" spans="1:31" x14ac:dyDescent="0.3">
      <c r="A202" s="10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0"/>
    </row>
    <row r="203" spans="1:31" x14ac:dyDescent="0.3">
      <c r="A203" s="10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0"/>
    </row>
    <row r="204" spans="1:31" x14ac:dyDescent="0.3">
      <c r="A204" s="10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0"/>
    </row>
    <row r="205" spans="1:31" x14ac:dyDescent="0.3">
      <c r="A205" s="10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0"/>
    </row>
    <row r="206" spans="1:31" x14ac:dyDescent="0.3">
      <c r="A206" s="10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0"/>
    </row>
    <row r="207" spans="1:31" x14ac:dyDescent="0.3">
      <c r="A207" s="10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0"/>
    </row>
    <row r="208" spans="1:31" x14ac:dyDescent="0.3">
      <c r="A208" s="10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0"/>
    </row>
    <row r="209" spans="1:23" x14ac:dyDescent="0.3">
      <c r="A209" s="10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0"/>
    </row>
    <row r="210" spans="1:23" x14ac:dyDescent="0.3">
      <c r="A210" s="10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0"/>
    </row>
    <row r="211" spans="1:23" x14ac:dyDescent="0.3">
      <c r="A211" s="10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0"/>
    </row>
    <row r="212" spans="1:23" x14ac:dyDescent="0.3">
      <c r="A212" s="10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0"/>
    </row>
    <row r="213" spans="1:23" x14ac:dyDescent="0.3">
      <c r="A213" s="10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0"/>
    </row>
    <row r="214" spans="1:23" x14ac:dyDescent="0.3">
      <c r="A214" s="10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0"/>
    </row>
    <row r="215" spans="1:23" x14ac:dyDescent="0.3">
      <c r="A215" s="10"/>
      <c r="B215" s="126"/>
      <c r="C215" s="230"/>
      <c r="D215" s="230"/>
      <c r="E215" s="2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0"/>
    </row>
    <row r="216" spans="1:23" x14ac:dyDescent="0.3">
      <c r="A216" s="10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0"/>
    </row>
    <row r="217" spans="1:23" x14ac:dyDescent="0.3">
      <c r="A217" s="10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0"/>
    </row>
    <row r="218" spans="1:23" x14ac:dyDescent="0.3">
      <c r="A218" s="10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0"/>
    </row>
    <row r="219" spans="1:23" x14ac:dyDescent="0.3">
      <c r="A219" s="10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0"/>
    </row>
    <row r="220" spans="1:23" x14ac:dyDescent="0.3">
      <c r="A220" s="10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124" t="s">
        <v>31</v>
      </c>
      <c r="U220" s="125" t="s">
        <v>219</v>
      </c>
      <c r="V220" s="2"/>
      <c r="W220" s="10"/>
    </row>
    <row r="221" spans="1:23" ht="4.8" customHeight="1" x14ac:dyDescent="0.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</row>
  </sheetData>
  <sheetProtection algorithmName="SHA-512" hashValue="MvicH8r9U1JOMmohtkN5BCf3lXuS24N797f1mGHChkSPya3KB3Ml1hrMDdBZqbTVH5fXtwGA2JOvQg6oj8qvOw==" saltValue="GPy3QQw9EE3Mvu5pskCAXw==" spinCount="100000" sheet="1" objects="1" scenarios="1"/>
  <protectedRanges>
    <protectedRange sqref="C10:K11" name="Tutyl"/>
    <protectedRange sqref="O44 E60 O58 O60 O63 E74 E76 E80 O74 O76 O80 E89 O89" name="dane_energia"/>
    <protectedRange sqref="I19:J19 I22:J22 I25:J25 I16:J16 I28:J28" name="Dane_budynku"/>
  </protectedRanges>
  <mergeCells count="99">
    <mergeCell ref="Q58:S58"/>
    <mergeCell ref="H181:H182"/>
    <mergeCell ref="F181:F182"/>
    <mergeCell ref="D181:D182"/>
    <mergeCell ref="I182:J182"/>
    <mergeCell ref="I183:J183"/>
    <mergeCell ref="C15:G17"/>
    <mergeCell ref="I16:J16"/>
    <mergeCell ref="K16:M16"/>
    <mergeCell ref="I17:J17"/>
    <mergeCell ref="M70:N71"/>
    <mergeCell ref="C70:F71"/>
    <mergeCell ref="C18:G20"/>
    <mergeCell ref="I19:J19"/>
    <mergeCell ref="K19:M19"/>
    <mergeCell ref="I20:J20"/>
    <mergeCell ref="I22:J22"/>
    <mergeCell ref="K22:M22"/>
    <mergeCell ref="G46:H46"/>
    <mergeCell ref="I46:J46"/>
    <mergeCell ref="M38:O39"/>
    <mergeCell ref="M44:N44"/>
    <mergeCell ref="P2:P3"/>
    <mergeCell ref="Q2:R3"/>
    <mergeCell ref="S2:T3"/>
    <mergeCell ref="C7:P8"/>
    <mergeCell ref="C10:K11"/>
    <mergeCell ref="C27:G29"/>
    <mergeCell ref="I28:J28"/>
    <mergeCell ref="K28:M28"/>
    <mergeCell ref="I29:J29"/>
    <mergeCell ref="C142:N143"/>
    <mergeCell ref="M114:T115"/>
    <mergeCell ref="Q46:R46"/>
    <mergeCell ref="C38:E39"/>
    <mergeCell ref="D107:E107"/>
    <mergeCell ref="F107:H107"/>
    <mergeCell ref="I107:J107"/>
    <mergeCell ref="C101:E102"/>
    <mergeCell ref="C85:G86"/>
    <mergeCell ref="G105:I105"/>
    <mergeCell ref="D91:E91"/>
    <mergeCell ref="G76:H76"/>
    <mergeCell ref="I23:J23"/>
    <mergeCell ref="C24:G26"/>
    <mergeCell ref="I25:J25"/>
    <mergeCell ref="K25:M25"/>
    <mergeCell ref="I26:J26"/>
    <mergeCell ref="M54:O55"/>
    <mergeCell ref="C60:D60"/>
    <mergeCell ref="C54:E55"/>
    <mergeCell ref="G62:H62"/>
    <mergeCell ref="I62:J62"/>
    <mergeCell ref="G58:I58"/>
    <mergeCell ref="M76:N76"/>
    <mergeCell ref="M89:N89"/>
    <mergeCell ref="I91:J91"/>
    <mergeCell ref="G89:I89"/>
    <mergeCell ref="C89:D89"/>
    <mergeCell ref="G78:H78"/>
    <mergeCell ref="I78:J78"/>
    <mergeCell ref="N91:O91"/>
    <mergeCell ref="F128:H128"/>
    <mergeCell ref="K126:L126"/>
    <mergeCell ref="F91:H91"/>
    <mergeCell ref="G44:I44"/>
    <mergeCell ref="M100:T102"/>
    <mergeCell ref="M107:T110"/>
    <mergeCell ref="Q57:S57"/>
    <mergeCell ref="Q60:R60"/>
    <mergeCell ref="Q62:R62"/>
    <mergeCell ref="S62:T62"/>
    <mergeCell ref="Q76:S76"/>
    <mergeCell ref="S46:T46"/>
    <mergeCell ref="P121:V122"/>
    <mergeCell ref="S78:T78"/>
    <mergeCell ref="S91:T91"/>
    <mergeCell ref="Q78:R78"/>
    <mergeCell ref="P185:V187"/>
    <mergeCell ref="P157:V159"/>
    <mergeCell ref="L180:N180"/>
    <mergeCell ref="O180:Q180"/>
    <mergeCell ref="R180:T180"/>
    <mergeCell ref="G42:I42"/>
    <mergeCell ref="Q42:S42"/>
    <mergeCell ref="I181:K181"/>
    <mergeCell ref="Q148:Q153"/>
    <mergeCell ref="R148:R153"/>
    <mergeCell ref="M85:Q86"/>
    <mergeCell ref="O133:S135"/>
    <mergeCell ref="O126:Q126"/>
    <mergeCell ref="R126:S126"/>
    <mergeCell ref="Q89:S89"/>
    <mergeCell ref="P142:V143"/>
    <mergeCell ref="P91:R91"/>
    <mergeCell ref="M99:O99"/>
    <mergeCell ref="M146:N146"/>
    <mergeCell ref="M149:N149"/>
    <mergeCell ref="M152:N152"/>
  </mergeCells>
  <dataValidations count="14">
    <dataValidation type="whole" allowBlank="1" showInputMessage="1" showErrorMessage="1" sqref="F47:F50 L47:L50 F63:F66 D113:D118 O106 F105 O80 O65:O66 O63 E98 E80:E81 O98 O111:O112 O117:O118 N93 N95 N97 O103 D109 D111 D97 D95 D93" xr:uid="{9E37E8EE-AEF1-46B6-ACEC-A058ED95CD2D}">
      <formula1>1</formula1>
      <formula2>100</formula2>
    </dataValidation>
    <dataValidation type="decimal" allowBlank="1" showInputMessage="1" showErrorMessage="1" sqref="E89 O89" xr:uid="{53272507-CE09-40E6-91F4-95A5BAB344E1}">
      <formula1>0.01</formula1>
      <formula2>8</formula2>
    </dataValidation>
    <dataValidation type="whole" allowBlank="1" showInputMessage="1" showErrorMessage="1" sqref="O74 O89" xr:uid="{35F60798-A4A2-467C-A66C-CF9705E83276}">
      <formula1>1</formula1>
      <formula2>35</formula2>
    </dataValidation>
    <dataValidation type="whole" allowBlank="1" showInputMessage="1" showErrorMessage="1" sqref="E76 S60" xr:uid="{E1F3C8A2-8B0A-4827-BB06-E019A6FC5A92}">
      <formula1>1</formula1>
      <formula2>2500</formula2>
    </dataValidation>
    <dataValidation type="decimal" allowBlank="1" showInputMessage="1" showErrorMessage="1" sqref="O44 E60:E61 I59" xr:uid="{D415C8F5-9FEF-4BED-B566-1457BB7E819A}">
      <formula1>0.1</formula1>
      <formula2>9.9</formula2>
    </dataValidation>
    <dataValidation type="decimal" allowBlank="1" showInputMessage="1" showErrorMessage="1" sqref="O42 E58:E59 O58 E105 E89" xr:uid="{B501B019-89EA-4AD0-A7B2-88DB893FB653}">
      <formula1>0.1</formula1>
      <formula2>35</formula2>
    </dataValidation>
    <dataValidation type="whole" allowBlank="1" showInputMessage="1" showErrorMessage="1" sqref="I19" xr:uid="{23C36491-8002-4EF6-A39E-50BCB967EC6B}">
      <formula1>5</formula1>
      <formula2>300</formula2>
    </dataValidation>
    <dataValidation type="whole" allowBlank="1" showInputMessage="1" showErrorMessage="1" sqref="I28" xr:uid="{C5A6E502-10F1-47A8-8463-2C0962AA08DF}">
      <formula1>35</formula1>
      <formula2>60</formula2>
    </dataValidation>
    <dataValidation type="whole" allowBlank="1" showInputMessage="1" showErrorMessage="1" sqref="I25" xr:uid="{FF316691-7686-44BF-B2EA-AC7C953A91C9}">
      <formula1>25</formula1>
      <formula2>100</formula2>
    </dataValidation>
    <dataValidation type="whole" allowBlank="1" showInputMessage="1" showErrorMessage="1" sqref="I16" xr:uid="{F069E7E2-0279-440A-AEDE-12C1CBC09EB1}">
      <formula1>35</formula1>
      <formula2>700</formula2>
    </dataValidation>
    <dataValidation type="decimal" allowBlank="1" showInputMessage="1" showErrorMessage="1" sqref="E74" xr:uid="{49C34860-D0C7-4021-873F-E7E65E23B004}">
      <formula1>1500</formula1>
      <formula2>2300</formula2>
    </dataValidation>
    <dataValidation type="whole" allowBlank="1" showInputMessage="1" showErrorMessage="1" sqref="O76" xr:uid="{680B7D28-61C4-48AE-9826-5C4BC7C7F9ED}">
      <formula1>1</formula1>
      <formula2>4000</formula2>
    </dataValidation>
    <dataValidation type="whole" allowBlank="1" showInputMessage="1" showErrorMessage="1" sqref="O60" xr:uid="{92989F58-F9C9-42C7-AA2B-AA0974DA1F87}">
      <formula1>1</formula1>
      <formula2>4500</formula2>
    </dataValidation>
    <dataValidation type="whole" allowBlank="1" showInputMessage="1" showErrorMessage="1" sqref="I22:J22" xr:uid="{2FAF902F-4101-4DD4-A453-ED205396EBAA}">
      <formula1>2</formula1>
      <formula2>50</formula2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4" name="Check Box 2">
              <controlPr defaultSize="0" autoFill="0" autoLine="0" autoPict="0">
                <anchor moveWithCells="1">
                  <from>
                    <xdr:col>19</xdr:col>
                    <xdr:colOff>190500</xdr:colOff>
                    <xdr:row>74</xdr:row>
                    <xdr:rowOff>7620</xdr:rowOff>
                  </from>
                  <to>
                    <xdr:col>19</xdr:col>
                    <xdr:colOff>487680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5" name="Check Box 5">
              <controlPr defaultSize="0" autoFill="0" autoLine="0" autoPict="0">
                <anchor moveWithCells="1">
                  <from>
                    <xdr:col>9</xdr:col>
                    <xdr:colOff>190500</xdr:colOff>
                    <xdr:row>103</xdr:row>
                    <xdr:rowOff>152400</xdr:rowOff>
                  </from>
                  <to>
                    <xdr:col>9</xdr:col>
                    <xdr:colOff>480060</xdr:colOff>
                    <xdr:row>105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6" name="Check Box 6">
              <controlPr defaultSize="0" autoFill="0" autoLine="0" autoPict="0">
                <anchor moveWithCells="1">
                  <from>
                    <xdr:col>19</xdr:col>
                    <xdr:colOff>190500</xdr:colOff>
                    <xdr:row>87</xdr:row>
                    <xdr:rowOff>152400</xdr:rowOff>
                  </from>
                  <to>
                    <xdr:col>19</xdr:col>
                    <xdr:colOff>480060</xdr:colOff>
                    <xdr:row>89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7" name="Check Box 7">
              <controlPr defaultSize="0" autoFill="0" autoLine="0" autoPict="0">
                <anchor moveWithCells="1">
                  <from>
                    <xdr:col>9</xdr:col>
                    <xdr:colOff>190500</xdr:colOff>
                    <xdr:row>87</xdr:row>
                    <xdr:rowOff>152400</xdr:rowOff>
                  </from>
                  <to>
                    <xdr:col>9</xdr:col>
                    <xdr:colOff>480060</xdr:colOff>
                    <xdr:row>89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8" name="Check Box 8">
              <controlPr defaultSize="0" autoFill="0" autoLine="0" autoPict="0">
                <anchor moveWithCells="1">
                  <from>
                    <xdr:col>9</xdr:col>
                    <xdr:colOff>190500</xdr:colOff>
                    <xdr:row>42</xdr:row>
                    <xdr:rowOff>7620</xdr:rowOff>
                  </from>
                  <to>
                    <xdr:col>9</xdr:col>
                    <xdr:colOff>480060</xdr:colOff>
                    <xdr:row>44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9" name="Check Box 9">
              <controlPr defaultSize="0" autoFill="0" autoLine="0" autoPict="0">
                <anchor moveWithCells="1">
                  <from>
                    <xdr:col>9</xdr:col>
                    <xdr:colOff>190500</xdr:colOff>
                    <xdr:row>40</xdr:row>
                    <xdr:rowOff>152400</xdr:rowOff>
                  </from>
                  <to>
                    <xdr:col>9</xdr:col>
                    <xdr:colOff>480060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0" name="Check Box 12">
              <controlPr defaultSize="0" autoFill="0" autoLine="0" autoPict="0">
                <anchor moveWithCells="1">
                  <from>
                    <xdr:col>19</xdr:col>
                    <xdr:colOff>190500</xdr:colOff>
                    <xdr:row>40</xdr:row>
                    <xdr:rowOff>152400</xdr:rowOff>
                  </from>
                  <to>
                    <xdr:col>19</xdr:col>
                    <xdr:colOff>480060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1" name="Check Box 13">
              <controlPr defaultSize="0" autoFill="0" autoLine="0" autoPict="0">
                <anchor moveWithCells="1">
                  <from>
                    <xdr:col>9</xdr:col>
                    <xdr:colOff>190500</xdr:colOff>
                    <xdr:row>56</xdr:row>
                    <xdr:rowOff>152400</xdr:rowOff>
                  </from>
                  <to>
                    <xdr:col>9</xdr:col>
                    <xdr:colOff>480060</xdr:colOff>
                    <xdr:row>58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2" name="Check Box 14">
              <controlPr defaultSize="0" autoFill="0" autoLine="0" autoPict="0">
                <anchor moveWithCells="1">
                  <from>
                    <xdr:col>19</xdr:col>
                    <xdr:colOff>190500</xdr:colOff>
                    <xdr:row>56</xdr:row>
                    <xdr:rowOff>152400</xdr:rowOff>
                  </from>
                  <to>
                    <xdr:col>19</xdr:col>
                    <xdr:colOff>480060</xdr:colOff>
                    <xdr:row>58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51505EB-244D-4090-9E6F-73784B84D641}">
          <x14:formula1>
            <xm:f>EE!$J$102:$J$103</xm:f>
          </x14:formula1>
          <xm:sqref>F115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1DDF9-0C70-403D-85B1-E63DF98321D2}">
  <dimension ref="B3:D3"/>
  <sheetViews>
    <sheetView workbookViewId="0">
      <selection activeCell="B4" sqref="B4"/>
    </sheetView>
  </sheetViews>
  <sheetFormatPr defaultRowHeight="14.4" x14ac:dyDescent="0.3"/>
  <sheetData>
    <row r="3" spans="2:4" x14ac:dyDescent="0.3">
      <c r="B3" t="s">
        <v>4</v>
      </c>
      <c r="D3" t="s">
        <v>295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C7A27-9920-4A69-B3B2-988A64310434}">
  <dimension ref="B2:AE105"/>
  <sheetViews>
    <sheetView zoomScale="70" zoomScaleNormal="70" workbookViewId="0">
      <selection activeCell="D5" sqref="D5"/>
    </sheetView>
  </sheetViews>
  <sheetFormatPr defaultRowHeight="12" x14ac:dyDescent="0.25"/>
  <cols>
    <col min="1" max="12" width="8.88671875" style="22"/>
    <col min="13" max="13" width="9.5546875" style="22" bestFit="1" customWidth="1"/>
    <col min="14" max="14" width="10.21875" style="22" bestFit="1" customWidth="1"/>
    <col min="15" max="16384" width="8.88671875" style="22"/>
  </cols>
  <sheetData>
    <row r="2" spans="2:31" x14ac:dyDescent="0.25">
      <c r="B2" s="25"/>
      <c r="C2" s="25"/>
      <c r="D2" s="25"/>
      <c r="E2" s="25"/>
      <c r="F2" s="25"/>
      <c r="G2" s="334" t="s">
        <v>178</v>
      </c>
      <c r="H2" s="335"/>
      <c r="I2" s="336"/>
      <c r="J2" s="337" t="s">
        <v>179</v>
      </c>
      <c r="K2" s="338"/>
      <c r="L2" s="339"/>
      <c r="M2" s="334" t="s">
        <v>183</v>
      </c>
      <c r="N2" s="335"/>
      <c r="O2" s="336"/>
    </row>
    <row r="3" spans="2:31" x14ac:dyDescent="0.25">
      <c r="B3" s="25"/>
      <c r="C3" s="25"/>
      <c r="D3" s="25"/>
      <c r="E3" s="25"/>
      <c r="F3" s="25"/>
      <c r="G3" s="146" t="s">
        <v>177</v>
      </c>
      <c r="H3" s="146"/>
      <c r="I3" s="146"/>
      <c r="J3" s="26"/>
      <c r="K3" s="26"/>
      <c r="L3" s="25"/>
      <c r="M3" s="146"/>
      <c r="N3" s="146"/>
      <c r="O3" s="146"/>
    </row>
    <row r="4" spans="2:31" x14ac:dyDescent="0.25">
      <c r="B4" s="25" t="s">
        <v>175</v>
      </c>
      <c r="C4" s="25"/>
      <c r="D4" s="145">
        <f>'Koszty 2023'!M149</f>
        <v>10320</v>
      </c>
      <c r="E4" s="25" t="s">
        <v>2</v>
      </c>
      <c r="F4" s="25"/>
      <c r="G4" s="146">
        <f>'Koszty 2023'!E89</f>
        <v>4.2</v>
      </c>
      <c r="H4" s="146">
        <f>D4/G4</f>
        <v>2457.1428571428569</v>
      </c>
      <c r="I4" s="146" t="s">
        <v>2</v>
      </c>
      <c r="J4" s="26">
        <f>'Koszty 2023'!O89</f>
        <v>3.8</v>
      </c>
      <c r="K4" s="26">
        <f>D4/J4</f>
        <v>2715.7894736842109</v>
      </c>
      <c r="L4" s="26" t="s">
        <v>2</v>
      </c>
      <c r="M4" s="148">
        <f>'Koszty 2023'!F105/100</f>
        <v>0.99</v>
      </c>
      <c r="N4" s="146">
        <f>D4/M4</f>
        <v>10424.242424242424</v>
      </c>
      <c r="O4" s="146" t="s">
        <v>2</v>
      </c>
    </row>
    <row r="5" spans="2:31" x14ac:dyDescent="0.25">
      <c r="B5" s="25" t="s">
        <v>176</v>
      </c>
      <c r="C5" s="25"/>
      <c r="D5" s="145">
        <f>'Koszty 2023'!M152</f>
        <v>3345.1976249999998</v>
      </c>
      <c r="E5" s="25" t="s">
        <v>2</v>
      </c>
      <c r="F5" s="25"/>
      <c r="G5" s="146">
        <v>3.4</v>
      </c>
      <c r="H5" s="146">
        <f>D5/G5</f>
        <v>983.88165441176466</v>
      </c>
      <c r="I5" s="146" t="s">
        <v>2</v>
      </c>
      <c r="J5" s="26">
        <v>3.1</v>
      </c>
      <c r="K5" s="26">
        <f>D5/J5</f>
        <v>1079.0960080645161</v>
      </c>
      <c r="L5" s="26" t="s">
        <v>2</v>
      </c>
      <c r="M5" s="148">
        <f>'Koszty 2023'!F105/100</f>
        <v>0.99</v>
      </c>
      <c r="N5" s="146">
        <f>D5/M5</f>
        <v>3378.9874999999997</v>
      </c>
      <c r="O5" s="146" t="s">
        <v>2</v>
      </c>
    </row>
    <row r="6" spans="2:31" x14ac:dyDescent="0.25">
      <c r="B6" s="25"/>
      <c r="C6" s="25"/>
      <c r="D6" s="145"/>
      <c r="E6" s="25"/>
      <c r="F6" s="25"/>
      <c r="G6" s="39"/>
      <c r="H6" s="39"/>
      <c r="I6" s="39"/>
      <c r="J6" s="25"/>
      <c r="K6" s="25"/>
      <c r="L6" s="25"/>
      <c r="M6" s="39"/>
      <c r="N6" s="39"/>
      <c r="O6" s="39"/>
    </row>
    <row r="7" spans="2:31" x14ac:dyDescent="0.25">
      <c r="B7" s="25" t="s">
        <v>174</v>
      </c>
      <c r="C7" s="25"/>
      <c r="D7" s="145">
        <f>'Koszty 2023'!I22*950</f>
        <v>4750</v>
      </c>
      <c r="E7" s="25" t="s">
        <v>2</v>
      </c>
      <c r="F7" s="25"/>
      <c r="G7" s="39"/>
      <c r="H7" s="147">
        <f>H4+H5</f>
        <v>3441.0245115546213</v>
      </c>
      <c r="I7" s="146" t="s">
        <v>2</v>
      </c>
      <c r="J7" s="25"/>
      <c r="K7" s="145">
        <f>K4+K5</f>
        <v>3794.8854817487272</v>
      </c>
      <c r="L7" s="26" t="s">
        <v>2</v>
      </c>
      <c r="M7" s="39"/>
      <c r="N7" s="147">
        <f>N4+N5</f>
        <v>13803.229924242423</v>
      </c>
      <c r="O7" s="146" t="s">
        <v>2</v>
      </c>
    </row>
    <row r="8" spans="2:31" x14ac:dyDescent="0.25">
      <c r="D8" s="144"/>
    </row>
    <row r="9" spans="2:31" x14ac:dyDescent="0.25">
      <c r="B9" s="333" t="s">
        <v>174</v>
      </c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3"/>
    </row>
    <row r="10" spans="2:31" x14ac:dyDescent="0.25">
      <c r="R10" s="164">
        <f>'Koszty 2023'!I47</f>
        <v>4228.1490117045869</v>
      </c>
      <c r="S10" s="61" t="s">
        <v>233</v>
      </c>
      <c r="T10" s="61"/>
      <c r="U10" s="61"/>
      <c r="V10" s="61"/>
      <c r="W10" s="232" cm="1">
        <f t="array" ref="W10:W27">_xlfn._xlws.SORT(R10:R27,,1,0)</f>
        <v>3960.6112152890705</v>
      </c>
      <c r="X10" s="22" t="str">
        <f>VLOOKUP(W10,$R$10:$S$27,2,0)</f>
        <v>Gaz ziemny - kocioł kondensacyjny</v>
      </c>
      <c r="AB10" s="36">
        <f t="shared" ref="AB10:AB27" si="0">R10/($D$4+$D$5)</f>
        <v>0.3094100157007123</v>
      </c>
      <c r="AC10" s="22" t="s">
        <v>197</v>
      </c>
      <c r="AD10" s="229" cm="1">
        <f t="array" ref="AD10:AD27">_xlfn._xlws.SORT(AB10:AB27,,1,0)</f>
        <v>0.289831974917309</v>
      </c>
      <c r="AE10" s="22" t="str">
        <f>VLOOKUP(AD10,$AB$10:$AC$27,2,0)</f>
        <v>Gaz ziemny, kocioł kondensacyjny</v>
      </c>
    </row>
    <row r="11" spans="2:31" s="23" customFormat="1" x14ac:dyDescent="0.25">
      <c r="B11" s="50" t="s">
        <v>118</v>
      </c>
      <c r="C11" s="48"/>
      <c r="D11" s="143">
        <f>D7</f>
        <v>4750</v>
      </c>
      <c r="E11" s="49" t="s">
        <v>2</v>
      </c>
      <c r="F11" s="49" t="s">
        <v>125</v>
      </c>
      <c r="G11" s="49" t="s">
        <v>126</v>
      </c>
      <c r="H11" s="49" t="s">
        <v>127</v>
      </c>
      <c r="I11" s="49" t="s">
        <v>130</v>
      </c>
      <c r="J11" s="48" t="s">
        <v>131</v>
      </c>
      <c r="K11" s="48"/>
      <c r="M11" s="49" t="s">
        <v>138</v>
      </c>
      <c r="N11" s="49" t="s">
        <v>139</v>
      </c>
      <c r="R11" s="164">
        <f>'Koszty 2023'!I49</f>
        <v>3960.6112152890705</v>
      </c>
      <c r="S11" s="61" t="s">
        <v>234</v>
      </c>
      <c r="T11" s="132"/>
      <c r="U11" s="163"/>
      <c r="V11" s="132"/>
      <c r="W11" s="232">
        <v>4022.0081761065676</v>
      </c>
      <c r="X11" s="22" t="str">
        <f t="shared" ref="X11:X27" si="1">VLOOKUP(W11,$R$10:$S$27,2,0)</f>
        <v>Pompa ciepła solanka/woda G12w</v>
      </c>
      <c r="AB11" s="36">
        <f t="shared" si="0"/>
        <v>0.289831974917309</v>
      </c>
      <c r="AC11" s="22" t="s">
        <v>198</v>
      </c>
      <c r="AD11" s="229">
        <v>0.29432491841526276</v>
      </c>
      <c r="AE11" s="22" t="str">
        <f t="shared" ref="AE11:AE27" si="2">VLOOKUP(AD11,$AB$10:$AC$27,2,0)</f>
        <v>Pompa ciepła solanka/woda - G12w</v>
      </c>
    </row>
    <row r="12" spans="2:31" x14ac:dyDescent="0.25">
      <c r="B12" s="41"/>
      <c r="C12" s="41"/>
      <c r="D12" s="41"/>
      <c r="E12" s="41"/>
      <c r="F12" s="41"/>
      <c r="G12" s="41"/>
      <c r="H12" s="41"/>
      <c r="I12" s="41"/>
      <c r="J12" s="23"/>
      <c r="R12" s="164">
        <f>'Koszty 2023'!S47</f>
        <v>6676.181870940708</v>
      </c>
      <c r="S12" s="61" t="s">
        <v>235</v>
      </c>
      <c r="T12" s="61"/>
      <c r="U12" s="61"/>
      <c r="V12" s="61"/>
      <c r="W12" s="232">
        <v>4169.7313583876075</v>
      </c>
      <c r="X12" s="22" t="str">
        <f t="shared" si="1"/>
        <v>Pompa ciepła solanka/woda G1j2</v>
      </c>
      <c r="AB12" s="36">
        <f t="shared" si="0"/>
        <v>0.48855362755434045</v>
      </c>
      <c r="AC12" s="22" t="s">
        <v>46</v>
      </c>
      <c r="AD12" s="229">
        <v>0.30513509374787451</v>
      </c>
      <c r="AE12" s="22" t="str">
        <f t="shared" si="2"/>
        <v>Pompa ciepła solanka/woda - G12</v>
      </c>
    </row>
    <row r="13" spans="2:31" x14ac:dyDescent="0.25">
      <c r="B13" s="39" t="s">
        <v>57</v>
      </c>
      <c r="C13" s="39"/>
      <c r="D13" s="39"/>
      <c r="E13" s="39"/>
      <c r="F13" s="39">
        <f>IF(D11&lt;2000,D11,2000)</f>
        <v>2000</v>
      </c>
      <c r="G13" s="39"/>
      <c r="H13" s="39"/>
      <c r="I13" s="39">
        <f>D11-F13</f>
        <v>2750</v>
      </c>
      <c r="J13" s="39">
        <f>I13+F13</f>
        <v>4750</v>
      </c>
      <c r="K13" s="39" t="s">
        <v>2</v>
      </c>
      <c r="L13" s="56"/>
      <c r="M13" s="39">
        <f>F13</f>
        <v>2000</v>
      </c>
      <c r="N13" s="39">
        <f>I13</f>
        <v>2750</v>
      </c>
      <c r="R13" s="164">
        <f>'Koszty 2023'!S49</f>
        <v>6240.7787054445753</v>
      </c>
      <c r="S13" s="61" t="s">
        <v>236</v>
      </c>
      <c r="T13" s="61"/>
      <c r="U13" s="61"/>
      <c r="V13" s="61"/>
      <c r="W13" s="232">
        <v>4228.1490117045869</v>
      </c>
      <c r="X13" s="22" t="str">
        <f t="shared" si="1"/>
        <v>Gaz ziemny - kocioł tradycyjny</v>
      </c>
      <c r="AB13" s="36">
        <f t="shared" si="0"/>
        <v>0.45669143445297045</v>
      </c>
      <c r="AC13" s="22" t="s">
        <v>47</v>
      </c>
      <c r="AD13" s="229">
        <v>0.3094100157007123</v>
      </c>
      <c r="AE13" s="22" t="str">
        <f t="shared" si="2"/>
        <v>Gaz ziemny, kocioł tradycyjny</v>
      </c>
    </row>
    <row r="14" spans="2:31" x14ac:dyDescent="0.25">
      <c r="B14" s="39"/>
      <c r="C14" s="39"/>
      <c r="D14" s="39"/>
      <c r="E14" s="39"/>
      <c r="F14" s="39"/>
      <c r="G14" s="150">
        <f>IF(D11&lt;2600,D11,2600)</f>
        <v>2600</v>
      </c>
      <c r="H14" s="150"/>
      <c r="I14" s="39">
        <f>D11-G14</f>
        <v>2150</v>
      </c>
      <c r="J14" s="39">
        <f>I14+G14</f>
        <v>4750</v>
      </c>
      <c r="K14" s="39" t="s">
        <v>2</v>
      </c>
      <c r="L14" s="56"/>
      <c r="M14" s="56"/>
      <c r="N14" s="56"/>
      <c r="R14" s="164">
        <f>'Koszty 2023'!I63</f>
        <v>7146.6308749675809</v>
      </c>
      <c r="S14" s="61" t="s">
        <v>237</v>
      </c>
      <c r="T14" s="61"/>
      <c r="U14" s="61"/>
      <c r="V14" s="61"/>
      <c r="W14" s="232">
        <v>4473.780994338762</v>
      </c>
      <c r="X14" s="22" t="str">
        <f t="shared" si="1"/>
        <v>Pompa ciepła solanka/woda G11</v>
      </c>
      <c r="AB14" s="36">
        <f t="shared" si="0"/>
        <v>0.52298042597591632</v>
      </c>
      <c r="AC14" s="22" t="s">
        <v>48</v>
      </c>
      <c r="AD14" s="229">
        <v>0.32738501974930362</v>
      </c>
      <c r="AE14" s="22" t="str">
        <f t="shared" si="2"/>
        <v>Pompa ciepła solanka/woda - G11</v>
      </c>
    </row>
    <row r="15" spans="2:31" x14ac:dyDescent="0.25">
      <c r="B15" s="39"/>
      <c r="C15" s="39"/>
      <c r="D15" s="39"/>
      <c r="E15" s="39"/>
      <c r="F15" s="39"/>
      <c r="G15" s="150"/>
      <c r="H15" s="150">
        <f>IF(D11&lt;3000,D11,3000)</f>
        <v>3000</v>
      </c>
      <c r="I15" s="39">
        <f>D11-H15</f>
        <v>1750</v>
      </c>
      <c r="J15" s="39">
        <f>I15+H15</f>
        <v>4750</v>
      </c>
      <c r="K15" s="39" t="s">
        <v>2</v>
      </c>
      <c r="L15" s="56"/>
      <c r="M15" s="56"/>
      <c r="N15" s="56"/>
      <c r="R15" s="164">
        <f>'Koszty 2023'!I65</f>
        <v>6590.7818069145469</v>
      </c>
      <c r="S15" s="61" t="s">
        <v>238</v>
      </c>
      <c r="T15" s="61"/>
      <c r="U15" s="61"/>
      <c r="V15" s="61"/>
      <c r="W15" s="232">
        <v>4548.1598625351035</v>
      </c>
      <c r="X15" s="22" t="str">
        <f t="shared" si="1"/>
        <v>Pompa ciepła powietrze/woda G12w</v>
      </c>
      <c r="AB15" s="36">
        <f t="shared" si="0"/>
        <v>0.48230417062223396</v>
      </c>
      <c r="AC15" s="22" t="s">
        <v>49</v>
      </c>
      <c r="AD15" s="229">
        <v>0.33282796102519618</v>
      </c>
      <c r="AE15" s="22" t="str">
        <f t="shared" si="2"/>
        <v>Pompa ciepła powietrze/woda - G12w</v>
      </c>
    </row>
    <row r="16" spans="2:31" x14ac:dyDescent="0.25">
      <c r="B16" s="29"/>
      <c r="C16" s="29"/>
      <c r="D16" s="29"/>
      <c r="E16" s="29"/>
      <c r="F16" s="29"/>
      <c r="G16" s="153"/>
      <c r="H16" s="153"/>
      <c r="I16" s="29"/>
      <c r="J16" s="29"/>
      <c r="K16" s="29"/>
      <c r="L16" s="29"/>
      <c r="M16" s="29" t="s">
        <v>184</v>
      </c>
      <c r="N16" s="29">
        <f>IF(N13=0,2000-M13,0)</f>
        <v>0</v>
      </c>
      <c r="R16" s="164">
        <f>'Koszty 2023'!S63</f>
        <v>5122.8344433194934</v>
      </c>
      <c r="S16" s="61" t="s">
        <v>30</v>
      </c>
      <c r="T16" s="61"/>
      <c r="U16" s="61"/>
      <c r="V16" s="61"/>
      <c r="W16" s="232">
        <v>4627.5488668132866</v>
      </c>
      <c r="X16" s="22" t="str">
        <f t="shared" si="1"/>
        <v>Pompa ciepła powietrze/woda G1j2</v>
      </c>
      <c r="AB16" s="36">
        <f t="shared" si="0"/>
        <v>0.37488184100224403</v>
      </c>
      <c r="AC16" s="22" t="s">
        <v>30</v>
      </c>
      <c r="AD16" s="229">
        <v>0.33863753703403071</v>
      </c>
      <c r="AE16" s="22" t="str">
        <f t="shared" si="2"/>
        <v>Pompa ciepła powietrze/woda - G12</v>
      </c>
    </row>
    <row r="17" spans="2:31" x14ac:dyDescent="0.25">
      <c r="B17" s="25" t="s">
        <v>119</v>
      </c>
      <c r="C17" s="25"/>
      <c r="D17" s="327">
        <v>0.5</v>
      </c>
      <c r="E17" s="25"/>
      <c r="F17" s="25">
        <f>IF(D11&lt;2000,D11*D17,2000*D17)</f>
        <v>1000</v>
      </c>
      <c r="G17" s="152"/>
      <c r="H17" s="152"/>
      <c r="I17" s="25">
        <f>D11*D17-F17</f>
        <v>1375</v>
      </c>
      <c r="J17" s="25">
        <f>F17+I17</f>
        <v>2375</v>
      </c>
      <c r="K17" s="25" t="s">
        <v>2</v>
      </c>
      <c r="M17" s="25">
        <f>F17</f>
        <v>1000</v>
      </c>
      <c r="N17" s="25">
        <f>I17</f>
        <v>1375</v>
      </c>
      <c r="R17" s="164">
        <f>'Koszty 2023'!I80</f>
        <v>5394.1569572368417</v>
      </c>
      <c r="S17" s="61" t="s">
        <v>196</v>
      </c>
      <c r="T17" s="61"/>
      <c r="U17" s="61"/>
      <c r="V17" s="61"/>
      <c r="W17" s="232">
        <v>4910.6371534319405</v>
      </c>
      <c r="X17" s="22" t="str">
        <f t="shared" si="1"/>
        <v>Pompa ciepła powietrze/woda G11</v>
      </c>
      <c r="AB17" s="36">
        <f t="shared" si="0"/>
        <v>0.39473684210526311</v>
      </c>
      <c r="AC17" s="22" t="s">
        <v>199</v>
      </c>
      <c r="AD17" s="229">
        <v>0.35935354088462662</v>
      </c>
      <c r="AE17" s="22" t="str">
        <f t="shared" si="2"/>
        <v>Pompa ciepła powietrze/woda - G11</v>
      </c>
    </row>
    <row r="18" spans="2:31" x14ac:dyDescent="0.25">
      <c r="B18" s="25"/>
      <c r="C18" s="25"/>
      <c r="D18" s="328"/>
      <c r="E18" s="25"/>
      <c r="F18" s="25"/>
      <c r="G18" s="152">
        <f>IF(D11&lt;2600,D11*D17,2600*D17)</f>
        <v>1300</v>
      </c>
      <c r="H18" s="152"/>
      <c r="I18" s="25">
        <f>D11*D17-G18</f>
        <v>1075</v>
      </c>
      <c r="J18" s="25">
        <f>I18+G18</f>
        <v>2375</v>
      </c>
      <c r="K18" s="25" t="s">
        <v>2</v>
      </c>
      <c r="R18" s="164">
        <f>'Koszty 2023'!S80</f>
        <v>5463.4761552142854</v>
      </c>
      <c r="S18" s="61" t="s">
        <v>5</v>
      </c>
      <c r="T18" s="61"/>
      <c r="U18" s="61"/>
      <c r="V18" s="61"/>
      <c r="W18" s="232">
        <v>5122.8344433194934</v>
      </c>
      <c r="X18" s="22" t="str">
        <f t="shared" si="1"/>
        <v>Kocioł na pelet</v>
      </c>
      <c r="AB18" s="36">
        <f t="shared" si="0"/>
        <v>0.39980952380952378</v>
      </c>
      <c r="AC18" s="22" t="s">
        <v>200</v>
      </c>
      <c r="AD18" s="229">
        <v>0.37488184100224403</v>
      </c>
      <c r="AE18" s="22" t="str">
        <f t="shared" si="2"/>
        <v>Kocioł na pelet</v>
      </c>
    </row>
    <row r="19" spans="2:31" x14ac:dyDescent="0.25">
      <c r="B19" s="25"/>
      <c r="C19" s="25"/>
      <c r="D19" s="329"/>
      <c r="E19" s="25"/>
      <c r="F19" s="25"/>
      <c r="G19" s="152"/>
      <c r="H19" s="152">
        <f>IF(D11&lt;3000,D11*D17,3000*D17)</f>
        <v>1500</v>
      </c>
      <c r="I19" s="25">
        <f>D11*D17-H19</f>
        <v>875</v>
      </c>
      <c r="J19" s="25">
        <f>I19+H19</f>
        <v>2375</v>
      </c>
      <c r="K19" s="25" t="s">
        <v>2</v>
      </c>
      <c r="R19" s="164">
        <f>'Koszty 2023'!I92</f>
        <v>4473.780994338762</v>
      </c>
      <c r="S19" s="61" t="s">
        <v>201</v>
      </c>
      <c r="T19" s="61"/>
      <c r="U19" s="61"/>
      <c r="V19" s="61"/>
      <c r="W19" s="232">
        <v>5394.1569572368417</v>
      </c>
      <c r="X19" s="22" t="str">
        <f t="shared" si="1"/>
        <v>Zgazowanie drewna</v>
      </c>
      <c r="AB19" s="36">
        <f t="shared" si="0"/>
        <v>0.32738501974930362</v>
      </c>
      <c r="AC19" s="22" t="s">
        <v>204</v>
      </c>
      <c r="AD19" s="229">
        <v>0.39473684210526311</v>
      </c>
      <c r="AE19" s="22" t="str">
        <f t="shared" si="2"/>
        <v>Kocioł na zgazowanie drewna</v>
      </c>
    </row>
    <row r="20" spans="2:31" x14ac:dyDescent="0.25">
      <c r="B20" s="25" t="s">
        <v>120</v>
      </c>
      <c r="C20" s="25"/>
      <c r="D20" s="327">
        <v>0.5</v>
      </c>
      <c r="E20" s="25"/>
      <c r="F20" s="25">
        <f>IF(D11&lt;2000,D11-F17,2000-F17)</f>
        <v>1000</v>
      </c>
      <c r="G20" s="152"/>
      <c r="H20" s="152"/>
      <c r="I20" s="25">
        <f>D11*D20-F20</f>
        <v>1375</v>
      </c>
      <c r="J20" s="25">
        <f>F20+I20</f>
        <v>2375</v>
      </c>
      <c r="K20" s="25" t="s">
        <v>2</v>
      </c>
      <c r="M20" s="25">
        <f>F20</f>
        <v>1000</v>
      </c>
      <c r="N20" s="25">
        <f>I20</f>
        <v>1375</v>
      </c>
      <c r="R20" s="164">
        <f>'Koszty 2023'!I94</f>
        <v>4169.7313583876075</v>
      </c>
      <c r="S20" s="61" t="s">
        <v>239</v>
      </c>
      <c r="T20" s="61"/>
      <c r="U20" s="61"/>
      <c r="V20" s="61"/>
      <c r="W20" s="232">
        <v>5463.4761552142854</v>
      </c>
      <c r="X20" s="22" t="str">
        <f t="shared" si="1"/>
        <v>Granulat węglowy</v>
      </c>
      <c r="AB20" s="36">
        <f t="shared" si="0"/>
        <v>0.30513509374787451</v>
      </c>
      <c r="AC20" s="22" t="s">
        <v>202</v>
      </c>
      <c r="AD20" s="229">
        <v>0.39980952380952378</v>
      </c>
      <c r="AE20" s="22" t="str">
        <f t="shared" si="2"/>
        <v>Kocioł na granulat węglowy</v>
      </c>
    </row>
    <row r="21" spans="2:31" x14ac:dyDescent="0.25">
      <c r="B21" s="25"/>
      <c r="C21" s="25"/>
      <c r="D21" s="328"/>
      <c r="E21" s="25"/>
      <c r="F21" s="25"/>
      <c r="G21" s="152">
        <f>IF(D11&lt;2600,D11-G18,2600-G18)</f>
        <v>1300</v>
      </c>
      <c r="H21" s="152"/>
      <c r="I21" s="25">
        <f>D11*D20-G21</f>
        <v>1075</v>
      </c>
      <c r="J21" s="25">
        <f>I21+G21</f>
        <v>2375</v>
      </c>
      <c r="K21" s="25" t="s">
        <v>2</v>
      </c>
      <c r="R21" s="164">
        <f>'Koszty 2023'!I96</f>
        <v>4022.0081761065676</v>
      </c>
      <c r="S21" s="61" t="s">
        <v>240</v>
      </c>
      <c r="T21" s="61"/>
      <c r="U21" s="61"/>
      <c r="V21" s="61"/>
      <c r="W21" s="232">
        <v>6240.7787054445753</v>
      </c>
      <c r="X21" s="22" t="str">
        <f t="shared" si="1"/>
        <v>Gaz płynny - kocioł kondensacyjny</v>
      </c>
      <c r="AB21" s="36">
        <f t="shared" si="0"/>
        <v>0.29432491841526276</v>
      </c>
      <c r="AC21" s="22" t="s">
        <v>203</v>
      </c>
      <c r="AD21" s="229">
        <v>0.45669143445297045</v>
      </c>
      <c r="AE21" s="22" t="str">
        <f t="shared" si="2"/>
        <v>Gaz płynny, kocioł kondensacyjny</v>
      </c>
    </row>
    <row r="22" spans="2:31" x14ac:dyDescent="0.25">
      <c r="B22" s="25"/>
      <c r="C22" s="25"/>
      <c r="D22" s="329"/>
      <c r="E22" s="25"/>
      <c r="F22" s="25"/>
      <c r="G22" s="152"/>
      <c r="H22" s="152">
        <f>IF(D11&lt;3000,D11-H19,3000-H19)</f>
        <v>1500</v>
      </c>
      <c r="I22" s="25">
        <f>D11*D20-H22</f>
        <v>875</v>
      </c>
      <c r="J22" s="25">
        <f>I22+H22</f>
        <v>2375</v>
      </c>
      <c r="K22" s="25" t="s">
        <v>2</v>
      </c>
      <c r="R22" s="164">
        <f>'Koszty 2023'!S92</f>
        <v>4910.6371534319405</v>
      </c>
      <c r="S22" s="61" t="s">
        <v>241</v>
      </c>
      <c r="T22" s="61"/>
      <c r="U22" s="61" t="e">
        <f>#REF!</f>
        <v>#REF!</v>
      </c>
      <c r="V22" s="61"/>
      <c r="W22" s="232">
        <v>6590.7818069145469</v>
      </c>
      <c r="X22" s="22" t="str">
        <f t="shared" si="1"/>
        <v>Olej opałowy - kocioł kondensacyjny</v>
      </c>
      <c r="AB22" s="36">
        <f t="shared" si="0"/>
        <v>0.35935354088462662</v>
      </c>
      <c r="AC22" s="22" t="s">
        <v>205</v>
      </c>
      <c r="AD22" s="229">
        <v>0.48230417062223396</v>
      </c>
      <c r="AE22" s="22" t="str">
        <f t="shared" si="2"/>
        <v>Olej opałowy, kocioł kondensacyjny</v>
      </c>
    </row>
    <row r="23" spans="2:31" x14ac:dyDescent="0.25">
      <c r="D23" s="24"/>
      <c r="G23" s="151"/>
      <c r="H23" s="151"/>
      <c r="M23" s="29" t="s">
        <v>184</v>
      </c>
      <c r="N23" s="29">
        <f>IF(N20=0,IF(N17=0,2000-M17-M20),0)</f>
        <v>0</v>
      </c>
      <c r="R23" s="164">
        <f>'Koszty 2023'!S94</f>
        <v>4627.5488668132866</v>
      </c>
      <c r="S23" s="61" t="s">
        <v>242</v>
      </c>
      <c r="T23" s="61"/>
      <c r="U23" s="61"/>
      <c r="V23" s="61"/>
      <c r="W23" s="232">
        <v>6676.181870940708</v>
      </c>
      <c r="X23" s="22" t="str">
        <f t="shared" si="1"/>
        <v>Gaz płynny - kocioł tradycyjny</v>
      </c>
      <c r="AB23" s="36">
        <f t="shared" si="0"/>
        <v>0.33863753703403071</v>
      </c>
      <c r="AC23" s="22" t="s">
        <v>206</v>
      </c>
      <c r="AD23" s="229">
        <v>0.48855362755434045</v>
      </c>
      <c r="AE23" s="22" t="str">
        <f t="shared" si="2"/>
        <v>Gaz płynny, kocioł tradycyjny</v>
      </c>
    </row>
    <row r="24" spans="2:31" x14ac:dyDescent="0.25">
      <c r="B24" s="39" t="s">
        <v>121</v>
      </c>
      <c r="C24" s="39"/>
      <c r="D24" s="330">
        <v>0.4</v>
      </c>
      <c r="E24" s="39"/>
      <c r="F24" s="39">
        <f>IF(D11&lt;2000,D11*D24,2000*D24)</f>
        <v>800</v>
      </c>
      <c r="G24" s="150"/>
      <c r="H24" s="150"/>
      <c r="I24" s="39">
        <f>D11*D24-F24</f>
        <v>1100</v>
      </c>
      <c r="J24" s="39">
        <f>F24+I24</f>
        <v>1900</v>
      </c>
      <c r="K24" s="39" t="s">
        <v>2</v>
      </c>
      <c r="L24" s="56"/>
      <c r="M24" s="39">
        <f>F24</f>
        <v>800</v>
      </c>
      <c r="N24" s="39">
        <f>I24</f>
        <v>1100</v>
      </c>
      <c r="R24" s="164">
        <f>'Koszty 2023'!S96</f>
        <v>4548.1598625351035</v>
      </c>
      <c r="S24" s="61" t="s">
        <v>243</v>
      </c>
      <c r="T24" s="61"/>
      <c r="U24" s="61"/>
      <c r="V24" s="61"/>
      <c r="W24" s="232">
        <v>7146.6308749675809</v>
      </c>
      <c r="X24" s="22" t="str">
        <f t="shared" si="1"/>
        <v>Olej opałowy - kocioł tradycyjny</v>
      </c>
      <c r="AB24" s="36">
        <f t="shared" si="0"/>
        <v>0.33282796102519618</v>
      </c>
      <c r="AC24" s="22" t="s">
        <v>207</v>
      </c>
      <c r="AD24" s="229">
        <v>0.52298042597591632</v>
      </c>
      <c r="AE24" s="22" t="str">
        <f t="shared" si="2"/>
        <v>Olej opałowy, kocioł tradycyjny</v>
      </c>
    </row>
    <row r="25" spans="2:31" x14ac:dyDescent="0.25">
      <c r="B25" s="39"/>
      <c r="C25" s="39"/>
      <c r="D25" s="331"/>
      <c r="E25" s="39"/>
      <c r="F25" s="39"/>
      <c r="G25" s="150">
        <f>IF(D11&lt;2600,D11*D24,2600*D24)</f>
        <v>1040</v>
      </c>
      <c r="H25" s="150"/>
      <c r="I25" s="39">
        <f>D11*D24-G25</f>
        <v>860</v>
      </c>
      <c r="J25" s="39">
        <f>I25+G25</f>
        <v>1900</v>
      </c>
      <c r="K25" s="39" t="s">
        <v>2</v>
      </c>
      <c r="L25" s="56"/>
      <c r="M25" s="56"/>
      <c r="N25" s="56"/>
      <c r="R25" s="164">
        <f>'Koszty 2023'!I108</f>
        <v>17266.356716488102</v>
      </c>
      <c r="S25" s="61" t="s">
        <v>244</v>
      </c>
      <c r="T25" s="61"/>
      <c r="U25" s="61"/>
      <c r="V25" s="61"/>
      <c r="W25" s="232">
        <v>15382.216244060077</v>
      </c>
      <c r="X25" s="22" t="str">
        <f t="shared" si="1"/>
        <v>Energia elektryczna G12w</v>
      </c>
      <c r="AB25" s="36">
        <f t="shared" si="0"/>
        <v>1.2635277725438749</v>
      </c>
      <c r="AC25" s="22" t="s">
        <v>208</v>
      </c>
      <c r="AD25" s="229">
        <v>1.1256490148315785</v>
      </c>
      <c r="AE25" s="22" t="str">
        <f t="shared" si="2"/>
        <v>Energia elektryczna - G12w</v>
      </c>
    </row>
    <row r="26" spans="2:31" x14ac:dyDescent="0.25">
      <c r="B26" s="39"/>
      <c r="C26" s="39"/>
      <c r="D26" s="332"/>
      <c r="E26" s="39"/>
      <c r="F26" s="39"/>
      <c r="G26" s="150"/>
      <c r="H26" s="150">
        <f>IF(D11&lt;3000,D11*D24,3000*D24)</f>
        <v>1200</v>
      </c>
      <c r="I26" s="39">
        <f>D11*D24-H26</f>
        <v>700</v>
      </c>
      <c r="J26" s="39">
        <f>I26+H26</f>
        <v>1900</v>
      </c>
      <c r="K26" s="39" t="s">
        <v>2</v>
      </c>
      <c r="L26" s="56"/>
      <c r="M26" s="56"/>
      <c r="N26" s="56"/>
      <c r="R26" s="164">
        <f>'Koszty 2023'!I110</f>
        <v>15974.788904707801</v>
      </c>
      <c r="S26" s="61" t="s">
        <v>245</v>
      </c>
      <c r="W26" s="232">
        <v>15974.788904707801</v>
      </c>
      <c r="X26" s="22" t="str">
        <f t="shared" si="1"/>
        <v>Energia elektryczna G12</v>
      </c>
      <c r="AB26" s="36">
        <f t="shared" si="0"/>
        <v>1.1690126511952146</v>
      </c>
      <c r="AC26" s="22" t="s">
        <v>209</v>
      </c>
      <c r="AD26" s="229">
        <v>1.1690126511952146</v>
      </c>
      <c r="AE26" s="22" t="str">
        <f t="shared" si="2"/>
        <v>Energia elektryczna - G12</v>
      </c>
    </row>
    <row r="27" spans="2:31" x14ac:dyDescent="0.25">
      <c r="B27" s="39" t="s">
        <v>122</v>
      </c>
      <c r="C27" s="39"/>
      <c r="D27" s="330">
        <v>0.6</v>
      </c>
      <c r="E27" s="39"/>
      <c r="F27" s="39">
        <f>IF(D11&lt;2000,D11-F24,2000-F24)</f>
        <v>1200</v>
      </c>
      <c r="G27" s="150"/>
      <c r="H27" s="150"/>
      <c r="I27" s="39">
        <f>D11*D27-F27</f>
        <v>1650</v>
      </c>
      <c r="J27" s="39">
        <f>F27+I27</f>
        <v>2850</v>
      </c>
      <c r="K27" s="39" t="s">
        <v>2</v>
      </c>
      <c r="L27" s="56"/>
      <c r="M27" s="39">
        <f>F27</f>
        <v>1200</v>
      </c>
      <c r="N27" s="39">
        <f>I27</f>
        <v>1650</v>
      </c>
      <c r="R27" s="164">
        <f>'Koszty 2023'!I112</f>
        <v>15382.216244060077</v>
      </c>
      <c r="S27" s="61" t="s">
        <v>246</v>
      </c>
      <c r="W27" s="232">
        <v>17266.356716488102</v>
      </c>
      <c r="X27" s="22" t="str">
        <f t="shared" si="1"/>
        <v>Energia elektryczna G11</v>
      </c>
      <c r="AB27" s="36">
        <f t="shared" si="0"/>
        <v>1.1256490148315785</v>
      </c>
      <c r="AC27" s="22" t="s">
        <v>210</v>
      </c>
      <c r="AD27" s="229">
        <v>1.2635277725438749</v>
      </c>
      <c r="AE27" s="22" t="str">
        <f t="shared" si="2"/>
        <v>Energia elektryczna - G11</v>
      </c>
    </row>
    <row r="28" spans="2:31" x14ac:dyDescent="0.25">
      <c r="B28" s="39"/>
      <c r="C28" s="39"/>
      <c r="D28" s="331"/>
      <c r="E28" s="39"/>
      <c r="F28" s="39"/>
      <c r="G28" s="150">
        <f>IF(D11&lt;2600,D11-G25,2600-G25)</f>
        <v>1560</v>
      </c>
      <c r="H28" s="150"/>
      <c r="I28" s="39">
        <f>D11*D27-G28</f>
        <v>1290</v>
      </c>
      <c r="J28" s="39">
        <f>I28+G28</f>
        <v>2850</v>
      </c>
      <c r="K28" s="39" t="s">
        <v>2</v>
      </c>
      <c r="L28" s="56"/>
      <c r="M28" s="56"/>
      <c r="N28" s="56"/>
    </row>
    <row r="29" spans="2:31" x14ac:dyDescent="0.25">
      <c r="B29" s="39"/>
      <c r="C29" s="39"/>
      <c r="D29" s="332"/>
      <c r="E29" s="39"/>
      <c r="F29" s="39"/>
      <c r="G29" s="150"/>
      <c r="H29" s="150">
        <f>IF(D11&lt;3000,D11-H26,3000-H26)</f>
        <v>1800</v>
      </c>
      <c r="I29" s="39">
        <f>D11*D27-H29</f>
        <v>1050</v>
      </c>
      <c r="J29" s="39">
        <f>I29+H29</f>
        <v>2850</v>
      </c>
      <c r="K29" s="39" t="s">
        <v>2</v>
      </c>
      <c r="L29" s="56"/>
      <c r="M29" s="56"/>
      <c r="N29" s="56"/>
    </row>
    <row r="30" spans="2:31" x14ac:dyDescent="0.25">
      <c r="M30" s="29" t="s">
        <v>184</v>
      </c>
      <c r="N30" s="29">
        <f>IF(N27=0,IF(N24=0,2000-M24-M27),0)</f>
        <v>0</v>
      </c>
    </row>
    <row r="32" spans="2:31" x14ac:dyDescent="0.25">
      <c r="B32" s="333" t="s">
        <v>180</v>
      </c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333"/>
      <c r="N32" s="333"/>
    </row>
    <row r="34" spans="2:14" x14ac:dyDescent="0.25">
      <c r="B34" s="50" t="s">
        <v>118</v>
      </c>
      <c r="C34" s="48"/>
      <c r="D34" s="143">
        <f>H7</f>
        <v>3441.0245115546213</v>
      </c>
      <c r="E34" s="49" t="s">
        <v>2</v>
      </c>
      <c r="F34" s="49" t="s">
        <v>125</v>
      </c>
      <c r="G34" s="49" t="s">
        <v>126</v>
      </c>
      <c r="H34" s="49" t="s">
        <v>127</v>
      </c>
      <c r="I34" s="49" t="s">
        <v>130</v>
      </c>
      <c r="J34" s="48" t="s">
        <v>131</v>
      </c>
      <c r="K34" s="48"/>
      <c r="L34" s="23"/>
      <c r="M34" s="49" t="s">
        <v>138</v>
      </c>
      <c r="N34" s="49" t="s">
        <v>139</v>
      </c>
    </row>
    <row r="35" spans="2:14" x14ac:dyDescent="0.25">
      <c r="B35" s="41"/>
      <c r="C35" s="41"/>
      <c r="D35" s="41"/>
      <c r="E35" s="41"/>
      <c r="F35" s="41"/>
      <c r="G35" s="41"/>
      <c r="H35" s="41"/>
      <c r="I35" s="41"/>
      <c r="J35" s="23"/>
    </row>
    <row r="36" spans="2:14" x14ac:dyDescent="0.25">
      <c r="B36" s="39" t="s">
        <v>57</v>
      </c>
      <c r="C36" s="39"/>
      <c r="D36" s="39"/>
      <c r="E36" s="39"/>
      <c r="F36" s="39">
        <f>N16</f>
        <v>0</v>
      </c>
      <c r="G36" s="39"/>
      <c r="H36" s="39"/>
      <c r="I36" s="147">
        <f>D34-F36</f>
        <v>3441.0245115546213</v>
      </c>
      <c r="J36" s="147">
        <f>I36+F36</f>
        <v>3441.0245115546213</v>
      </c>
      <c r="K36" s="39" t="s">
        <v>2</v>
      </c>
      <c r="L36" s="56"/>
      <c r="M36" s="39">
        <f>F36</f>
        <v>0</v>
      </c>
      <c r="N36" s="147">
        <f>I36</f>
        <v>3441.0245115546213</v>
      </c>
    </row>
    <row r="37" spans="2:14" x14ac:dyDescent="0.25">
      <c r="B37" s="39"/>
      <c r="C37" s="39"/>
      <c r="D37" s="39"/>
      <c r="E37" s="39"/>
      <c r="F37" s="39"/>
      <c r="G37" s="150">
        <f>IF(D34&lt;2600,D34,2600)</f>
        <v>2600</v>
      </c>
      <c r="H37" s="150"/>
      <c r="I37" s="147">
        <f>D34-G37</f>
        <v>841.02451155462131</v>
      </c>
      <c r="J37" s="147">
        <f>I37+G37</f>
        <v>3441.0245115546213</v>
      </c>
      <c r="K37" s="39" t="s">
        <v>2</v>
      </c>
      <c r="L37" s="56"/>
      <c r="M37" s="56"/>
      <c r="N37" s="149"/>
    </row>
    <row r="38" spans="2:14" x14ac:dyDescent="0.25">
      <c r="B38" s="39"/>
      <c r="C38" s="39"/>
      <c r="D38" s="39"/>
      <c r="E38" s="39"/>
      <c r="F38" s="39"/>
      <c r="G38" s="150"/>
      <c r="H38" s="150">
        <f>IF(D34&lt;3000,D34,3000)</f>
        <v>3000</v>
      </c>
      <c r="I38" s="147">
        <f>D34-H38</f>
        <v>441.02451155462131</v>
      </c>
      <c r="J38" s="147">
        <f>I38+H38</f>
        <v>3441.0245115546213</v>
      </c>
      <c r="K38" s="39" t="s">
        <v>2</v>
      </c>
      <c r="L38" s="56"/>
      <c r="M38" s="56"/>
      <c r="N38" s="149"/>
    </row>
    <row r="39" spans="2:14" x14ac:dyDescent="0.25">
      <c r="G39" s="151"/>
      <c r="H39" s="151"/>
      <c r="I39" s="144"/>
      <c r="J39" s="144"/>
      <c r="N39" s="144"/>
    </row>
    <row r="40" spans="2:14" x14ac:dyDescent="0.25">
      <c r="B40" s="25" t="s">
        <v>119</v>
      </c>
      <c r="C40" s="25"/>
      <c r="D40" s="327">
        <v>0.5</v>
      </c>
      <c r="E40" s="25"/>
      <c r="F40" s="25">
        <f>N23*D40</f>
        <v>0</v>
      </c>
      <c r="G40" s="152"/>
      <c r="H40" s="152"/>
      <c r="I40" s="145">
        <f>D34*D40-F40</f>
        <v>1720.5122557773107</v>
      </c>
      <c r="J40" s="145">
        <f>F40+I40</f>
        <v>1720.5122557773107</v>
      </c>
      <c r="K40" s="25" t="s">
        <v>2</v>
      </c>
      <c r="M40" s="25">
        <f>F40</f>
        <v>0</v>
      </c>
      <c r="N40" s="145">
        <f>I40</f>
        <v>1720.5122557773107</v>
      </c>
    </row>
    <row r="41" spans="2:14" x14ac:dyDescent="0.25">
      <c r="B41" s="25"/>
      <c r="C41" s="25"/>
      <c r="D41" s="328"/>
      <c r="E41" s="25"/>
      <c r="F41" s="25"/>
      <c r="G41" s="152">
        <f>IF(D34&lt;2600,D34*D40,2600*D40)</f>
        <v>1300</v>
      </c>
      <c r="H41" s="152"/>
      <c r="I41" s="145">
        <f>D34*D40-G41</f>
        <v>420.51225577731066</v>
      </c>
      <c r="J41" s="145">
        <f>I41+G41</f>
        <v>1720.5122557773107</v>
      </c>
      <c r="K41" s="25" t="s">
        <v>2</v>
      </c>
      <c r="N41" s="144"/>
    </row>
    <row r="42" spans="2:14" x14ac:dyDescent="0.25">
      <c r="B42" s="25"/>
      <c r="C42" s="25"/>
      <c r="D42" s="329"/>
      <c r="E42" s="25"/>
      <c r="F42" s="25"/>
      <c r="G42" s="152"/>
      <c r="H42" s="152">
        <f>IF(D34&lt;3000,D34*D40,3000*D40)</f>
        <v>1500</v>
      </c>
      <c r="I42" s="145">
        <f>D34*D40-H42</f>
        <v>220.51225577731066</v>
      </c>
      <c r="J42" s="145">
        <f>I42+H42</f>
        <v>1720.5122557773107</v>
      </c>
      <c r="K42" s="25" t="s">
        <v>2</v>
      </c>
      <c r="N42" s="144"/>
    </row>
    <row r="43" spans="2:14" x14ac:dyDescent="0.25">
      <c r="B43" s="25" t="s">
        <v>120</v>
      </c>
      <c r="C43" s="25"/>
      <c r="D43" s="327">
        <v>0.5</v>
      </c>
      <c r="E43" s="25"/>
      <c r="F43" s="25">
        <f>N23*D43</f>
        <v>0</v>
      </c>
      <c r="G43" s="152"/>
      <c r="H43" s="152"/>
      <c r="I43" s="145">
        <f>D34*D43-F43</f>
        <v>1720.5122557773107</v>
      </c>
      <c r="J43" s="145">
        <f>F43+I43</f>
        <v>1720.5122557773107</v>
      </c>
      <c r="K43" s="25" t="s">
        <v>2</v>
      </c>
      <c r="M43" s="25">
        <f>F43</f>
        <v>0</v>
      </c>
      <c r="N43" s="145">
        <f>I43</f>
        <v>1720.5122557773107</v>
      </c>
    </row>
    <row r="44" spans="2:14" x14ac:dyDescent="0.25">
      <c r="B44" s="25"/>
      <c r="C44" s="25"/>
      <c r="D44" s="328"/>
      <c r="E44" s="25"/>
      <c r="F44" s="25"/>
      <c r="G44" s="152">
        <f>IF(D34&lt;2600,D34-G41,2600-G41)</f>
        <v>1300</v>
      </c>
      <c r="H44" s="152"/>
      <c r="I44" s="145">
        <f>D34*D43-G44</f>
        <v>420.51225577731066</v>
      </c>
      <c r="J44" s="145">
        <f>I44+G44</f>
        <v>1720.5122557773107</v>
      </c>
      <c r="K44" s="25" t="s">
        <v>2</v>
      </c>
      <c r="N44" s="144"/>
    </row>
    <row r="45" spans="2:14" x14ac:dyDescent="0.25">
      <c r="B45" s="25"/>
      <c r="C45" s="25"/>
      <c r="D45" s="329"/>
      <c r="E45" s="25"/>
      <c r="F45" s="25"/>
      <c r="G45" s="152"/>
      <c r="H45" s="152">
        <f>IF(D34&lt;3000,D34-H42,3000-H42)</f>
        <v>1500</v>
      </c>
      <c r="I45" s="145">
        <f>D34*D43-H45</f>
        <v>220.51225577731066</v>
      </c>
      <c r="J45" s="145">
        <f>I45+H45</f>
        <v>1720.5122557773107</v>
      </c>
      <c r="K45" s="25" t="s">
        <v>2</v>
      </c>
      <c r="N45" s="144"/>
    </row>
    <row r="46" spans="2:14" x14ac:dyDescent="0.25">
      <c r="D46" s="24"/>
      <c r="G46" s="151"/>
      <c r="H46" s="151"/>
      <c r="I46" s="144"/>
      <c r="J46" s="144"/>
      <c r="N46" s="144"/>
    </row>
    <row r="47" spans="2:14" x14ac:dyDescent="0.25">
      <c r="B47" s="39" t="s">
        <v>121</v>
      </c>
      <c r="C47" s="39"/>
      <c r="D47" s="330">
        <v>0.35</v>
      </c>
      <c r="E47" s="39"/>
      <c r="F47" s="39">
        <f>N30*D47</f>
        <v>0</v>
      </c>
      <c r="G47" s="150"/>
      <c r="H47" s="150"/>
      <c r="I47" s="147">
        <f>D34*D47-F47</f>
        <v>1204.3585790441173</v>
      </c>
      <c r="J47" s="147">
        <f>F47+I47</f>
        <v>1204.3585790441173</v>
      </c>
      <c r="K47" s="39" t="s">
        <v>2</v>
      </c>
      <c r="L47" s="56"/>
      <c r="M47" s="39">
        <f>F47</f>
        <v>0</v>
      </c>
      <c r="N47" s="147">
        <f>I47</f>
        <v>1204.3585790441173</v>
      </c>
    </row>
    <row r="48" spans="2:14" x14ac:dyDescent="0.25">
      <c r="B48" s="39"/>
      <c r="C48" s="39"/>
      <c r="D48" s="331"/>
      <c r="E48" s="39"/>
      <c r="F48" s="39"/>
      <c r="G48" s="150">
        <f>IF(D34&lt;2600,D34*D47,2600*D47)</f>
        <v>909.99999999999989</v>
      </c>
      <c r="H48" s="150"/>
      <c r="I48" s="147">
        <f>D34*D47-G48</f>
        <v>294.35857904411739</v>
      </c>
      <c r="J48" s="147">
        <f>I48+G48</f>
        <v>1204.3585790441173</v>
      </c>
      <c r="K48" s="39" t="s">
        <v>2</v>
      </c>
      <c r="L48" s="56"/>
      <c r="M48" s="56"/>
      <c r="N48" s="149"/>
    </row>
    <row r="49" spans="2:14" x14ac:dyDescent="0.25">
      <c r="B49" s="39"/>
      <c r="C49" s="39"/>
      <c r="D49" s="332"/>
      <c r="E49" s="39"/>
      <c r="F49" s="39"/>
      <c r="G49" s="150"/>
      <c r="H49" s="150">
        <f>IF(D34&lt;3000,D34*D47,3000*D47)</f>
        <v>1050</v>
      </c>
      <c r="I49" s="147">
        <f>D34*D47-H49</f>
        <v>154.35857904411728</v>
      </c>
      <c r="J49" s="147">
        <f>I49+H49</f>
        <v>1204.3585790441173</v>
      </c>
      <c r="K49" s="39" t="s">
        <v>2</v>
      </c>
      <c r="L49" s="56"/>
      <c r="M49" s="56"/>
      <c r="N49" s="149"/>
    </row>
    <row r="50" spans="2:14" x14ac:dyDescent="0.25">
      <c r="B50" s="39" t="s">
        <v>122</v>
      </c>
      <c r="C50" s="39"/>
      <c r="D50" s="330">
        <v>0.65</v>
      </c>
      <c r="E50" s="39"/>
      <c r="F50" s="39">
        <f>N30*D50</f>
        <v>0</v>
      </c>
      <c r="G50" s="150"/>
      <c r="H50" s="150"/>
      <c r="I50" s="147">
        <f>D34*D50-F50</f>
        <v>2236.6659325105038</v>
      </c>
      <c r="J50" s="147">
        <f>F50+I50</f>
        <v>2236.6659325105038</v>
      </c>
      <c r="K50" s="39" t="s">
        <v>2</v>
      </c>
      <c r="L50" s="56"/>
      <c r="M50" s="39">
        <f>F50</f>
        <v>0</v>
      </c>
      <c r="N50" s="147">
        <f>I50</f>
        <v>2236.6659325105038</v>
      </c>
    </row>
    <row r="51" spans="2:14" x14ac:dyDescent="0.25">
      <c r="B51" s="39"/>
      <c r="C51" s="39"/>
      <c r="D51" s="331"/>
      <c r="E51" s="39"/>
      <c r="F51" s="39"/>
      <c r="G51" s="150">
        <f>IF(D34&lt;2600,D34-G48,2600-G48)</f>
        <v>1690</v>
      </c>
      <c r="H51" s="150"/>
      <c r="I51" s="147">
        <f>D34*D50-G51</f>
        <v>546.66593251050381</v>
      </c>
      <c r="J51" s="147">
        <f>I51+G51</f>
        <v>2236.6659325105038</v>
      </c>
      <c r="K51" s="39" t="s">
        <v>2</v>
      </c>
      <c r="L51" s="56"/>
      <c r="M51" s="56"/>
      <c r="N51" s="56"/>
    </row>
    <row r="52" spans="2:14" x14ac:dyDescent="0.25">
      <c r="B52" s="39"/>
      <c r="C52" s="39"/>
      <c r="D52" s="332"/>
      <c r="E52" s="39"/>
      <c r="F52" s="39"/>
      <c r="G52" s="150"/>
      <c r="H52" s="150">
        <f>IF(D34&lt;3000,D34-H49,3000-H49)</f>
        <v>1950</v>
      </c>
      <c r="I52" s="147">
        <f>D34*D50-H52</f>
        <v>286.66593251050381</v>
      </c>
      <c r="J52" s="147">
        <f>I52+H52</f>
        <v>2236.6659325105038</v>
      </c>
      <c r="K52" s="39" t="s">
        <v>2</v>
      </c>
      <c r="L52" s="56"/>
      <c r="M52" s="56"/>
      <c r="N52" s="56"/>
    </row>
    <row r="55" spans="2:14" x14ac:dyDescent="0.25">
      <c r="B55" s="333" t="s">
        <v>181</v>
      </c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</row>
    <row r="57" spans="2:14" x14ac:dyDescent="0.25">
      <c r="B57" s="50" t="s">
        <v>118</v>
      </c>
      <c r="C57" s="48"/>
      <c r="D57" s="143">
        <f>K7</f>
        <v>3794.8854817487272</v>
      </c>
      <c r="E57" s="49" t="s">
        <v>2</v>
      </c>
      <c r="F57" s="49" t="s">
        <v>125</v>
      </c>
      <c r="G57" s="49" t="s">
        <v>126</v>
      </c>
      <c r="H57" s="49" t="s">
        <v>127</v>
      </c>
      <c r="I57" s="49" t="s">
        <v>130</v>
      </c>
      <c r="J57" s="48" t="s">
        <v>131</v>
      </c>
      <c r="K57" s="48"/>
      <c r="L57" s="23"/>
      <c r="M57" s="49" t="s">
        <v>138</v>
      </c>
      <c r="N57" s="49" t="s">
        <v>139</v>
      </c>
    </row>
    <row r="58" spans="2:14" x14ac:dyDescent="0.25">
      <c r="B58" s="41"/>
      <c r="C58" s="41"/>
      <c r="D58" s="41"/>
      <c r="E58" s="41"/>
      <c r="F58" s="41"/>
      <c r="G58" s="41"/>
      <c r="H58" s="41"/>
      <c r="I58" s="41"/>
      <c r="J58" s="23"/>
    </row>
    <row r="59" spans="2:14" x14ac:dyDescent="0.25">
      <c r="B59" s="39" t="s">
        <v>57</v>
      </c>
      <c r="C59" s="39"/>
      <c r="D59" s="39"/>
      <c r="E59" s="39"/>
      <c r="F59" s="39">
        <f>N16</f>
        <v>0</v>
      </c>
      <c r="G59" s="39"/>
      <c r="H59" s="39"/>
      <c r="I59" s="147">
        <f>D57-F59</f>
        <v>3794.8854817487272</v>
      </c>
      <c r="J59" s="147">
        <f>I59+F59</f>
        <v>3794.8854817487272</v>
      </c>
      <c r="K59" s="39" t="s">
        <v>2</v>
      </c>
      <c r="L59" s="56"/>
      <c r="M59" s="39">
        <f>F59</f>
        <v>0</v>
      </c>
      <c r="N59" s="147">
        <f>I59</f>
        <v>3794.8854817487272</v>
      </c>
    </row>
    <row r="60" spans="2:14" x14ac:dyDescent="0.25">
      <c r="B60" s="39"/>
      <c r="C60" s="39"/>
      <c r="D60" s="39"/>
      <c r="E60" s="39"/>
      <c r="F60" s="39"/>
      <c r="G60" s="150">
        <f>IF(D57&lt;2600,D57,2600)</f>
        <v>2600</v>
      </c>
      <c r="H60" s="150"/>
      <c r="I60" s="147">
        <f>D57-G60</f>
        <v>1194.8854817487272</v>
      </c>
      <c r="J60" s="147">
        <f>I60+G60</f>
        <v>3794.8854817487272</v>
      </c>
      <c r="K60" s="39" t="s">
        <v>2</v>
      </c>
      <c r="L60" s="56"/>
      <c r="M60" s="56"/>
      <c r="N60" s="149"/>
    </row>
    <row r="61" spans="2:14" x14ac:dyDescent="0.25">
      <c r="B61" s="39"/>
      <c r="C61" s="39"/>
      <c r="D61" s="39"/>
      <c r="E61" s="39"/>
      <c r="F61" s="39"/>
      <c r="G61" s="150"/>
      <c r="H61" s="150">
        <f>IF(D57&lt;3000,D57,3000)</f>
        <v>3000</v>
      </c>
      <c r="I61" s="147">
        <f>D57-H61</f>
        <v>794.88548174872722</v>
      </c>
      <c r="J61" s="147">
        <f>I61+H61</f>
        <v>3794.8854817487272</v>
      </c>
      <c r="K61" s="39" t="s">
        <v>2</v>
      </c>
      <c r="L61" s="56"/>
      <c r="M61" s="56"/>
      <c r="N61" s="149"/>
    </row>
    <row r="62" spans="2:14" x14ac:dyDescent="0.25">
      <c r="G62" s="151"/>
      <c r="H62" s="151"/>
      <c r="I62" s="144"/>
      <c r="J62" s="144"/>
      <c r="N62" s="144"/>
    </row>
    <row r="63" spans="2:14" x14ac:dyDescent="0.25">
      <c r="B63" s="25" t="s">
        <v>119</v>
      </c>
      <c r="C63" s="25"/>
      <c r="D63" s="327">
        <v>0.55000000000000004</v>
      </c>
      <c r="E63" s="25"/>
      <c r="F63" s="25">
        <f>N23*D63</f>
        <v>0</v>
      </c>
      <c r="G63" s="152"/>
      <c r="H63" s="152"/>
      <c r="I63" s="145">
        <f>D57*D63-F63</f>
        <v>2087.1870149618003</v>
      </c>
      <c r="J63" s="145">
        <f>F63+I63</f>
        <v>2087.1870149618003</v>
      </c>
      <c r="K63" s="25" t="s">
        <v>2</v>
      </c>
      <c r="M63" s="25">
        <f>F63</f>
        <v>0</v>
      </c>
      <c r="N63" s="145">
        <f>I63</f>
        <v>2087.1870149618003</v>
      </c>
    </row>
    <row r="64" spans="2:14" x14ac:dyDescent="0.25">
      <c r="B64" s="25"/>
      <c r="C64" s="25"/>
      <c r="D64" s="328"/>
      <c r="E64" s="25"/>
      <c r="F64" s="25"/>
      <c r="G64" s="152">
        <f>IF(D57&lt;2600,D57*D63,2600*D63)</f>
        <v>1430.0000000000002</v>
      </c>
      <c r="H64" s="152"/>
      <c r="I64" s="145">
        <f>D57*D63-G64</f>
        <v>657.18701496180006</v>
      </c>
      <c r="J64" s="145">
        <f>I64+G64</f>
        <v>2087.1870149618003</v>
      </c>
      <c r="K64" s="25" t="s">
        <v>2</v>
      </c>
      <c r="N64" s="144"/>
    </row>
    <row r="65" spans="2:14" x14ac:dyDescent="0.25">
      <c r="B65" s="25"/>
      <c r="C65" s="25"/>
      <c r="D65" s="329"/>
      <c r="E65" s="25"/>
      <c r="F65" s="25"/>
      <c r="G65" s="152"/>
      <c r="H65" s="152">
        <f>IF(D57&lt;3000,D57*D63,3000*D63)</f>
        <v>1650.0000000000002</v>
      </c>
      <c r="I65" s="145">
        <f>D57*D63-H65</f>
        <v>437.18701496180006</v>
      </c>
      <c r="J65" s="145">
        <f>I65+H65</f>
        <v>2087.1870149618003</v>
      </c>
      <c r="K65" s="25" t="s">
        <v>2</v>
      </c>
      <c r="N65" s="144"/>
    </row>
    <row r="66" spans="2:14" x14ac:dyDescent="0.25">
      <c r="B66" s="25" t="s">
        <v>120</v>
      </c>
      <c r="C66" s="25"/>
      <c r="D66" s="327">
        <v>0.45</v>
      </c>
      <c r="E66" s="25"/>
      <c r="F66" s="25">
        <f>N23*D66</f>
        <v>0</v>
      </c>
      <c r="G66" s="152"/>
      <c r="H66" s="152"/>
      <c r="I66" s="145">
        <f>D57*D66-F66</f>
        <v>1707.6984667869274</v>
      </c>
      <c r="J66" s="145">
        <f>F66+I66</f>
        <v>1707.6984667869274</v>
      </c>
      <c r="K66" s="25" t="s">
        <v>2</v>
      </c>
      <c r="M66" s="25">
        <f>F66</f>
        <v>0</v>
      </c>
      <c r="N66" s="145">
        <f>I66</f>
        <v>1707.6984667869274</v>
      </c>
    </row>
    <row r="67" spans="2:14" x14ac:dyDescent="0.25">
      <c r="B67" s="25"/>
      <c r="C67" s="25"/>
      <c r="D67" s="328"/>
      <c r="E67" s="25"/>
      <c r="F67" s="25"/>
      <c r="G67" s="152">
        <f>IF(D57&lt;2600,D57-G64,2600-G64)</f>
        <v>1169.9999999999998</v>
      </c>
      <c r="H67" s="152"/>
      <c r="I67" s="145">
        <f>D57*D66-G67</f>
        <v>537.69846678692761</v>
      </c>
      <c r="J67" s="145">
        <f>I67+G67</f>
        <v>1707.6984667869274</v>
      </c>
      <c r="K67" s="25" t="s">
        <v>2</v>
      </c>
      <c r="N67" s="144"/>
    </row>
    <row r="68" spans="2:14" x14ac:dyDescent="0.25">
      <c r="B68" s="25"/>
      <c r="C68" s="25"/>
      <c r="D68" s="329"/>
      <c r="E68" s="25"/>
      <c r="F68" s="25"/>
      <c r="G68" s="152"/>
      <c r="H68" s="152">
        <f>IF(D57&lt;3000,D57-H65,3000-H65)</f>
        <v>1349.9999999999998</v>
      </c>
      <c r="I68" s="145">
        <f>D57*D66-H68</f>
        <v>357.69846678692761</v>
      </c>
      <c r="J68" s="145">
        <f>I68+H68</f>
        <v>1707.6984667869274</v>
      </c>
      <c r="K68" s="25" t="s">
        <v>2</v>
      </c>
      <c r="N68" s="144"/>
    </row>
    <row r="69" spans="2:14" x14ac:dyDescent="0.25">
      <c r="D69" s="24"/>
      <c r="G69" s="151"/>
      <c r="H69" s="151"/>
      <c r="I69" s="144"/>
      <c r="J69" s="144"/>
      <c r="N69" s="144"/>
    </row>
    <row r="70" spans="2:14" x14ac:dyDescent="0.25">
      <c r="B70" s="39" t="s">
        <v>121</v>
      </c>
      <c r="C70" s="39"/>
      <c r="D70" s="330">
        <v>0.45</v>
      </c>
      <c r="E70" s="39"/>
      <c r="F70" s="39">
        <f>N30*D70</f>
        <v>0</v>
      </c>
      <c r="G70" s="150"/>
      <c r="H70" s="150"/>
      <c r="I70" s="147">
        <f>D57*D70-F70</f>
        <v>1707.6984667869274</v>
      </c>
      <c r="J70" s="147">
        <f>F70+I70</f>
        <v>1707.6984667869274</v>
      </c>
      <c r="K70" s="39" t="s">
        <v>2</v>
      </c>
      <c r="L70" s="56"/>
      <c r="M70" s="39">
        <f>F70</f>
        <v>0</v>
      </c>
      <c r="N70" s="147">
        <f>I70</f>
        <v>1707.6984667869274</v>
      </c>
    </row>
    <row r="71" spans="2:14" x14ac:dyDescent="0.25">
      <c r="B71" s="39"/>
      <c r="C71" s="39"/>
      <c r="D71" s="331"/>
      <c r="E71" s="39"/>
      <c r="F71" s="39"/>
      <c r="G71" s="150">
        <f>IF(D57&lt;2600,D57*D70,2600*D70)</f>
        <v>1170</v>
      </c>
      <c r="H71" s="150"/>
      <c r="I71" s="147">
        <f>D57*D70-G71</f>
        <v>537.69846678692738</v>
      </c>
      <c r="J71" s="147">
        <f>I71+G71</f>
        <v>1707.6984667869274</v>
      </c>
      <c r="K71" s="39" t="s">
        <v>2</v>
      </c>
      <c r="L71" s="56"/>
      <c r="M71" s="56"/>
      <c r="N71" s="149"/>
    </row>
    <row r="72" spans="2:14" x14ac:dyDescent="0.25">
      <c r="B72" s="39"/>
      <c r="C72" s="39"/>
      <c r="D72" s="332"/>
      <c r="E72" s="39"/>
      <c r="F72" s="39"/>
      <c r="G72" s="150"/>
      <c r="H72" s="150">
        <f>IF(D57&lt;3000,D57*D70,3000*D70)</f>
        <v>1350</v>
      </c>
      <c r="I72" s="147">
        <f>D57*D70-H72</f>
        <v>357.69846678692738</v>
      </c>
      <c r="J72" s="147">
        <f>I72+H72</f>
        <v>1707.6984667869274</v>
      </c>
      <c r="K72" s="39" t="s">
        <v>2</v>
      </c>
      <c r="L72" s="56"/>
      <c r="M72" s="56"/>
      <c r="N72" s="149"/>
    </row>
    <row r="73" spans="2:14" x14ac:dyDescent="0.25">
      <c r="B73" s="39" t="s">
        <v>122</v>
      </c>
      <c r="C73" s="39"/>
      <c r="D73" s="330">
        <v>0.55000000000000004</v>
      </c>
      <c r="E73" s="39"/>
      <c r="F73" s="39">
        <f>N30*D73</f>
        <v>0</v>
      </c>
      <c r="G73" s="150"/>
      <c r="H73" s="150"/>
      <c r="I73" s="147">
        <f>D57*D73-F73</f>
        <v>2087.1870149618003</v>
      </c>
      <c r="J73" s="147">
        <f>F73+I73</f>
        <v>2087.1870149618003</v>
      </c>
      <c r="K73" s="39" t="s">
        <v>2</v>
      </c>
      <c r="L73" s="56"/>
      <c r="M73" s="39">
        <f>F73</f>
        <v>0</v>
      </c>
      <c r="N73" s="147">
        <f>I73</f>
        <v>2087.1870149618003</v>
      </c>
    </row>
    <row r="74" spans="2:14" x14ac:dyDescent="0.25">
      <c r="B74" s="39"/>
      <c r="C74" s="39"/>
      <c r="D74" s="331"/>
      <c r="E74" s="39"/>
      <c r="F74" s="39"/>
      <c r="G74" s="150">
        <f>IF(D57&lt;2600,D57-G71,2600-G71)</f>
        <v>1430</v>
      </c>
      <c r="H74" s="150"/>
      <c r="I74" s="147">
        <f>D57*D73-G74</f>
        <v>657.18701496180029</v>
      </c>
      <c r="J74" s="147">
        <f>I74+G74</f>
        <v>2087.1870149618003</v>
      </c>
      <c r="K74" s="39" t="s">
        <v>2</v>
      </c>
      <c r="L74" s="56"/>
      <c r="M74" s="56"/>
      <c r="N74" s="56"/>
    </row>
    <row r="75" spans="2:14" x14ac:dyDescent="0.25">
      <c r="B75" s="39"/>
      <c r="C75" s="39"/>
      <c r="D75" s="332"/>
      <c r="E75" s="39"/>
      <c r="F75" s="39"/>
      <c r="G75" s="150"/>
      <c r="H75" s="150">
        <f>IF(D57&lt;3000,D57-H72,3000-H72)</f>
        <v>1650</v>
      </c>
      <c r="I75" s="147">
        <f>D57*D73-H75</f>
        <v>437.18701496180029</v>
      </c>
      <c r="J75" s="147">
        <f>I75+H75</f>
        <v>2087.1870149618003</v>
      </c>
      <c r="K75" s="39" t="s">
        <v>2</v>
      </c>
      <c r="L75" s="56"/>
      <c r="M75" s="56"/>
      <c r="N75" s="56"/>
    </row>
    <row r="78" spans="2:14" x14ac:dyDescent="0.25">
      <c r="B78" s="333" t="s">
        <v>182</v>
      </c>
      <c r="C78" s="333"/>
      <c r="D78" s="333"/>
      <c r="E78" s="333"/>
      <c r="F78" s="333"/>
      <c r="G78" s="333"/>
      <c r="H78" s="333"/>
      <c r="I78" s="333"/>
      <c r="J78" s="333"/>
      <c r="K78" s="333"/>
      <c r="L78" s="333"/>
      <c r="M78" s="333"/>
      <c r="N78" s="333"/>
    </row>
    <row r="80" spans="2:14" x14ac:dyDescent="0.25">
      <c r="B80" s="50" t="s">
        <v>118</v>
      </c>
      <c r="C80" s="48"/>
      <c r="D80" s="143">
        <f>N7</f>
        <v>13803.229924242423</v>
      </c>
      <c r="E80" s="49" t="s">
        <v>2</v>
      </c>
      <c r="F80" s="49" t="s">
        <v>125</v>
      </c>
      <c r="G80" s="49" t="s">
        <v>126</v>
      </c>
      <c r="H80" s="49" t="s">
        <v>127</v>
      </c>
      <c r="I80" s="49" t="s">
        <v>130</v>
      </c>
      <c r="J80" s="48" t="s">
        <v>131</v>
      </c>
      <c r="K80" s="48"/>
      <c r="L80" s="23"/>
      <c r="M80" s="49" t="s">
        <v>138</v>
      </c>
      <c r="N80" s="49" t="s">
        <v>139</v>
      </c>
    </row>
    <row r="81" spans="2:14" x14ac:dyDescent="0.25">
      <c r="B81" s="41"/>
      <c r="C81" s="41"/>
      <c r="D81" s="41"/>
      <c r="E81" s="41"/>
      <c r="F81" s="41"/>
      <c r="G81" s="41"/>
      <c r="H81" s="41"/>
      <c r="I81" s="41"/>
      <c r="J81" s="23"/>
    </row>
    <row r="82" spans="2:14" x14ac:dyDescent="0.25">
      <c r="B82" s="39" t="s">
        <v>57</v>
      </c>
      <c r="C82" s="39"/>
      <c r="D82" s="39"/>
      <c r="E82" s="39"/>
      <c r="F82" s="39">
        <f>N16</f>
        <v>0</v>
      </c>
      <c r="G82" s="39"/>
      <c r="H82" s="39"/>
      <c r="I82" s="147">
        <f>D80-F82</f>
        <v>13803.229924242423</v>
      </c>
      <c r="J82" s="147">
        <f>I82+F82</f>
        <v>13803.229924242423</v>
      </c>
      <c r="K82" s="39" t="s">
        <v>2</v>
      </c>
      <c r="L82" s="56"/>
      <c r="M82" s="39">
        <f>F82</f>
        <v>0</v>
      </c>
      <c r="N82" s="147">
        <f>I82</f>
        <v>13803.229924242423</v>
      </c>
    </row>
    <row r="83" spans="2:14" x14ac:dyDescent="0.25">
      <c r="B83" s="39"/>
      <c r="C83" s="39"/>
      <c r="D83" s="39"/>
      <c r="E83" s="39"/>
      <c r="F83" s="39"/>
      <c r="G83" s="150">
        <f>IF(D80&lt;2600,D80,2600)</f>
        <v>2600</v>
      </c>
      <c r="H83" s="150"/>
      <c r="I83" s="147">
        <f>D80-G83</f>
        <v>11203.229924242423</v>
      </c>
      <c r="J83" s="147">
        <f>I83+G83</f>
        <v>13803.229924242423</v>
      </c>
      <c r="K83" s="39" t="s">
        <v>2</v>
      </c>
      <c r="L83" s="56"/>
      <c r="M83" s="56"/>
      <c r="N83" s="149"/>
    </row>
    <row r="84" spans="2:14" x14ac:dyDescent="0.25">
      <c r="B84" s="39"/>
      <c r="C84" s="39"/>
      <c r="D84" s="39"/>
      <c r="E84" s="39"/>
      <c r="F84" s="39"/>
      <c r="G84" s="150"/>
      <c r="H84" s="150">
        <f>IF(D80&lt;3000,D80,3000)</f>
        <v>3000</v>
      </c>
      <c r="I84" s="147">
        <f>D80-H84</f>
        <v>10803.229924242423</v>
      </c>
      <c r="J84" s="147">
        <f>I84+H84</f>
        <v>13803.229924242423</v>
      </c>
      <c r="K84" s="39" t="s">
        <v>2</v>
      </c>
      <c r="L84" s="56"/>
      <c r="M84" s="56"/>
      <c r="N84" s="149"/>
    </row>
    <row r="85" spans="2:14" x14ac:dyDescent="0.25">
      <c r="G85" s="151"/>
      <c r="H85" s="151"/>
      <c r="I85" s="144"/>
      <c r="J85" s="144"/>
      <c r="N85" s="144"/>
    </row>
    <row r="86" spans="2:14" x14ac:dyDescent="0.25">
      <c r="B86" s="25" t="s">
        <v>119</v>
      </c>
      <c r="C86" s="25"/>
      <c r="D86" s="327">
        <v>0.5</v>
      </c>
      <c r="E86" s="25"/>
      <c r="F86" s="25">
        <f>N23*D86</f>
        <v>0</v>
      </c>
      <c r="G86" s="152"/>
      <c r="H86" s="152"/>
      <c r="I86" s="145">
        <f>D80*D86-F86</f>
        <v>6901.6149621212116</v>
      </c>
      <c r="J86" s="145">
        <f>F86+I86</f>
        <v>6901.6149621212116</v>
      </c>
      <c r="K86" s="25" t="s">
        <v>2</v>
      </c>
      <c r="M86" s="25">
        <f>F86</f>
        <v>0</v>
      </c>
      <c r="N86" s="145">
        <f>I86</f>
        <v>6901.6149621212116</v>
      </c>
    </row>
    <row r="87" spans="2:14" x14ac:dyDescent="0.25">
      <c r="B87" s="25"/>
      <c r="C87" s="25"/>
      <c r="D87" s="328"/>
      <c r="E87" s="25"/>
      <c r="F87" s="25"/>
      <c r="G87" s="152">
        <f>IF(D80&lt;2600,D80*D86,2600*D86)</f>
        <v>1300</v>
      </c>
      <c r="H87" s="152"/>
      <c r="I87" s="145">
        <f>D80*D86-G87</f>
        <v>5601.6149621212116</v>
      </c>
      <c r="J87" s="145">
        <f>I87+G87</f>
        <v>6901.6149621212116</v>
      </c>
      <c r="K87" s="25" t="s">
        <v>2</v>
      </c>
      <c r="N87" s="144"/>
    </row>
    <row r="88" spans="2:14" x14ac:dyDescent="0.25">
      <c r="B88" s="25"/>
      <c r="C88" s="25"/>
      <c r="D88" s="329"/>
      <c r="E88" s="25"/>
      <c r="F88" s="25"/>
      <c r="G88" s="152"/>
      <c r="H88" s="152">
        <f>IF(D80&lt;3000,D80*D86,3000*D86)</f>
        <v>1500</v>
      </c>
      <c r="I88" s="145">
        <f>D80*D86-H88</f>
        <v>5401.6149621212116</v>
      </c>
      <c r="J88" s="145">
        <f>I88+H88</f>
        <v>6901.6149621212116</v>
      </c>
      <c r="K88" s="25" t="s">
        <v>2</v>
      </c>
      <c r="N88" s="144"/>
    </row>
    <row r="89" spans="2:14" x14ac:dyDescent="0.25">
      <c r="B89" s="25" t="s">
        <v>120</v>
      </c>
      <c r="C89" s="25"/>
      <c r="D89" s="327">
        <v>0.5</v>
      </c>
      <c r="E89" s="25"/>
      <c r="F89" s="25">
        <f>N23*D89</f>
        <v>0</v>
      </c>
      <c r="G89" s="152"/>
      <c r="H89" s="152"/>
      <c r="I89" s="145">
        <f>D80*D89-F89</f>
        <v>6901.6149621212116</v>
      </c>
      <c r="J89" s="145">
        <f>F89+I89</f>
        <v>6901.6149621212116</v>
      </c>
      <c r="K89" s="25" t="s">
        <v>2</v>
      </c>
      <c r="M89" s="25">
        <f>F89</f>
        <v>0</v>
      </c>
      <c r="N89" s="145">
        <f>I89</f>
        <v>6901.6149621212116</v>
      </c>
    </row>
    <row r="90" spans="2:14" x14ac:dyDescent="0.25">
      <c r="B90" s="25"/>
      <c r="C90" s="25"/>
      <c r="D90" s="328"/>
      <c r="E90" s="25"/>
      <c r="F90" s="25"/>
      <c r="G90" s="152">
        <f>IF(D80&lt;2600,D80-G87,2600-G87)</f>
        <v>1300</v>
      </c>
      <c r="H90" s="152"/>
      <c r="I90" s="145">
        <f>D80*D89-G90</f>
        <v>5601.6149621212116</v>
      </c>
      <c r="J90" s="145">
        <f>I90+G90</f>
        <v>6901.6149621212116</v>
      </c>
      <c r="K90" s="25" t="s">
        <v>2</v>
      </c>
      <c r="N90" s="144"/>
    </row>
    <row r="91" spans="2:14" x14ac:dyDescent="0.25">
      <c r="B91" s="25"/>
      <c r="C91" s="25"/>
      <c r="D91" s="329"/>
      <c r="E91" s="25"/>
      <c r="F91" s="25"/>
      <c r="G91" s="152"/>
      <c r="H91" s="152">
        <f>IF(D80&lt;3000,D80-H88,3000-H88)</f>
        <v>1500</v>
      </c>
      <c r="I91" s="145">
        <f>D80*D89-H91</f>
        <v>5401.6149621212116</v>
      </c>
      <c r="J91" s="145">
        <f>I91+H91</f>
        <v>6901.6149621212116</v>
      </c>
      <c r="K91" s="25" t="s">
        <v>2</v>
      </c>
      <c r="N91" s="144"/>
    </row>
    <row r="92" spans="2:14" x14ac:dyDescent="0.25">
      <c r="D92" s="24"/>
      <c r="G92" s="151"/>
      <c r="H92" s="151"/>
      <c r="I92" s="144"/>
      <c r="J92" s="144"/>
      <c r="N92" s="144"/>
    </row>
    <row r="93" spans="2:14" x14ac:dyDescent="0.25">
      <c r="B93" s="39" t="s">
        <v>121</v>
      </c>
      <c r="C93" s="39"/>
      <c r="D93" s="330">
        <v>0.35</v>
      </c>
      <c r="E93" s="39"/>
      <c r="F93" s="39">
        <f>N30*D93</f>
        <v>0</v>
      </c>
      <c r="G93" s="150"/>
      <c r="H93" s="150"/>
      <c r="I93" s="147">
        <f>D80*D93-F93</f>
        <v>4831.1304734848482</v>
      </c>
      <c r="J93" s="147">
        <f>F93+I93</f>
        <v>4831.1304734848482</v>
      </c>
      <c r="K93" s="39" t="s">
        <v>2</v>
      </c>
      <c r="L93" s="56"/>
      <c r="M93" s="39">
        <f>F93</f>
        <v>0</v>
      </c>
      <c r="N93" s="147">
        <f>I93</f>
        <v>4831.1304734848482</v>
      </c>
    </row>
    <row r="94" spans="2:14" x14ac:dyDescent="0.25">
      <c r="B94" s="39"/>
      <c r="C94" s="39"/>
      <c r="D94" s="331"/>
      <c r="E94" s="39"/>
      <c r="F94" s="39"/>
      <c r="G94" s="150">
        <f>IF(D80&lt;2600,D80*D93,2600*D93)</f>
        <v>909.99999999999989</v>
      </c>
      <c r="H94" s="150"/>
      <c r="I94" s="147">
        <f>D80*D93-G94</f>
        <v>3921.1304734848482</v>
      </c>
      <c r="J94" s="147">
        <f>I94+G94</f>
        <v>4831.1304734848482</v>
      </c>
      <c r="K94" s="39" t="s">
        <v>2</v>
      </c>
      <c r="L94" s="56"/>
      <c r="M94" s="56"/>
      <c r="N94" s="149"/>
    </row>
    <row r="95" spans="2:14" x14ac:dyDescent="0.25">
      <c r="B95" s="39"/>
      <c r="C95" s="39"/>
      <c r="D95" s="332"/>
      <c r="E95" s="39"/>
      <c r="F95" s="39"/>
      <c r="G95" s="150"/>
      <c r="H95" s="150">
        <f>IF(D80&lt;3000,D80*D93,3000*D93)</f>
        <v>1050</v>
      </c>
      <c r="I95" s="147">
        <f>D80*D93-H95</f>
        <v>3781.1304734848482</v>
      </c>
      <c r="J95" s="147">
        <f>I95+H95</f>
        <v>4831.1304734848482</v>
      </c>
      <c r="K95" s="39" t="s">
        <v>2</v>
      </c>
      <c r="L95" s="56"/>
      <c r="M95" s="56"/>
      <c r="N95" s="149"/>
    </row>
    <row r="96" spans="2:14" x14ac:dyDescent="0.25">
      <c r="B96" s="39" t="s">
        <v>122</v>
      </c>
      <c r="C96" s="39"/>
      <c r="D96" s="330">
        <v>0.65</v>
      </c>
      <c r="E96" s="39"/>
      <c r="F96" s="39">
        <f>N30*D96</f>
        <v>0</v>
      </c>
      <c r="G96" s="150"/>
      <c r="H96" s="150"/>
      <c r="I96" s="147">
        <f>D80*D96-F96</f>
        <v>8972.0994507575761</v>
      </c>
      <c r="J96" s="147">
        <f>F96+I96</f>
        <v>8972.0994507575761</v>
      </c>
      <c r="K96" s="39" t="s">
        <v>2</v>
      </c>
      <c r="L96" s="56"/>
      <c r="M96" s="39">
        <f>F96</f>
        <v>0</v>
      </c>
      <c r="N96" s="147">
        <f>I96</f>
        <v>8972.0994507575761</v>
      </c>
    </row>
    <row r="97" spans="2:14" x14ac:dyDescent="0.25">
      <c r="B97" s="39"/>
      <c r="C97" s="39"/>
      <c r="D97" s="331"/>
      <c r="E97" s="39"/>
      <c r="F97" s="39"/>
      <c r="G97" s="150">
        <f>IF(D80&lt;2600,D80-G94,2600-G94)</f>
        <v>1690</v>
      </c>
      <c r="H97" s="150"/>
      <c r="I97" s="147">
        <f>D80*D96-G97</f>
        <v>7282.0994507575761</v>
      </c>
      <c r="J97" s="147">
        <f>I97+G97</f>
        <v>8972.0994507575761</v>
      </c>
      <c r="K97" s="39" t="s">
        <v>2</v>
      </c>
      <c r="L97" s="56"/>
      <c r="M97" s="56"/>
      <c r="N97" s="56"/>
    </row>
    <row r="98" spans="2:14" x14ac:dyDescent="0.25">
      <c r="B98" s="39"/>
      <c r="C98" s="39"/>
      <c r="D98" s="332"/>
      <c r="E98" s="39"/>
      <c r="F98" s="39"/>
      <c r="G98" s="150"/>
      <c r="H98" s="150">
        <f>IF(D80&lt;3000,D80-H95,3000-H95)</f>
        <v>1950</v>
      </c>
      <c r="I98" s="147">
        <f>D80*D96-H98</f>
        <v>7022.0994507575761</v>
      </c>
      <c r="J98" s="147">
        <f>I98+H98</f>
        <v>8972.0994507575761</v>
      </c>
      <c r="K98" s="39" t="s">
        <v>2</v>
      </c>
      <c r="L98" s="56"/>
      <c r="M98" s="56"/>
      <c r="N98" s="56"/>
    </row>
    <row r="102" spans="2:14" x14ac:dyDescent="0.25">
      <c r="J102" s="22" t="s">
        <v>260</v>
      </c>
    </row>
    <row r="103" spans="2:14" x14ac:dyDescent="0.25">
      <c r="J103" s="22" t="s">
        <v>259</v>
      </c>
    </row>
    <row r="104" spans="2:14" x14ac:dyDescent="0.25">
      <c r="J104" s="22" t="s">
        <v>261</v>
      </c>
    </row>
    <row r="105" spans="2:14" x14ac:dyDescent="0.25">
      <c r="J105" s="22" t="s">
        <v>262</v>
      </c>
    </row>
  </sheetData>
  <sheetProtection algorithmName="SHA-512" hashValue="j8u4lHBmKy9AGsizodJVBd5C9dTH1G+VxKmInvY4uQ8VL+Q/TMr8vB4P6fr6V0xCW/i8COLjCpNGZxBACDarGg==" saltValue="EyZrixnSrjfd57ySiUBKAQ==" spinCount="100000" sheet="1" objects="1" scenarios="1"/>
  <mergeCells count="23">
    <mergeCell ref="M2:O2"/>
    <mergeCell ref="J2:L2"/>
    <mergeCell ref="G2:I2"/>
    <mergeCell ref="B9:N9"/>
    <mergeCell ref="B55:N55"/>
    <mergeCell ref="D17:D19"/>
    <mergeCell ref="D20:D22"/>
    <mergeCell ref="D24:D26"/>
    <mergeCell ref="D27:D29"/>
    <mergeCell ref="B32:N32"/>
    <mergeCell ref="D40:D42"/>
    <mergeCell ref="D43:D45"/>
    <mergeCell ref="D47:D49"/>
    <mergeCell ref="D50:D52"/>
    <mergeCell ref="D89:D91"/>
    <mergeCell ref="D93:D95"/>
    <mergeCell ref="D96:D98"/>
    <mergeCell ref="D63:D65"/>
    <mergeCell ref="D66:D68"/>
    <mergeCell ref="D70:D72"/>
    <mergeCell ref="D73:D75"/>
    <mergeCell ref="B78:N78"/>
    <mergeCell ref="D86:D8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BF003-1819-4272-A2DF-354D3D4CD7A1}">
  <dimension ref="B2:AL76"/>
  <sheetViews>
    <sheetView zoomScale="70" zoomScaleNormal="70" zoomScaleSheetLayoutView="50" workbookViewId="0">
      <selection activeCell="V69" sqref="V69"/>
    </sheetView>
  </sheetViews>
  <sheetFormatPr defaultRowHeight="12" x14ac:dyDescent="0.25"/>
  <cols>
    <col min="1" max="3" width="8.88671875" style="22"/>
    <col min="4" max="4" width="9.44140625" style="22" bestFit="1" customWidth="1"/>
    <col min="5" max="5" width="8.88671875" style="22"/>
    <col min="6" max="6" width="10.44140625" style="22" customWidth="1"/>
    <col min="7" max="16384" width="8.88671875" style="22"/>
  </cols>
  <sheetData>
    <row r="2" spans="2:38" x14ac:dyDescent="0.25">
      <c r="C2" s="28" t="s">
        <v>83</v>
      </c>
      <c r="D2" s="30">
        <v>44912</v>
      </c>
      <c r="F2" s="29" t="s">
        <v>134</v>
      </c>
      <c r="H2" s="22" t="s">
        <v>63</v>
      </c>
      <c r="I2" s="51" t="s">
        <v>135</v>
      </c>
    </row>
    <row r="3" spans="2:38" x14ac:dyDescent="0.25">
      <c r="C3" s="29" t="s">
        <v>84</v>
      </c>
      <c r="H3" s="22" t="s">
        <v>62</v>
      </c>
      <c r="I3" s="51" t="s">
        <v>135</v>
      </c>
    </row>
    <row r="4" spans="2:38" x14ac:dyDescent="0.25">
      <c r="C4" s="29"/>
      <c r="R4" s="23"/>
    </row>
    <row r="5" spans="2:38" x14ac:dyDescent="0.25">
      <c r="B5" s="342" t="s">
        <v>116</v>
      </c>
      <c r="C5" s="342"/>
      <c r="D5" s="342"/>
      <c r="E5" s="342"/>
      <c r="F5" s="342"/>
      <c r="G5" s="342"/>
      <c r="H5" s="342"/>
      <c r="I5" s="342"/>
      <c r="J5" s="342"/>
      <c r="K5" s="342"/>
      <c r="L5" s="35"/>
      <c r="M5" s="35"/>
      <c r="N5" s="35"/>
      <c r="P5" s="333" t="s">
        <v>180</v>
      </c>
      <c r="Q5" s="333"/>
      <c r="R5" s="333"/>
      <c r="S5" s="333"/>
      <c r="T5" s="333"/>
      <c r="U5" s="333"/>
      <c r="V5" s="333"/>
      <c r="X5" s="333" t="s">
        <v>181</v>
      </c>
      <c r="Y5" s="333"/>
      <c r="Z5" s="333"/>
      <c r="AA5" s="333"/>
      <c r="AB5" s="333"/>
      <c r="AC5" s="333"/>
      <c r="AD5" s="333"/>
      <c r="AF5" s="333" t="s">
        <v>182</v>
      </c>
      <c r="AG5" s="333"/>
      <c r="AH5" s="333"/>
      <c r="AI5" s="333"/>
      <c r="AJ5" s="333"/>
      <c r="AK5" s="333"/>
      <c r="AL5" s="333"/>
    </row>
    <row r="7" spans="2:38" s="23" customFormat="1" x14ac:dyDescent="0.25">
      <c r="B7" s="343" t="s">
        <v>74</v>
      </c>
      <c r="C7" s="344"/>
      <c r="H7" s="341" t="s">
        <v>128</v>
      </c>
      <c r="I7" s="341"/>
      <c r="J7" s="341"/>
      <c r="L7" s="341" t="s">
        <v>129</v>
      </c>
      <c r="M7" s="341"/>
      <c r="N7" s="341"/>
      <c r="P7" s="341" t="s">
        <v>128</v>
      </c>
      <c r="Q7" s="341"/>
      <c r="R7" s="341"/>
      <c r="T7" s="341" t="s">
        <v>129</v>
      </c>
      <c r="U7" s="341"/>
      <c r="V7" s="341"/>
      <c r="X7" s="341" t="s">
        <v>128</v>
      </c>
      <c r="Y7" s="341"/>
      <c r="Z7" s="341"/>
      <c r="AB7" s="341" t="s">
        <v>129</v>
      </c>
      <c r="AC7" s="341"/>
      <c r="AD7" s="341"/>
      <c r="AF7" s="341" t="s">
        <v>128</v>
      </c>
      <c r="AG7" s="341"/>
      <c r="AH7" s="341"/>
      <c r="AJ7" s="341" t="s">
        <v>129</v>
      </c>
      <c r="AK7" s="341"/>
      <c r="AL7" s="341"/>
    </row>
    <row r="8" spans="2:38" s="23" customFormat="1" x14ac:dyDescent="0.25">
      <c r="B8" s="26"/>
      <c r="C8" s="26"/>
      <c r="H8" s="34" t="s">
        <v>77</v>
      </c>
      <c r="I8" s="34" t="s">
        <v>78</v>
      </c>
      <c r="J8" s="34" t="s">
        <v>79</v>
      </c>
      <c r="L8" s="34" t="s">
        <v>77</v>
      </c>
      <c r="M8" s="34" t="s">
        <v>78</v>
      </c>
      <c r="N8" s="34" t="s">
        <v>79</v>
      </c>
      <c r="P8" s="34" t="s">
        <v>77</v>
      </c>
      <c r="Q8" s="34" t="s">
        <v>78</v>
      </c>
      <c r="R8" s="34" t="s">
        <v>79</v>
      </c>
      <c r="T8" s="34" t="s">
        <v>77</v>
      </c>
      <c r="U8" s="34" t="s">
        <v>78</v>
      </c>
      <c r="V8" s="34" t="s">
        <v>79</v>
      </c>
      <c r="X8" s="34" t="s">
        <v>77</v>
      </c>
      <c r="Y8" s="34" t="s">
        <v>78</v>
      </c>
      <c r="Z8" s="34" t="s">
        <v>79</v>
      </c>
      <c r="AB8" s="34" t="s">
        <v>77</v>
      </c>
      <c r="AC8" s="34" t="s">
        <v>78</v>
      </c>
      <c r="AD8" s="34" t="s">
        <v>79</v>
      </c>
      <c r="AF8" s="34" t="s">
        <v>77</v>
      </c>
      <c r="AG8" s="34" t="s">
        <v>78</v>
      </c>
      <c r="AH8" s="34" t="s">
        <v>79</v>
      </c>
      <c r="AJ8" s="34" t="s">
        <v>77</v>
      </c>
      <c r="AK8" s="34" t="s">
        <v>78</v>
      </c>
      <c r="AL8" s="34" t="s">
        <v>79</v>
      </c>
    </row>
    <row r="9" spans="2:38" s="23" customFormat="1" x14ac:dyDescent="0.25">
      <c r="B9" s="26"/>
      <c r="C9" s="26"/>
      <c r="H9" s="340" t="s">
        <v>80</v>
      </c>
      <c r="I9" s="340"/>
      <c r="J9" s="340"/>
      <c r="L9" s="340" t="s">
        <v>80</v>
      </c>
      <c r="M9" s="340"/>
      <c r="N9" s="340"/>
      <c r="P9" s="340" t="s">
        <v>80</v>
      </c>
      <c r="Q9" s="340"/>
      <c r="R9" s="340"/>
      <c r="T9" s="340" t="s">
        <v>80</v>
      </c>
      <c r="U9" s="340"/>
      <c r="V9" s="340"/>
      <c r="X9" s="340" t="s">
        <v>80</v>
      </c>
      <c r="Y9" s="340"/>
      <c r="Z9" s="340"/>
      <c r="AB9" s="340" t="s">
        <v>80</v>
      </c>
      <c r="AC9" s="340"/>
      <c r="AD9" s="340"/>
      <c r="AF9" s="340" t="s">
        <v>80</v>
      </c>
      <c r="AG9" s="340"/>
      <c r="AH9" s="340"/>
      <c r="AJ9" s="340" t="s">
        <v>80</v>
      </c>
      <c r="AK9" s="340"/>
      <c r="AL9" s="340"/>
    </row>
    <row r="10" spans="2:38" s="23" customFormat="1" x14ac:dyDescent="0.25">
      <c r="B10" s="26" t="s">
        <v>75</v>
      </c>
      <c r="C10" s="26" t="s">
        <v>57</v>
      </c>
      <c r="H10" s="27">
        <v>0.41420000000000001</v>
      </c>
      <c r="I10" s="27"/>
      <c r="J10" s="27"/>
      <c r="L10" s="40">
        <f>0.693</f>
        <v>0.69299999999999995</v>
      </c>
      <c r="M10" s="43"/>
      <c r="N10" s="43"/>
      <c r="P10" s="27">
        <f>$H$10</f>
        <v>0.41420000000000001</v>
      </c>
      <c r="Q10" s="27"/>
      <c r="R10" s="27"/>
      <c r="T10" s="40">
        <f>$L$10</f>
        <v>0.69299999999999995</v>
      </c>
      <c r="U10" s="43"/>
      <c r="V10" s="43"/>
      <c r="X10" s="27">
        <f>$H$10</f>
        <v>0.41420000000000001</v>
      </c>
      <c r="Y10" s="27"/>
      <c r="Z10" s="27"/>
      <c r="AB10" s="40">
        <f>$L$10</f>
        <v>0.69299999999999995</v>
      </c>
      <c r="AC10" s="43"/>
      <c r="AD10" s="43"/>
      <c r="AF10" s="27">
        <f>$H$10</f>
        <v>0.41420000000000001</v>
      </c>
      <c r="AG10" s="27"/>
      <c r="AH10" s="27"/>
      <c r="AJ10" s="40">
        <f>$L$10</f>
        <v>0.69299999999999995</v>
      </c>
      <c r="AK10" s="43"/>
      <c r="AL10" s="43"/>
    </row>
    <row r="11" spans="2:38" s="23" customFormat="1" x14ac:dyDescent="0.25">
      <c r="B11" s="26"/>
      <c r="C11" s="26"/>
      <c r="H11" s="60">
        <f>EE!M13</f>
        <v>2000</v>
      </c>
      <c r="I11" s="27"/>
      <c r="J11" s="27"/>
      <c r="L11" s="60">
        <f>EE!N13</f>
        <v>2750</v>
      </c>
      <c r="M11" s="43"/>
      <c r="N11" s="43"/>
      <c r="P11" s="60">
        <f>EE!M36</f>
        <v>0</v>
      </c>
      <c r="Q11" s="27"/>
      <c r="R11" s="27"/>
      <c r="T11" s="60">
        <f>EE!N36</f>
        <v>3441.0245115546213</v>
      </c>
      <c r="U11" s="43"/>
      <c r="V11" s="43"/>
      <c r="X11" s="60">
        <f>EE!M59</f>
        <v>0</v>
      </c>
      <c r="Y11" s="27"/>
      <c r="Z11" s="27"/>
      <c r="AB11" s="60">
        <f>EE!N59</f>
        <v>3794.8854817487272</v>
      </c>
      <c r="AC11" s="43"/>
      <c r="AD11" s="43"/>
      <c r="AF11" s="60">
        <f>EE!M82</f>
        <v>0</v>
      </c>
      <c r="AG11" s="27"/>
      <c r="AH11" s="27"/>
      <c r="AJ11" s="60">
        <f>EE!N82</f>
        <v>13803.229924242423</v>
      </c>
      <c r="AK11" s="43"/>
      <c r="AL11" s="43"/>
    </row>
    <row r="12" spans="2:38" s="23" customFormat="1" x14ac:dyDescent="0.25">
      <c r="B12" s="26" t="s">
        <v>75</v>
      </c>
      <c r="C12" s="26" t="s">
        <v>58</v>
      </c>
      <c r="H12" s="27"/>
      <c r="I12" s="27">
        <v>0.51770000000000005</v>
      </c>
      <c r="J12" s="27">
        <v>0.24</v>
      </c>
      <c r="L12" s="40"/>
      <c r="M12" s="42">
        <f>0.693+0.005</f>
        <v>0.69799999999999995</v>
      </c>
      <c r="N12" s="42">
        <f>0.6068</f>
        <v>0.60680000000000001</v>
      </c>
      <c r="P12" s="27"/>
      <c r="Q12" s="27">
        <f>$I$12</f>
        <v>0.51770000000000005</v>
      </c>
      <c r="R12" s="27">
        <f>$J$12</f>
        <v>0.24</v>
      </c>
      <c r="T12" s="40"/>
      <c r="U12" s="42">
        <f>$M$12</f>
        <v>0.69799999999999995</v>
      </c>
      <c r="V12" s="42">
        <f>$N$12</f>
        <v>0.60680000000000001</v>
      </c>
      <c r="X12" s="27"/>
      <c r="Y12" s="27">
        <f>$I$12</f>
        <v>0.51770000000000005</v>
      </c>
      <c r="Z12" s="27">
        <f>$J$12</f>
        <v>0.24</v>
      </c>
      <c r="AB12" s="40"/>
      <c r="AC12" s="42">
        <f>$M$12</f>
        <v>0.69799999999999995</v>
      </c>
      <c r="AD12" s="42">
        <f>$N$12</f>
        <v>0.60680000000000001</v>
      </c>
      <c r="AF12" s="27"/>
      <c r="AG12" s="27">
        <f>$I$12</f>
        <v>0.51770000000000005</v>
      </c>
      <c r="AH12" s="27">
        <f>$J$12</f>
        <v>0.24</v>
      </c>
      <c r="AJ12" s="40"/>
      <c r="AK12" s="42">
        <f>$M$12</f>
        <v>0.69799999999999995</v>
      </c>
      <c r="AL12" s="42">
        <f>$N$12</f>
        <v>0.60680000000000001</v>
      </c>
    </row>
    <row r="13" spans="2:38" s="23" customFormat="1" x14ac:dyDescent="0.25">
      <c r="B13" s="26"/>
      <c r="C13" s="26"/>
      <c r="H13" s="27"/>
      <c r="I13" s="60">
        <f>EE!M17</f>
        <v>1000</v>
      </c>
      <c r="J13" s="60">
        <f>EE!M20</f>
        <v>1000</v>
      </c>
      <c r="L13" s="40"/>
      <c r="M13" s="59">
        <f>EE!N17</f>
        <v>1375</v>
      </c>
      <c r="N13" s="59">
        <f>EE!N20</f>
        <v>1375</v>
      </c>
      <c r="P13" s="27"/>
      <c r="Q13" s="60">
        <f>EE!M40</f>
        <v>0</v>
      </c>
      <c r="R13" s="60">
        <f>EE!M43</f>
        <v>0</v>
      </c>
      <c r="T13" s="40"/>
      <c r="U13" s="59">
        <f>EE!N40</f>
        <v>1720.5122557773107</v>
      </c>
      <c r="V13" s="59">
        <f>EE!N43</f>
        <v>1720.5122557773107</v>
      </c>
      <c r="X13" s="27"/>
      <c r="Y13" s="60">
        <f>EE!M63</f>
        <v>0</v>
      </c>
      <c r="Z13" s="60">
        <f>EE!M66</f>
        <v>0</v>
      </c>
      <c r="AB13" s="40"/>
      <c r="AC13" s="59">
        <f>EE!N63</f>
        <v>2087.1870149618003</v>
      </c>
      <c r="AD13" s="59">
        <f>EE!N66</f>
        <v>1707.6984667869274</v>
      </c>
      <c r="AF13" s="27"/>
      <c r="AG13" s="60">
        <f>EE!M86</f>
        <v>0</v>
      </c>
      <c r="AH13" s="60">
        <f>EE!M89</f>
        <v>0</v>
      </c>
      <c r="AJ13" s="40"/>
      <c r="AK13" s="59">
        <f>EE!N86</f>
        <v>6901.6149621212116</v>
      </c>
      <c r="AL13" s="59">
        <f>EE!N89</f>
        <v>6901.6149621212116</v>
      </c>
    </row>
    <row r="14" spans="2:38" x14ac:dyDescent="0.25">
      <c r="B14" s="26" t="s">
        <v>75</v>
      </c>
      <c r="C14" s="26" t="s">
        <v>59</v>
      </c>
      <c r="D14" s="23"/>
      <c r="H14" s="27"/>
      <c r="I14" s="27">
        <v>0.59499999999999997</v>
      </c>
      <c r="J14" s="27">
        <v>0.25040000000000001</v>
      </c>
      <c r="L14" s="40"/>
      <c r="M14" s="42">
        <f>0.693+0.005</f>
        <v>0.69799999999999995</v>
      </c>
      <c r="N14" s="42">
        <v>0.63370000000000004</v>
      </c>
      <c r="P14" s="27"/>
      <c r="Q14" s="27">
        <f>$I$14</f>
        <v>0.59499999999999997</v>
      </c>
      <c r="R14" s="27">
        <f>$J$14</f>
        <v>0.25040000000000001</v>
      </c>
      <c r="T14" s="40"/>
      <c r="U14" s="42">
        <f>$M$14</f>
        <v>0.69799999999999995</v>
      </c>
      <c r="V14" s="42">
        <f>$N$14</f>
        <v>0.63370000000000004</v>
      </c>
      <c r="X14" s="27"/>
      <c r="Y14" s="27">
        <f>$I$14</f>
        <v>0.59499999999999997</v>
      </c>
      <c r="Z14" s="27">
        <f>$J$14</f>
        <v>0.25040000000000001</v>
      </c>
      <c r="AB14" s="40"/>
      <c r="AC14" s="42">
        <f>$M$14</f>
        <v>0.69799999999999995</v>
      </c>
      <c r="AD14" s="42">
        <f>$N$14</f>
        <v>0.63370000000000004</v>
      </c>
      <c r="AF14" s="27"/>
      <c r="AG14" s="27">
        <f>$I$14</f>
        <v>0.59499999999999997</v>
      </c>
      <c r="AH14" s="27">
        <f>$J$14</f>
        <v>0.25040000000000001</v>
      </c>
      <c r="AJ14" s="40"/>
      <c r="AK14" s="42">
        <f>$M$14</f>
        <v>0.69799999999999995</v>
      </c>
      <c r="AL14" s="42">
        <f>$N$14</f>
        <v>0.63370000000000004</v>
      </c>
    </row>
    <row r="15" spans="2:38" x14ac:dyDescent="0.25">
      <c r="B15" s="25"/>
      <c r="C15" s="25"/>
      <c r="H15" s="25"/>
      <c r="I15" s="58">
        <f>EE!M24</f>
        <v>800</v>
      </c>
      <c r="J15" s="58">
        <f>EE!M27</f>
        <v>1200</v>
      </c>
      <c r="K15" s="47"/>
      <c r="L15" s="25"/>
      <c r="M15" s="32">
        <f>EE!N24</f>
        <v>1100</v>
      </c>
      <c r="N15" s="32">
        <f>EE!N27</f>
        <v>1650</v>
      </c>
      <c r="P15" s="25"/>
      <c r="Q15" s="58">
        <f>EE!M47</f>
        <v>0</v>
      </c>
      <c r="R15" s="58">
        <f>EE!M50</f>
        <v>0</v>
      </c>
      <c r="S15" s="47"/>
      <c r="T15" s="25"/>
      <c r="U15" s="154">
        <f>EE!N47</f>
        <v>1204.3585790441173</v>
      </c>
      <c r="V15" s="154">
        <f>EE!N50</f>
        <v>2236.6659325105038</v>
      </c>
      <c r="X15" s="25"/>
      <c r="Y15" s="58">
        <f>EE!M70</f>
        <v>0</v>
      </c>
      <c r="Z15" s="58">
        <f>EE!M73</f>
        <v>0</v>
      </c>
      <c r="AA15" s="47"/>
      <c r="AB15" s="25"/>
      <c r="AC15" s="154">
        <f>EE!N70</f>
        <v>1707.6984667869274</v>
      </c>
      <c r="AD15" s="154">
        <f>EE!N73</f>
        <v>2087.1870149618003</v>
      </c>
      <c r="AF15" s="25"/>
      <c r="AG15" s="58">
        <f>EE!M93</f>
        <v>0</v>
      </c>
      <c r="AH15" s="58">
        <f>EE!M96</f>
        <v>0</v>
      </c>
      <c r="AI15" s="47"/>
      <c r="AJ15" s="25"/>
      <c r="AK15" s="154">
        <f>EE!N93</f>
        <v>4831.1304734848482</v>
      </c>
      <c r="AL15" s="154">
        <f>EE!N96</f>
        <v>8972.0994507575761</v>
      </c>
    </row>
    <row r="16" spans="2:38" x14ac:dyDescent="0.25">
      <c r="I16" s="45"/>
      <c r="J16" s="45"/>
      <c r="K16" s="47"/>
    </row>
    <row r="17" spans="2:38" x14ac:dyDescent="0.25">
      <c r="B17" s="25" t="s">
        <v>81</v>
      </c>
      <c r="C17" s="25"/>
      <c r="H17" s="27">
        <v>5</v>
      </c>
      <c r="I17" s="22" t="s">
        <v>82</v>
      </c>
      <c r="J17" s="45"/>
      <c r="K17" s="47"/>
    </row>
    <row r="19" spans="2:38" x14ac:dyDescent="0.25">
      <c r="B19" s="342" t="s">
        <v>117</v>
      </c>
      <c r="C19" s="342"/>
      <c r="D19" s="342"/>
      <c r="E19" s="342"/>
      <c r="F19" s="342"/>
      <c r="G19" s="342"/>
      <c r="H19" s="342"/>
      <c r="I19" s="342"/>
      <c r="J19" s="342"/>
      <c r="K19" s="342"/>
      <c r="L19" s="342"/>
      <c r="M19" s="342"/>
      <c r="N19" s="342"/>
    </row>
    <row r="21" spans="2:38" x14ac:dyDescent="0.25">
      <c r="H21" s="341" t="s">
        <v>136</v>
      </c>
      <c r="I21" s="341"/>
      <c r="J21" s="341"/>
      <c r="L21" s="341" t="s">
        <v>137</v>
      </c>
      <c r="M21" s="341"/>
      <c r="N21" s="341"/>
      <c r="P21" s="341" t="s">
        <v>136</v>
      </c>
      <c r="Q21" s="341"/>
      <c r="R21" s="341"/>
      <c r="T21" s="341" t="s">
        <v>137</v>
      </c>
      <c r="U21" s="341"/>
      <c r="V21" s="341"/>
      <c r="X21" s="341" t="s">
        <v>136</v>
      </c>
      <c r="Y21" s="341"/>
      <c r="Z21" s="341"/>
      <c r="AB21" s="341" t="s">
        <v>137</v>
      </c>
      <c r="AC21" s="341"/>
      <c r="AD21" s="341"/>
      <c r="AF21" s="341" t="s">
        <v>136</v>
      </c>
      <c r="AG21" s="341"/>
      <c r="AH21" s="341"/>
      <c r="AJ21" s="341" t="s">
        <v>137</v>
      </c>
      <c r="AK21" s="341"/>
      <c r="AL21" s="341"/>
    </row>
    <row r="22" spans="2:38" x14ac:dyDescent="0.25">
      <c r="B22" s="33"/>
      <c r="C22" s="33"/>
      <c r="D22" s="33"/>
      <c r="E22" s="33"/>
      <c r="F22" s="33"/>
      <c r="H22" s="33" t="s">
        <v>57</v>
      </c>
      <c r="I22" s="33" t="s">
        <v>58</v>
      </c>
      <c r="J22" s="33" t="s">
        <v>59</v>
      </c>
      <c r="L22" s="33" t="s">
        <v>57</v>
      </c>
      <c r="M22" s="33" t="s">
        <v>58</v>
      </c>
      <c r="N22" s="33" t="s">
        <v>59</v>
      </c>
      <c r="P22" s="33" t="s">
        <v>57</v>
      </c>
      <c r="Q22" s="33" t="s">
        <v>58</v>
      </c>
      <c r="R22" s="33" t="s">
        <v>59</v>
      </c>
      <c r="T22" s="33" t="s">
        <v>57</v>
      </c>
      <c r="U22" s="33" t="s">
        <v>58</v>
      </c>
      <c r="V22" s="33" t="s">
        <v>59</v>
      </c>
      <c r="X22" s="33" t="s">
        <v>57</v>
      </c>
      <c r="Y22" s="33" t="s">
        <v>58</v>
      </c>
      <c r="Z22" s="33" t="s">
        <v>59</v>
      </c>
      <c r="AB22" s="33" t="s">
        <v>57</v>
      </c>
      <c r="AC22" s="33" t="s">
        <v>58</v>
      </c>
      <c r="AD22" s="33" t="s">
        <v>59</v>
      </c>
      <c r="AF22" s="33" t="s">
        <v>57</v>
      </c>
      <c r="AG22" s="33" t="s">
        <v>58</v>
      </c>
      <c r="AH22" s="33" t="s">
        <v>59</v>
      </c>
      <c r="AJ22" s="33" t="s">
        <v>57</v>
      </c>
      <c r="AK22" s="33" t="s">
        <v>58</v>
      </c>
      <c r="AL22" s="33" t="s">
        <v>59</v>
      </c>
    </row>
    <row r="23" spans="2:38" x14ac:dyDescent="0.25">
      <c r="B23" s="39" t="s">
        <v>90</v>
      </c>
      <c r="C23" s="39" t="s">
        <v>85</v>
      </c>
      <c r="D23" s="39"/>
      <c r="E23" s="39"/>
      <c r="F23" s="39" t="s">
        <v>86</v>
      </c>
      <c r="G23" s="56"/>
      <c r="H23" s="39">
        <v>6.51</v>
      </c>
      <c r="I23" s="39">
        <v>9.11</v>
      </c>
      <c r="J23" s="39">
        <v>15.76</v>
      </c>
      <c r="K23" s="56"/>
      <c r="L23" s="39">
        <v>10.14</v>
      </c>
      <c r="M23" s="39">
        <v>14.18</v>
      </c>
      <c r="N23" s="39">
        <v>24.54</v>
      </c>
      <c r="O23" s="55"/>
      <c r="P23" s="39">
        <f>$H$23</f>
        <v>6.51</v>
      </c>
      <c r="Q23" s="39">
        <f>$I$23</f>
        <v>9.11</v>
      </c>
      <c r="R23" s="39">
        <f>$J$23</f>
        <v>15.76</v>
      </c>
      <c r="S23" s="56"/>
      <c r="T23" s="39">
        <f>$L$23</f>
        <v>10.14</v>
      </c>
      <c r="U23" s="39">
        <f>$M$23</f>
        <v>14.18</v>
      </c>
      <c r="V23" s="39">
        <f>$N$23</f>
        <v>24.54</v>
      </c>
      <c r="X23" s="39">
        <f>$H$23</f>
        <v>6.51</v>
      </c>
      <c r="Y23" s="39">
        <f>$I$23</f>
        <v>9.11</v>
      </c>
      <c r="Z23" s="39">
        <f>$J$23</f>
        <v>15.76</v>
      </c>
      <c r="AA23" s="56"/>
      <c r="AB23" s="39">
        <f>$L$23</f>
        <v>10.14</v>
      </c>
      <c r="AC23" s="39">
        <f>$M$23</f>
        <v>14.18</v>
      </c>
      <c r="AD23" s="39">
        <f>$N$23</f>
        <v>24.54</v>
      </c>
      <c r="AF23" s="39">
        <f>$H$23</f>
        <v>6.51</v>
      </c>
      <c r="AG23" s="39">
        <f>$I$23</f>
        <v>9.11</v>
      </c>
      <c r="AH23" s="39">
        <f>$J$23</f>
        <v>15.76</v>
      </c>
      <c r="AI23" s="56"/>
      <c r="AJ23" s="39">
        <f>$L$23</f>
        <v>10.14</v>
      </c>
      <c r="AK23" s="39">
        <f>$M$23</f>
        <v>14.18</v>
      </c>
      <c r="AL23" s="39">
        <f>$N$23</f>
        <v>24.54</v>
      </c>
    </row>
    <row r="24" spans="2:38" x14ac:dyDescent="0.25">
      <c r="B24" s="39" t="s">
        <v>88</v>
      </c>
      <c r="C24" s="39" t="s">
        <v>87</v>
      </c>
      <c r="D24" s="39"/>
      <c r="E24" s="39"/>
      <c r="F24" s="39" t="s">
        <v>108</v>
      </c>
      <c r="G24" s="56"/>
      <c r="H24" s="39">
        <f>IF(H26&lt;&gt;0,IF(L26&lt;&gt;0,6,12),0)</f>
        <v>6</v>
      </c>
      <c r="I24" s="39">
        <f>H24</f>
        <v>6</v>
      </c>
      <c r="J24" s="39">
        <f>H24</f>
        <v>6</v>
      </c>
      <c r="K24" s="56"/>
      <c r="L24" s="39">
        <f>12-H24</f>
        <v>6</v>
      </c>
      <c r="M24" s="39">
        <f>L24</f>
        <v>6</v>
      </c>
      <c r="N24" s="39">
        <f>L24</f>
        <v>6</v>
      </c>
      <c r="P24" s="39">
        <f>IF(P26&lt;&gt;0,IF(T26&lt;&gt;0,6,12),0)</f>
        <v>0</v>
      </c>
      <c r="Q24" s="39">
        <f>P24</f>
        <v>0</v>
      </c>
      <c r="R24" s="39">
        <f>P24</f>
        <v>0</v>
      </c>
      <c r="S24" s="56"/>
      <c r="T24" s="39">
        <f>12-P24</f>
        <v>12</v>
      </c>
      <c r="U24" s="39">
        <f>T24</f>
        <v>12</v>
      </c>
      <c r="V24" s="39">
        <f>T24</f>
        <v>12</v>
      </c>
      <c r="X24" s="39">
        <f>IF(X26&lt;&gt;0,IF(AB26&lt;&gt;0,6,12),0)</f>
        <v>0</v>
      </c>
      <c r="Y24" s="39">
        <f>X24</f>
        <v>0</v>
      </c>
      <c r="Z24" s="39">
        <f>X24</f>
        <v>0</v>
      </c>
      <c r="AA24" s="56"/>
      <c r="AB24" s="39">
        <f>12-X24</f>
        <v>12</v>
      </c>
      <c r="AC24" s="39">
        <f>AB24</f>
        <v>12</v>
      </c>
      <c r="AD24" s="39">
        <f>AB24</f>
        <v>12</v>
      </c>
      <c r="AF24" s="39">
        <f>IF(AF26&lt;&gt;0,IF(AJ26&lt;&gt;0,6,12),0)</f>
        <v>0</v>
      </c>
      <c r="AG24" s="39">
        <f>AF24</f>
        <v>0</v>
      </c>
      <c r="AH24" s="39">
        <f>AF24</f>
        <v>0</v>
      </c>
      <c r="AI24" s="56"/>
      <c r="AJ24" s="39">
        <f>12-AF24</f>
        <v>12</v>
      </c>
      <c r="AK24" s="39">
        <f>AJ24</f>
        <v>12</v>
      </c>
      <c r="AL24" s="39">
        <f>AJ24</f>
        <v>12</v>
      </c>
    </row>
    <row r="25" spans="2:38" x14ac:dyDescent="0.25">
      <c r="B25" s="25" t="s">
        <v>89</v>
      </c>
      <c r="C25" s="25" t="s">
        <v>113</v>
      </c>
      <c r="D25" s="25"/>
      <c r="E25" s="25"/>
      <c r="F25" s="25" t="s">
        <v>1</v>
      </c>
      <c r="H25" s="25">
        <v>0.17449999999999999</v>
      </c>
      <c r="I25" s="25"/>
      <c r="J25" s="25"/>
      <c r="L25" s="25">
        <v>0.26910000000000001</v>
      </c>
      <c r="M25" s="25"/>
      <c r="N25" s="25"/>
      <c r="P25" s="25">
        <f>$H$25</f>
        <v>0.17449999999999999</v>
      </c>
      <c r="Q25" s="25"/>
      <c r="R25" s="25"/>
      <c r="T25" s="25">
        <f>$L$25</f>
        <v>0.26910000000000001</v>
      </c>
      <c r="U25" s="25"/>
      <c r="V25" s="25"/>
      <c r="X25" s="25">
        <f>$H$25</f>
        <v>0.17449999999999999</v>
      </c>
      <c r="Y25" s="25"/>
      <c r="Z25" s="25"/>
      <c r="AB25" s="25">
        <v>0.26910000000000001</v>
      </c>
      <c r="AC25" s="25"/>
      <c r="AD25" s="25"/>
      <c r="AF25" s="25">
        <f>$H$25</f>
        <v>0.17449999999999999</v>
      </c>
      <c r="AG25" s="25"/>
      <c r="AH25" s="25"/>
      <c r="AJ25" s="25">
        <v>0.26910000000000001</v>
      </c>
      <c r="AK25" s="25"/>
      <c r="AL25" s="25"/>
    </row>
    <row r="26" spans="2:38" x14ac:dyDescent="0.25">
      <c r="B26" s="25" t="s">
        <v>132</v>
      </c>
      <c r="C26" s="25" t="s">
        <v>92</v>
      </c>
      <c r="D26" s="25"/>
      <c r="E26" s="25"/>
      <c r="F26" s="25" t="s">
        <v>2</v>
      </c>
      <c r="H26" s="32">
        <f>EE!M13</f>
        <v>2000</v>
      </c>
      <c r="I26" s="25"/>
      <c r="J26" s="25"/>
      <c r="L26" s="32">
        <f>EE!N13</f>
        <v>2750</v>
      </c>
      <c r="M26" s="25"/>
      <c r="N26" s="25"/>
      <c r="P26" s="32">
        <f>EE!M36</f>
        <v>0</v>
      </c>
      <c r="Q26" s="25"/>
      <c r="R26" s="25"/>
      <c r="T26" s="154">
        <f>EE!N36</f>
        <v>3441.0245115546213</v>
      </c>
      <c r="U26" s="25"/>
      <c r="V26" s="25"/>
      <c r="X26" s="32">
        <f>EE!M59</f>
        <v>0</v>
      </c>
      <c r="Y26" s="25"/>
      <c r="Z26" s="25"/>
      <c r="AB26" s="154">
        <f>EE!N59</f>
        <v>3794.8854817487272</v>
      </c>
      <c r="AC26" s="25"/>
      <c r="AD26" s="25"/>
      <c r="AF26" s="32">
        <f>EE!M82</f>
        <v>0</v>
      </c>
      <c r="AG26" s="25"/>
      <c r="AH26" s="25"/>
      <c r="AJ26" s="154">
        <f>EE!N82</f>
        <v>13803.229924242423</v>
      </c>
      <c r="AK26" s="25"/>
      <c r="AL26" s="25"/>
    </row>
    <row r="27" spans="2:38" x14ac:dyDescent="0.25">
      <c r="B27" s="39" t="s">
        <v>89</v>
      </c>
      <c r="C27" s="39" t="s">
        <v>114</v>
      </c>
      <c r="D27" s="39"/>
      <c r="E27" s="39"/>
      <c r="F27" s="39" t="s">
        <v>1</v>
      </c>
      <c r="G27" s="56"/>
      <c r="H27" s="39"/>
      <c r="I27" s="39">
        <v>0.1978</v>
      </c>
      <c r="J27" s="39">
        <v>0.19209999999999999</v>
      </c>
      <c r="K27" s="56"/>
      <c r="L27" s="39"/>
      <c r="M27" s="39">
        <v>0.30499999999999999</v>
      </c>
      <c r="N27" s="39">
        <v>0.29620000000000002</v>
      </c>
      <c r="P27" s="39"/>
      <c r="Q27" s="39">
        <f>$I$27</f>
        <v>0.1978</v>
      </c>
      <c r="R27" s="39">
        <f>$J$27</f>
        <v>0.19209999999999999</v>
      </c>
      <c r="S27" s="56"/>
      <c r="T27" s="39"/>
      <c r="U27" s="39">
        <f>$M$27</f>
        <v>0.30499999999999999</v>
      </c>
      <c r="V27" s="39">
        <f>$N$27</f>
        <v>0.29620000000000002</v>
      </c>
      <c r="X27" s="39"/>
      <c r="Y27" s="39">
        <f>$I$27</f>
        <v>0.1978</v>
      </c>
      <c r="Z27" s="39">
        <f>$J$27</f>
        <v>0.19209999999999999</v>
      </c>
      <c r="AA27" s="56"/>
      <c r="AB27" s="39"/>
      <c r="AC27" s="39">
        <f>$M$27</f>
        <v>0.30499999999999999</v>
      </c>
      <c r="AD27" s="39">
        <f>$N$27</f>
        <v>0.29620000000000002</v>
      </c>
      <c r="AF27" s="39"/>
      <c r="AG27" s="39">
        <f>$I$27</f>
        <v>0.1978</v>
      </c>
      <c r="AH27" s="39">
        <f>$J$27</f>
        <v>0.19209999999999999</v>
      </c>
      <c r="AI27" s="56"/>
      <c r="AJ27" s="39"/>
      <c r="AK27" s="39">
        <f>$M$27</f>
        <v>0.30499999999999999</v>
      </c>
      <c r="AL27" s="39">
        <f>$N$27</f>
        <v>0.29620000000000002</v>
      </c>
    </row>
    <row r="28" spans="2:38" x14ac:dyDescent="0.25">
      <c r="B28" s="39" t="s">
        <v>109</v>
      </c>
      <c r="C28" s="39" t="s">
        <v>92</v>
      </c>
      <c r="D28" s="39"/>
      <c r="E28" s="39"/>
      <c r="F28" s="39" t="s">
        <v>2</v>
      </c>
      <c r="G28" s="56"/>
      <c r="H28" s="39"/>
      <c r="I28" s="32">
        <f>EE!M17</f>
        <v>1000</v>
      </c>
      <c r="J28" s="32">
        <f>EE!M24</f>
        <v>800</v>
      </c>
      <c r="K28" s="56"/>
      <c r="L28" s="39"/>
      <c r="M28" s="32">
        <f>EE!N17</f>
        <v>1375</v>
      </c>
      <c r="N28" s="32">
        <f>EE!N24</f>
        <v>1100</v>
      </c>
      <c r="P28" s="39"/>
      <c r="Q28" s="32">
        <f>EE!M40</f>
        <v>0</v>
      </c>
      <c r="R28" s="32">
        <f>EE!M47</f>
        <v>0</v>
      </c>
      <c r="S28" s="56"/>
      <c r="T28" s="39"/>
      <c r="U28" s="154">
        <f>EE!N40</f>
        <v>1720.5122557773107</v>
      </c>
      <c r="V28" s="154">
        <f>EE!N47</f>
        <v>1204.3585790441173</v>
      </c>
      <c r="X28" s="39"/>
      <c r="Y28" s="32">
        <f>EE!M63</f>
        <v>0</v>
      </c>
      <c r="Z28" s="32">
        <f>EE!M70</f>
        <v>0</v>
      </c>
      <c r="AA28" s="56"/>
      <c r="AB28" s="39"/>
      <c r="AC28" s="154">
        <f>EE!N63</f>
        <v>2087.1870149618003</v>
      </c>
      <c r="AD28" s="154">
        <f>EE!N70</f>
        <v>1707.6984667869274</v>
      </c>
      <c r="AF28" s="39"/>
      <c r="AG28" s="32">
        <f>EE!M86</f>
        <v>0</v>
      </c>
      <c r="AH28" s="32">
        <f>EE!M93</f>
        <v>0</v>
      </c>
      <c r="AI28" s="56"/>
      <c r="AJ28" s="39"/>
      <c r="AK28" s="154">
        <f>EE!N86</f>
        <v>6901.6149621212116</v>
      </c>
      <c r="AL28" s="154">
        <f>EE!N93</f>
        <v>4831.1304734848482</v>
      </c>
    </row>
    <row r="29" spans="2:38" x14ac:dyDescent="0.25">
      <c r="B29" s="25" t="s">
        <v>89</v>
      </c>
      <c r="C29" s="25" t="s">
        <v>115</v>
      </c>
      <c r="D29" s="25"/>
      <c r="E29" s="25"/>
      <c r="F29" s="25" t="s">
        <v>1</v>
      </c>
      <c r="H29" s="25"/>
      <c r="I29" s="25">
        <v>6.5100000000000005E-2</v>
      </c>
      <c r="J29" s="25">
        <v>5.79E-2</v>
      </c>
      <c r="L29" s="25"/>
      <c r="M29" s="25">
        <v>0.1004</v>
      </c>
      <c r="N29" s="25">
        <v>8.9300000000000004E-2</v>
      </c>
      <c r="P29" s="25"/>
      <c r="Q29" s="25">
        <f>$I$29</f>
        <v>6.5100000000000005E-2</v>
      </c>
      <c r="R29" s="25">
        <f>$J$29</f>
        <v>5.79E-2</v>
      </c>
      <c r="T29" s="25"/>
      <c r="U29" s="25">
        <f>$M$29</f>
        <v>0.1004</v>
      </c>
      <c r="V29" s="25">
        <f>$N$29</f>
        <v>8.9300000000000004E-2</v>
      </c>
      <c r="X29" s="25"/>
      <c r="Y29" s="25">
        <f>$I$29</f>
        <v>6.5100000000000005E-2</v>
      </c>
      <c r="Z29" s="25">
        <f>$J$29</f>
        <v>5.79E-2</v>
      </c>
      <c r="AB29" s="25"/>
      <c r="AC29" s="25">
        <f>$M$29</f>
        <v>0.1004</v>
      </c>
      <c r="AD29" s="25">
        <f>$N$29</f>
        <v>8.9300000000000004E-2</v>
      </c>
      <c r="AF29" s="25"/>
      <c r="AG29" s="25">
        <f>$I$29</f>
        <v>6.5100000000000005E-2</v>
      </c>
      <c r="AH29" s="25">
        <f>$J$29</f>
        <v>5.79E-2</v>
      </c>
      <c r="AJ29" s="25"/>
      <c r="AK29" s="25">
        <f>$M$29</f>
        <v>0.1004</v>
      </c>
      <c r="AL29" s="25">
        <f>$N$29</f>
        <v>8.9300000000000004E-2</v>
      </c>
    </row>
    <row r="30" spans="2:38" x14ac:dyDescent="0.25">
      <c r="B30" s="25" t="s">
        <v>109</v>
      </c>
      <c r="C30" s="25" t="s">
        <v>92</v>
      </c>
      <c r="D30" s="25"/>
      <c r="E30" s="25"/>
      <c r="F30" s="25" t="s">
        <v>2</v>
      </c>
      <c r="H30" s="25"/>
      <c r="I30" s="32">
        <f>EE!M20</f>
        <v>1000</v>
      </c>
      <c r="J30" s="32">
        <f>EE!M27</f>
        <v>1200</v>
      </c>
      <c r="L30" s="25"/>
      <c r="M30" s="32">
        <f>EE!N20</f>
        <v>1375</v>
      </c>
      <c r="N30" s="32">
        <f>EE!N27</f>
        <v>1650</v>
      </c>
      <c r="P30" s="25"/>
      <c r="Q30" s="32">
        <f>EE!M43</f>
        <v>0</v>
      </c>
      <c r="R30" s="32">
        <f>EE!M50</f>
        <v>0</v>
      </c>
      <c r="T30" s="25"/>
      <c r="U30" s="154">
        <f>EE!N43</f>
        <v>1720.5122557773107</v>
      </c>
      <c r="V30" s="154">
        <f>EE!N50</f>
        <v>2236.6659325105038</v>
      </c>
      <c r="X30" s="25"/>
      <c r="Y30" s="32">
        <f>EE!M66</f>
        <v>0</v>
      </c>
      <c r="Z30" s="32">
        <f>EE!M73</f>
        <v>0</v>
      </c>
      <c r="AB30" s="25"/>
      <c r="AC30" s="154">
        <f>EE!N66</f>
        <v>1707.6984667869274</v>
      </c>
      <c r="AD30" s="154">
        <f>EE!N73</f>
        <v>2087.1870149618003</v>
      </c>
      <c r="AF30" s="25"/>
      <c r="AG30" s="32">
        <f>EE!M89</f>
        <v>0</v>
      </c>
      <c r="AH30" s="32">
        <f>EE!M96</f>
        <v>0</v>
      </c>
      <c r="AJ30" s="25"/>
      <c r="AK30" s="154">
        <f>EE!N89</f>
        <v>6901.6149621212116</v>
      </c>
      <c r="AL30" s="154">
        <f>EE!N96</f>
        <v>8972.0994507575761</v>
      </c>
    </row>
    <row r="31" spans="2:38" x14ac:dyDescent="0.25">
      <c r="B31" s="39" t="s">
        <v>93</v>
      </c>
      <c r="C31" s="39" t="s">
        <v>94</v>
      </c>
      <c r="D31" s="39"/>
      <c r="E31" s="39"/>
      <c r="F31" s="39" t="s">
        <v>1</v>
      </c>
      <c r="G31" s="56"/>
      <c r="H31" s="39">
        <v>9.4999999999999998E-3</v>
      </c>
      <c r="I31" s="39">
        <v>9.4999999999999998E-3</v>
      </c>
      <c r="J31" s="39">
        <v>9.4999999999999998E-3</v>
      </c>
      <c r="K31" s="56"/>
      <c r="L31" s="39">
        <v>2.4199999999999999E-2</v>
      </c>
      <c r="M31" s="39">
        <v>2.4199999999999999E-2</v>
      </c>
      <c r="N31" s="39">
        <v>2.4199999999999999E-2</v>
      </c>
      <c r="P31" s="39">
        <v>9.4999999999999998E-3</v>
      </c>
      <c r="Q31" s="39">
        <v>9.4999999999999998E-3</v>
      </c>
      <c r="R31" s="39">
        <v>9.4999999999999998E-3</v>
      </c>
      <c r="S31" s="56"/>
      <c r="T31" s="39">
        <f>$L$31</f>
        <v>2.4199999999999999E-2</v>
      </c>
      <c r="U31" s="39">
        <f>$M$31</f>
        <v>2.4199999999999999E-2</v>
      </c>
      <c r="V31" s="39">
        <f>$N$31</f>
        <v>2.4199999999999999E-2</v>
      </c>
      <c r="X31" s="39">
        <v>9.4999999999999998E-3</v>
      </c>
      <c r="Y31" s="39">
        <v>9.4999999999999998E-3</v>
      </c>
      <c r="Z31" s="39">
        <v>9.4999999999999998E-3</v>
      </c>
      <c r="AA31" s="56"/>
      <c r="AB31" s="39">
        <f>$L$31</f>
        <v>2.4199999999999999E-2</v>
      </c>
      <c r="AC31" s="39">
        <f>$M$31</f>
        <v>2.4199999999999999E-2</v>
      </c>
      <c r="AD31" s="39">
        <f>$N$31</f>
        <v>2.4199999999999999E-2</v>
      </c>
      <c r="AF31" s="39">
        <v>9.4999999999999998E-3</v>
      </c>
      <c r="AG31" s="39">
        <v>9.4999999999999998E-3</v>
      </c>
      <c r="AH31" s="39">
        <v>9.4999999999999998E-3</v>
      </c>
      <c r="AI31" s="56"/>
      <c r="AJ31" s="39">
        <f>$L$31</f>
        <v>2.4199999999999999E-2</v>
      </c>
      <c r="AK31" s="39">
        <f>$M$31</f>
        <v>2.4199999999999999E-2</v>
      </c>
      <c r="AL31" s="39">
        <f>$N$31</f>
        <v>2.4199999999999999E-2</v>
      </c>
    </row>
    <row r="32" spans="2:38" x14ac:dyDescent="0.25">
      <c r="B32" s="39" t="s">
        <v>91</v>
      </c>
      <c r="C32" s="39" t="s">
        <v>92</v>
      </c>
      <c r="D32" s="39"/>
      <c r="E32" s="39"/>
      <c r="F32" s="39" t="s">
        <v>2</v>
      </c>
      <c r="G32" s="56"/>
      <c r="H32" s="32">
        <f>H26</f>
        <v>2000</v>
      </c>
      <c r="I32" s="32">
        <f>I28+I30</f>
        <v>2000</v>
      </c>
      <c r="J32" s="32">
        <f>J28+J30</f>
        <v>2000</v>
      </c>
      <c r="K32" s="56"/>
      <c r="L32" s="32">
        <f>L26</f>
        <v>2750</v>
      </c>
      <c r="M32" s="32">
        <f>M28+M30</f>
        <v>2750</v>
      </c>
      <c r="N32" s="32">
        <f>N28+N30</f>
        <v>2750</v>
      </c>
      <c r="P32" s="32">
        <f>P26</f>
        <v>0</v>
      </c>
      <c r="Q32" s="32">
        <f>Q28+Q30</f>
        <v>0</v>
      </c>
      <c r="R32" s="32">
        <f>R28+R30</f>
        <v>0</v>
      </c>
      <c r="S32" s="56"/>
      <c r="T32" s="32">
        <f>T26</f>
        <v>3441.0245115546213</v>
      </c>
      <c r="U32" s="32">
        <f>U28+U30</f>
        <v>3441.0245115546213</v>
      </c>
      <c r="V32" s="32">
        <f>V28+V30</f>
        <v>3441.0245115546213</v>
      </c>
      <c r="X32" s="32">
        <f>X26</f>
        <v>0</v>
      </c>
      <c r="Y32" s="32">
        <f>Y28+Y30</f>
        <v>0</v>
      </c>
      <c r="Z32" s="32">
        <f>Z28+Z30</f>
        <v>0</v>
      </c>
      <c r="AA32" s="56"/>
      <c r="AB32" s="32">
        <f>AB26</f>
        <v>3794.8854817487272</v>
      </c>
      <c r="AC32" s="32">
        <f>AC28+AC30</f>
        <v>3794.8854817487277</v>
      </c>
      <c r="AD32" s="32">
        <f>AD28+AD30</f>
        <v>3794.8854817487277</v>
      </c>
      <c r="AF32" s="32">
        <f>AF26</f>
        <v>0</v>
      </c>
      <c r="AG32" s="32">
        <f>AG28+AG30</f>
        <v>0</v>
      </c>
      <c r="AH32" s="32">
        <f>AH28+AH30</f>
        <v>0</v>
      </c>
      <c r="AI32" s="56"/>
      <c r="AJ32" s="32">
        <f>AJ26</f>
        <v>13803.229924242423</v>
      </c>
      <c r="AK32" s="32">
        <f>AK28+AK30</f>
        <v>13803.229924242423</v>
      </c>
      <c r="AL32" s="32">
        <f>AL28+AL30</f>
        <v>13803.229924242423</v>
      </c>
    </row>
    <row r="33" spans="2:38" x14ac:dyDescent="0.25">
      <c r="B33" s="25" t="s">
        <v>95</v>
      </c>
      <c r="C33" s="25" t="s">
        <v>96</v>
      </c>
      <c r="D33" s="25"/>
      <c r="E33" s="25"/>
      <c r="F33" s="25" t="s">
        <v>86</v>
      </c>
      <c r="H33" s="25">
        <v>0.33</v>
      </c>
      <c r="I33" s="25">
        <f>H33</f>
        <v>0.33</v>
      </c>
      <c r="J33" s="25">
        <f>I33</f>
        <v>0.33</v>
      </c>
      <c r="L33" s="25">
        <v>0.33</v>
      </c>
      <c r="M33" s="25">
        <f>L33</f>
        <v>0.33</v>
      </c>
      <c r="N33" s="25">
        <f>M33</f>
        <v>0.33</v>
      </c>
      <c r="P33" s="25">
        <v>0.33</v>
      </c>
      <c r="Q33" s="25">
        <f>P33</f>
        <v>0.33</v>
      </c>
      <c r="R33" s="25">
        <f>Q33</f>
        <v>0.33</v>
      </c>
      <c r="T33" s="25">
        <v>0.33</v>
      </c>
      <c r="U33" s="25">
        <f>T33</f>
        <v>0.33</v>
      </c>
      <c r="V33" s="25">
        <f>U33</f>
        <v>0.33</v>
      </c>
      <c r="X33" s="25">
        <v>0.33</v>
      </c>
      <c r="Y33" s="25">
        <f>X33</f>
        <v>0.33</v>
      </c>
      <c r="Z33" s="25">
        <f>Y33</f>
        <v>0.33</v>
      </c>
      <c r="AB33" s="25">
        <v>0.33</v>
      </c>
      <c r="AC33" s="25">
        <f>AB33</f>
        <v>0.33</v>
      </c>
      <c r="AD33" s="25">
        <f>AC33</f>
        <v>0.33</v>
      </c>
      <c r="AF33" s="25">
        <v>0.33</v>
      </c>
      <c r="AG33" s="25">
        <f>AF33</f>
        <v>0.33</v>
      </c>
      <c r="AH33" s="25">
        <f>AG33</f>
        <v>0.33</v>
      </c>
      <c r="AJ33" s="25">
        <v>0.33</v>
      </c>
      <c r="AK33" s="25">
        <f>AJ33</f>
        <v>0.33</v>
      </c>
      <c r="AL33" s="25">
        <f>AK33</f>
        <v>0.33</v>
      </c>
    </row>
    <row r="34" spans="2:38" x14ac:dyDescent="0.25">
      <c r="B34" s="39" t="s">
        <v>97</v>
      </c>
      <c r="C34" s="39" t="s">
        <v>98</v>
      </c>
      <c r="D34" s="39"/>
      <c r="E34" s="39"/>
      <c r="F34" s="39" t="s">
        <v>1</v>
      </c>
      <c r="G34" s="56"/>
      <c r="H34" s="39">
        <v>0</v>
      </c>
      <c r="I34" s="39">
        <v>0</v>
      </c>
      <c r="J34" s="39">
        <v>0</v>
      </c>
      <c r="K34" s="56"/>
      <c r="L34" s="39">
        <v>0</v>
      </c>
      <c r="M34" s="39">
        <v>0</v>
      </c>
      <c r="N34" s="39">
        <v>0</v>
      </c>
      <c r="P34" s="39">
        <v>0</v>
      </c>
      <c r="Q34" s="39">
        <v>0</v>
      </c>
      <c r="R34" s="39">
        <v>0</v>
      </c>
      <c r="S34" s="56"/>
      <c r="T34" s="39">
        <v>0</v>
      </c>
      <c r="U34" s="39">
        <v>0</v>
      </c>
      <c r="V34" s="39">
        <v>0</v>
      </c>
      <c r="X34" s="39">
        <v>0</v>
      </c>
      <c r="Y34" s="39">
        <v>0</v>
      </c>
      <c r="Z34" s="39">
        <v>0</v>
      </c>
      <c r="AA34" s="56"/>
      <c r="AB34" s="39">
        <v>0</v>
      </c>
      <c r="AC34" s="39">
        <v>0</v>
      </c>
      <c r="AD34" s="39">
        <v>0</v>
      </c>
      <c r="AF34" s="39">
        <v>0</v>
      </c>
      <c r="AG34" s="39">
        <v>0</v>
      </c>
      <c r="AH34" s="39">
        <v>0</v>
      </c>
      <c r="AI34" s="56"/>
      <c r="AJ34" s="39">
        <v>0</v>
      </c>
      <c r="AK34" s="39">
        <v>0</v>
      </c>
      <c r="AL34" s="39">
        <v>0</v>
      </c>
    </row>
    <row r="35" spans="2:38" x14ac:dyDescent="0.25">
      <c r="B35" s="57" t="s">
        <v>99</v>
      </c>
      <c r="C35" s="57" t="s">
        <v>92</v>
      </c>
      <c r="D35" s="57"/>
      <c r="E35" s="57"/>
      <c r="F35" s="57" t="s">
        <v>2</v>
      </c>
      <c r="G35" s="56"/>
      <c r="H35" s="32">
        <f>H26</f>
        <v>2000</v>
      </c>
      <c r="I35" s="32">
        <f>H26</f>
        <v>2000</v>
      </c>
      <c r="J35" s="32">
        <f>H26</f>
        <v>2000</v>
      </c>
      <c r="K35" s="56"/>
      <c r="L35" s="32">
        <f>L26</f>
        <v>2750</v>
      </c>
      <c r="M35" s="32">
        <f>L26</f>
        <v>2750</v>
      </c>
      <c r="N35" s="32">
        <f>L26</f>
        <v>2750</v>
      </c>
      <c r="P35" s="32">
        <f>P26</f>
        <v>0</v>
      </c>
      <c r="Q35" s="32">
        <f>P26</f>
        <v>0</v>
      </c>
      <c r="R35" s="32">
        <f>P26</f>
        <v>0</v>
      </c>
      <c r="S35" s="56"/>
      <c r="T35" s="32">
        <f>T26</f>
        <v>3441.0245115546213</v>
      </c>
      <c r="U35" s="32">
        <f>T26</f>
        <v>3441.0245115546213</v>
      </c>
      <c r="V35" s="32">
        <f>T26</f>
        <v>3441.0245115546213</v>
      </c>
      <c r="X35" s="32">
        <f>X26</f>
        <v>0</v>
      </c>
      <c r="Y35" s="32">
        <f>X26</f>
        <v>0</v>
      </c>
      <c r="Z35" s="32">
        <f>X26</f>
        <v>0</v>
      </c>
      <c r="AA35" s="56"/>
      <c r="AB35" s="32">
        <f>AB26</f>
        <v>3794.8854817487272</v>
      </c>
      <c r="AC35" s="32">
        <f>AB26</f>
        <v>3794.8854817487272</v>
      </c>
      <c r="AD35" s="32">
        <f>AB26</f>
        <v>3794.8854817487272</v>
      </c>
      <c r="AF35" s="32">
        <f>AF26</f>
        <v>0</v>
      </c>
      <c r="AG35" s="32">
        <f>AF26</f>
        <v>0</v>
      </c>
      <c r="AH35" s="32">
        <f>AF26</f>
        <v>0</v>
      </c>
      <c r="AI35" s="56"/>
      <c r="AJ35" s="32">
        <f>AJ26</f>
        <v>13803.229924242423</v>
      </c>
      <c r="AK35" s="32">
        <f>AJ26</f>
        <v>13803.229924242423</v>
      </c>
      <c r="AL35" s="32">
        <f>AJ26</f>
        <v>13803.229924242423</v>
      </c>
    </row>
    <row r="36" spans="2:38" x14ac:dyDescent="0.25">
      <c r="B36" s="25" t="s">
        <v>100</v>
      </c>
      <c r="C36" s="25" t="s">
        <v>101</v>
      </c>
      <c r="D36" s="25"/>
      <c r="E36" s="25"/>
      <c r="F36" s="25" t="s">
        <v>1</v>
      </c>
      <c r="H36" s="25">
        <f>4.96/1000</f>
        <v>4.96E-3</v>
      </c>
      <c r="I36" s="25">
        <f>4.96/1000</f>
        <v>4.96E-3</v>
      </c>
      <c r="J36" s="25">
        <f>4.96/1000</f>
        <v>4.96E-3</v>
      </c>
      <c r="L36" s="25">
        <f>4.96/1000</f>
        <v>4.96E-3</v>
      </c>
      <c r="M36" s="25">
        <f>4.96/1000</f>
        <v>4.96E-3</v>
      </c>
      <c r="N36" s="25">
        <f>4.96/1000</f>
        <v>4.96E-3</v>
      </c>
      <c r="P36" s="25">
        <f>4.96/1000</f>
        <v>4.96E-3</v>
      </c>
      <c r="Q36" s="25">
        <f>4.96/1000</f>
        <v>4.96E-3</v>
      </c>
      <c r="R36" s="25">
        <f>4.96/1000</f>
        <v>4.96E-3</v>
      </c>
      <c r="T36" s="25">
        <f>4.96/1000</f>
        <v>4.96E-3</v>
      </c>
      <c r="U36" s="25">
        <f>4.96/1000</f>
        <v>4.96E-3</v>
      </c>
      <c r="V36" s="25">
        <f>4.96/1000</f>
        <v>4.96E-3</v>
      </c>
      <c r="X36" s="25">
        <f>4.96/1000</f>
        <v>4.96E-3</v>
      </c>
      <c r="Y36" s="25">
        <f>4.96/1000</f>
        <v>4.96E-3</v>
      </c>
      <c r="Z36" s="25">
        <f>4.96/1000</f>
        <v>4.96E-3</v>
      </c>
      <c r="AB36" s="25">
        <f>4.96/1000</f>
        <v>4.96E-3</v>
      </c>
      <c r="AC36" s="25">
        <f>4.96/1000</f>
        <v>4.96E-3</v>
      </c>
      <c r="AD36" s="25">
        <f>4.96/1000</f>
        <v>4.96E-3</v>
      </c>
      <c r="AF36" s="25">
        <f>4.96/1000</f>
        <v>4.96E-3</v>
      </c>
      <c r="AG36" s="25">
        <f>4.96/1000</f>
        <v>4.96E-3</v>
      </c>
      <c r="AH36" s="25">
        <f>4.96/1000</f>
        <v>4.96E-3</v>
      </c>
      <c r="AJ36" s="25">
        <f>4.96/1000</f>
        <v>4.96E-3</v>
      </c>
      <c r="AK36" s="25">
        <f>4.96/1000</f>
        <v>4.96E-3</v>
      </c>
      <c r="AL36" s="25">
        <f>4.96/1000</f>
        <v>4.96E-3</v>
      </c>
    </row>
    <row r="37" spans="2:38" x14ac:dyDescent="0.25">
      <c r="B37" s="25" t="s">
        <v>102</v>
      </c>
      <c r="C37" s="25" t="s">
        <v>103</v>
      </c>
      <c r="D37" s="25"/>
      <c r="E37" s="25"/>
      <c r="F37" s="25" t="s">
        <v>2</v>
      </c>
      <c r="H37" s="32">
        <f>H26</f>
        <v>2000</v>
      </c>
      <c r="I37" s="32">
        <f>H26</f>
        <v>2000</v>
      </c>
      <c r="J37" s="32">
        <f>H26</f>
        <v>2000</v>
      </c>
      <c r="L37" s="32">
        <f>L26</f>
        <v>2750</v>
      </c>
      <c r="M37" s="32">
        <f>L26</f>
        <v>2750</v>
      </c>
      <c r="N37" s="32">
        <f>L26</f>
        <v>2750</v>
      </c>
      <c r="P37" s="32">
        <f>P26</f>
        <v>0</v>
      </c>
      <c r="Q37" s="32">
        <f>P26</f>
        <v>0</v>
      </c>
      <c r="R37" s="32">
        <f>P26</f>
        <v>0</v>
      </c>
      <c r="T37" s="32">
        <f>T26</f>
        <v>3441.0245115546213</v>
      </c>
      <c r="U37" s="32">
        <f>T26</f>
        <v>3441.0245115546213</v>
      </c>
      <c r="V37" s="32">
        <f>T26</f>
        <v>3441.0245115546213</v>
      </c>
      <c r="X37" s="32">
        <f>X26</f>
        <v>0</v>
      </c>
      <c r="Y37" s="32">
        <f>X26</f>
        <v>0</v>
      </c>
      <c r="Z37" s="32">
        <f>X26</f>
        <v>0</v>
      </c>
      <c r="AB37" s="32">
        <f>AB26</f>
        <v>3794.8854817487272</v>
      </c>
      <c r="AC37" s="32">
        <f>AB26</f>
        <v>3794.8854817487272</v>
      </c>
      <c r="AD37" s="32">
        <f>AB26</f>
        <v>3794.8854817487272</v>
      </c>
      <c r="AF37" s="32">
        <f>AF26</f>
        <v>0</v>
      </c>
      <c r="AG37" s="32">
        <f>AF26</f>
        <v>0</v>
      </c>
      <c r="AH37" s="32">
        <f>AF26</f>
        <v>0</v>
      </c>
      <c r="AJ37" s="32">
        <f>AJ26</f>
        <v>13803.229924242423</v>
      </c>
      <c r="AK37" s="32">
        <f>AJ26</f>
        <v>13803.229924242423</v>
      </c>
      <c r="AL37" s="32">
        <f>AJ26</f>
        <v>13803.229924242423</v>
      </c>
    </row>
    <row r="38" spans="2:38" x14ac:dyDescent="0.25">
      <c r="B38" s="39" t="s">
        <v>104</v>
      </c>
      <c r="C38" s="39" t="s">
        <v>105</v>
      </c>
      <c r="D38" s="39"/>
      <c r="E38" s="39"/>
      <c r="F38" s="39" t="s">
        <v>86</v>
      </c>
      <c r="G38" s="56"/>
      <c r="H38" s="39">
        <f>IF(H26&lt;2800,IF(H26&lt;1200,IF(H26&lt;500,2.38,5.72),9.54),13.35)</f>
        <v>9.5399999999999991</v>
      </c>
      <c r="I38" s="39">
        <f>H38</f>
        <v>9.5399999999999991</v>
      </c>
      <c r="J38" s="39">
        <f>H38</f>
        <v>9.5399999999999991</v>
      </c>
      <c r="K38" s="56"/>
      <c r="L38" s="39">
        <f>H38</f>
        <v>9.5399999999999991</v>
      </c>
      <c r="M38" s="39">
        <f>H38</f>
        <v>9.5399999999999991</v>
      </c>
      <c r="N38" s="39">
        <f>H38</f>
        <v>9.5399999999999991</v>
      </c>
      <c r="P38" s="39">
        <f>IF(P26&lt;2800,IF(P26&lt;1200,IF(P26&lt;500,2.38,5.72),9.54),13.35)</f>
        <v>2.38</v>
      </c>
      <c r="Q38" s="39">
        <f>P38</f>
        <v>2.38</v>
      </c>
      <c r="R38" s="39">
        <f>P38</f>
        <v>2.38</v>
      </c>
      <c r="S38" s="56"/>
      <c r="T38" s="39">
        <f>$L$38</f>
        <v>9.5399999999999991</v>
      </c>
      <c r="U38" s="39">
        <f>$M$38</f>
        <v>9.5399999999999991</v>
      </c>
      <c r="V38" s="39">
        <f>$N$38</f>
        <v>9.5399999999999991</v>
      </c>
      <c r="X38" s="39">
        <f>IF(X26&lt;2800,IF(X26&lt;1200,IF(X26&lt;500,2.38,5.72),9.54),13.35)</f>
        <v>2.38</v>
      </c>
      <c r="Y38" s="39">
        <f>X38</f>
        <v>2.38</v>
      </c>
      <c r="Z38" s="39">
        <f>X38</f>
        <v>2.38</v>
      </c>
      <c r="AA38" s="56"/>
      <c r="AB38" s="39">
        <f>$L$38</f>
        <v>9.5399999999999991</v>
      </c>
      <c r="AC38" s="39">
        <f>$M$38</f>
        <v>9.5399999999999991</v>
      </c>
      <c r="AD38" s="39">
        <f>$N$38</f>
        <v>9.5399999999999991</v>
      </c>
      <c r="AF38" s="39">
        <f>IF(AF26&lt;2800,IF(AF26&lt;1200,IF(AF26&lt;500,2.38,5.72),9.54),13.35)</f>
        <v>2.38</v>
      </c>
      <c r="AG38" s="39">
        <f>AF38</f>
        <v>2.38</v>
      </c>
      <c r="AH38" s="39">
        <f>AF38</f>
        <v>2.38</v>
      </c>
      <c r="AI38" s="56"/>
      <c r="AJ38" s="39">
        <f>$L$38</f>
        <v>9.5399999999999991</v>
      </c>
      <c r="AK38" s="39">
        <f>$M$38</f>
        <v>9.5399999999999991</v>
      </c>
      <c r="AL38" s="39">
        <f>$N$38</f>
        <v>9.5399999999999991</v>
      </c>
    </row>
    <row r="39" spans="2:38" x14ac:dyDescent="0.25">
      <c r="B39" s="39" t="s">
        <v>106</v>
      </c>
      <c r="C39" s="39" t="s">
        <v>107</v>
      </c>
      <c r="D39" s="39"/>
      <c r="E39" s="39"/>
      <c r="F39" s="39" t="s">
        <v>108</v>
      </c>
      <c r="G39" s="56"/>
      <c r="H39" s="39">
        <f>IF(H26&lt;&gt;0,IF(L26&lt;&gt;0,6,12),0)</f>
        <v>6</v>
      </c>
      <c r="I39" s="39">
        <f>H39</f>
        <v>6</v>
      </c>
      <c r="J39" s="39">
        <f>I39</f>
        <v>6</v>
      </c>
      <c r="K39" s="56"/>
      <c r="L39" s="39">
        <f>12-H39</f>
        <v>6</v>
      </c>
      <c r="M39" s="39">
        <f>L39</f>
        <v>6</v>
      </c>
      <c r="N39" s="39">
        <f>L39</f>
        <v>6</v>
      </c>
      <c r="P39" s="39">
        <f>IF(P26&lt;&gt;0,IF(T26&lt;&gt;0,6,12),0)</f>
        <v>0</v>
      </c>
      <c r="Q39" s="39">
        <f>P39</f>
        <v>0</v>
      </c>
      <c r="R39" s="39">
        <f>Q39</f>
        <v>0</v>
      </c>
      <c r="S39" s="56"/>
      <c r="T39" s="39">
        <f>12-P39</f>
        <v>12</v>
      </c>
      <c r="U39" s="39">
        <f>T39</f>
        <v>12</v>
      </c>
      <c r="V39" s="39">
        <f>T39</f>
        <v>12</v>
      </c>
      <c r="X39" s="39">
        <f>IF(X26&lt;&gt;0,IF(AB26&lt;&gt;0,6,12),0)</f>
        <v>0</v>
      </c>
      <c r="Y39" s="39">
        <f>X39</f>
        <v>0</v>
      </c>
      <c r="Z39" s="39">
        <f>Y39</f>
        <v>0</v>
      </c>
      <c r="AA39" s="56"/>
      <c r="AB39" s="39">
        <f>12-X39</f>
        <v>12</v>
      </c>
      <c r="AC39" s="39">
        <f>AB39</f>
        <v>12</v>
      </c>
      <c r="AD39" s="39">
        <f>AB39</f>
        <v>12</v>
      </c>
      <c r="AF39" s="39">
        <f>IF(AF26&lt;&gt;0,IF(AJ26&lt;&gt;0,6,12),0)</f>
        <v>0</v>
      </c>
      <c r="AG39" s="39">
        <f>AF39</f>
        <v>0</v>
      </c>
      <c r="AH39" s="39">
        <f>AG39</f>
        <v>0</v>
      </c>
      <c r="AI39" s="56"/>
      <c r="AJ39" s="39">
        <f>12-AF39</f>
        <v>12</v>
      </c>
      <c r="AK39" s="39">
        <f>AJ39</f>
        <v>12</v>
      </c>
      <c r="AL39" s="39">
        <f>AJ39</f>
        <v>12</v>
      </c>
    </row>
    <row r="40" spans="2:38" x14ac:dyDescent="0.25">
      <c r="B40" s="25" t="s">
        <v>110</v>
      </c>
      <c r="C40" s="25" t="s">
        <v>111</v>
      </c>
      <c r="D40" s="25"/>
      <c r="E40" s="25"/>
      <c r="F40" s="25" t="s">
        <v>86</v>
      </c>
      <c r="H40" s="25">
        <v>1.92</v>
      </c>
      <c r="I40" s="25">
        <v>1.92</v>
      </c>
      <c r="J40" s="25">
        <v>1.92</v>
      </c>
      <c r="L40" s="25">
        <v>1.92</v>
      </c>
      <c r="M40" s="25">
        <v>1.92</v>
      </c>
      <c r="N40" s="25">
        <v>1.92</v>
      </c>
      <c r="P40" s="25">
        <v>1.92</v>
      </c>
      <c r="Q40" s="25">
        <v>1.92</v>
      </c>
      <c r="R40" s="25">
        <v>1.92</v>
      </c>
      <c r="T40" s="25">
        <v>1.92</v>
      </c>
      <c r="U40" s="25">
        <v>1.92</v>
      </c>
      <c r="V40" s="25">
        <v>1.92</v>
      </c>
      <c r="X40" s="25">
        <v>1.92</v>
      </c>
      <c r="Y40" s="25">
        <v>1.92</v>
      </c>
      <c r="Z40" s="25">
        <v>1.92</v>
      </c>
      <c r="AB40" s="25">
        <v>1.92</v>
      </c>
      <c r="AC40" s="25">
        <v>1.92</v>
      </c>
      <c r="AD40" s="25">
        <v>1.92</v>
      </c>
      <c r="AF40" s="25">
        <v>1.92</v>
      </c>
      <c r="AG40" s="25">
        <v>1.92</v>
      </c>
      <c r="AH40" s="25">
        <v>1.92</v>
      </c>
      <c r="AJ40" s="25">
        <v>1.92</v>
      </c>
      <c r="AK40" s="25">
        <v>1.92</v>
      </c>
      <c r="AL40" s="25">
        <v>1.92</v>
      </c>
    </row>
    <row r="41" spans="2:38" x14ac:dyDescent="0.25">
      <c r="B41" s="25" t="s">
        <v>88</v>
      </c>
      <c r="C41" s="25" t="s">
        <v>87</v>
      </c>
      <c r="D41" s="25"/>
      <c r="E41" s="25"/>
      <c r="F41" s="25" t="s">
        <v>108</v>
      </c>
      <c r="H41" s="25">
        <v>12</v>
      </c>
      <c r="I41" s="25">
        <f>H41</f>
        <v>12</v>
      </c>
      <c r="J41" s="25">
        <f>H41</f>
        <v>12</v>
      </c>
      <c r="L41" s="25">
        <v>12</v>
      </c>
      <c r="M41" s="25">
        <f>L41</f>
        <v>12</v>
      </c>
      <c r="N41" s="25">
        <f>L41</f>
        <v>12</v>
      </c>
      <c r="P41" s="25">
        <v>12</v>
      </c>
      <c r="Q41" s="25">
        <f>P41</f>
        <v>12</v>
      </c>
      <c r="R41" s="25">
        <f>P41</f>
        <v>12</v>
      </c>
      <c r="T41" s="25">
        <v>12</v>
      </c>
      <c r="U41" s="25">
        <f>T41</f>
        <v>12</v>
      </c>
      <c r="V41" s="25">
        <f>T41</f>
        <v>12</v>
      </c>
      <c r="X41" s="25">
        <v>12</v>
      </c>
      <c r="Y41" s="25">
        <f>X41</f>
        <v>12</v>
      </c>
      <c r="Z41" s="25">
        <f>X41</f>
        <v>12</v>
      </c>
      <c r="AB41" s="25">
        <v>12</v>
      </c>
      <c r="AC41" s="25">
        <f>AB41</f>
        <v>12</v>
      </c>
      <c r="AD41" s="25">
        <f>AB41</f>
        <v>12</v>
      </c>
      <c r="AF41" s="25">
        <v>12</v>
      </c>
      <c r="AG41" s="25">
        <f>AF41</f>
        <v>12</v>
      </c>
      <c r="AH41" s="25">
        <f>AF41</f>
        <v>12</v>
      </c>
      <c r="AJ41" s="25">
        <v>12</v>
      </c>
      <c r="AK41" s="25">
        <f>AJ41</f>
        <v>12</v>
      </c>
      <c r="AL41" s="25">
        <f>AJ41</f>
        <v>12</v>
      </c>
    </row>
    <row r="43" spans="2:38" x14ac:dyDescent="0.25">
      <c r="B43" s="22" t="s">
        <v>112</v>
      </c>
    </row>
    <row r="44" spans="2:38" x14ac:dyDescent="0.25">
      <c r="B44" s="31" t="s">
        <v>133</v>
      </c>
    </row>
    <row r="46" spans="2:38" x14ac:dyDescent="0.25">
      <c r="H46" s="333" t="s">
        <v>174</v>
      </c>
      <c r="I46" s="333"/>
      <c r="J46" s="333"/>
      <c r="K46" s="333"/>
      <c r="L46" s="333"/>
      <c r="M46" s="333"/>
      <c r="N46" s="333"/>
      <c r="P46" s="333" t="s">
        <v>180</v>
      </c>
      <c r="Q46" s="333"/>
      <c r="R46" s="333"/>
      <c r="S46" s="333"/>
      <c r="T46" s="333"/>
      <c r="U46" s="333"/>
      <c r="V46" s="333"/>
      <c r="X46" s="333" t="s">
        <v>181</v>
      </c>
      <c r="Y46" s="333"/>
      <c r="Z46" s="333"/>
      <c r="AA46" s="333"/>
      <c r="AB46" s="333"/>
      <c r="AC46" s="333"/>
      <c r="AD46" s="333"/>
      <c r="AF46" s="333" t="s">
        <v>182</v>
      </c>
      <c r="AG46" s="333"/>
      <c r="AH46" s="333"/>
      <c r="AI46" s="333"/>
      <c r="AJ46" s="333"/>
      <c r="AK46" s="333"/>
      <c r="AL46" s="333"/>
    </row>
    <row r="48" spans="2:38" x14ac:dyDescent="0.25">
      <c r="H48" s="342" t="s">
        <v>141</v>
      </c>
      <c r="I48" s="342"/>
      <c r="J48" s="342"/>
      <c r="K48" s="342"/>
      <c r="L48" s="342"/>
      <c r="M48" s="342"/>
      <c r="N48" s="342"/>
      <c r="P48" s="342" t="s">
        <v>141</v>
      </c>
      <c r="Q48" s="342"/>
      <c r="R48" s="342"/>
      <c r="S48" s="342"/>
      <c r="T48" s="342"/>
      <c r="U48" s="342"/>
      <c r="V48" s="342"/>
      <c r="W48" s="41"/>
      <c r="X48" s="342" t="s">
        <v>141</v>
      </c>
      <c r="Y48" s="342"/>
      <c r="Z48" s="342"/>
      <c r="AA48" s="342"/>
      <c r="AB48" s="342"/>
      <c r="AC48" s="342"/>
      <c r="AD48" s="342"/>
      <c r="AF48" s="342" t="s">
        <v>141</v>
      </c>
      <c r="AG48" s="342"/>
      <c r="AH48" s="342"/>
      <c r="AI48" s="342"/>
      <c r="AJ48" s="342"/>
      <c r="AK48" s="342"/>
      <c r="AL48" s="342"/>
    </row>
    <row r="49" spans="8:38" x14ac:dyDescent="0.25">
      <c r="N49" s="46"/>
      <c r="V49" s="46"/>
      <c r="W49" s="41"/>
      <c r="AD49" s="46"/>
      <c r="AL49" s="46"/>
    </row>
    <row r="50" spans="8:38" x14ac:dyDescent="0.25">
      <c r="H50" s="33" t="s">
        <v>123</v>
      </c>
      <c r="I50" s="33" t="s">
        <v>138</v>
      </c>
      <c r="J50" s="33"/>
      <c r="K50" s="38" t="s">
        <v>140</v>
      </c>
      <c r="L50" s="33"/>
      <c r="M50" s="33" t="s">
        <v>131</v>
      </c>
      <c r="N50" s="38">
        <v>0.23</v>
      </c>
      <c r="P50" s="33" t="s">
        <v>123</v>
      </c>
      <c r="Q50" s="33" t="s">
        <v>138</v>
      </c>
      <c r="R50" s="33"/>
      <c r="S50" s="38" t="s">
        <v>140</v>
      </c>
      <c r="T50" s="33"/>
      <c r="U50" s="33" t="s">
        <v>131</v>
      </c>
      <c r="V50" s="38">
        <v>0.23</v>
      </c>
      <c r="W50" s="53"/>
      <c r="X50" s="33" t="s">
        <v>123</v>
      </c>
      <c r="Y50" s="33" t="s">
        <v>138</v>
      </c>
      <c r="Z50" s="33"/>
      <c r="AA50" s="38" t="s">
        <v>140</v>
      </c>
      <c r="AB50" s="33"/>
      <c r="AC50" s="33" t="s">
        <v>131</v>
      </c>
      <c r="AD50" s="38">
        <v>0.23</v>
      </c>
      <c r="AF50" s="33" t="s">
        <v>123</v>
      </c>
      <c r="AG50" s="33" t="s">
        <v>138</v>
      </c>
      <c r="AH50" s="33"/>
      <c r="AI50" s="38" t="s">
        <v>140</v>
      </c>
      <c r="AJ50" s="33"/>
      <c r="AK50" s="33" t="s">
        <v>131</v>
      </c>
      <c r="AL50" s="38">
        <v>0.23</v>
      </c>
    </row>
    <row r="51" spans="8:38" x14ac:dyDescent="0.25">
      <c r="H51" s="25" t="s">
        <v>57</v>
      </c>
      <c r="I51" s="37">
        <f>H10*H11</f>
        <v>828.4</v>
      </c>
      <c r="J51" s="25" t="s">
        <v>124</v>
      </c>
      <c r="K51" s="37">
        <f>L10*L11</f>
        <v>1905.7499999999998</v>
      </c>
      <c r="L51" s="25" t="s">
        <v>124</v>
      </c>
      <c r="M51" s="37">
        <f>I51+K51</f>
        <v>2734.1499999999996</v>
      </c>
      <c r="N51" s="37">
        <f>M51+M51*$N$50</f>
        <v>3363.0044999999996</v>
      </c>
      <c r="P51" s="25" t="s">
        <v>57</v>
      </c>
      <c r="Q51" s="37">
        <f>P10*P11</f>
        <v>0</v>
      </c>
      <c r="R51" s="25" t="s">
        <v>124</v>
      </c>
      <c r="S51" s="37">
        <f>T10*T11</f>
        <v>2384.6299865073524</v>
      </c>
      <c r="T51" s="25" t="s">
        <v>124</v>
      </c>
      <c r="U51" s="37">
        <f>Q51+S51</f>
        <v>2384.6299865073524</v>
      </c>
      <c r="V51" s="37">
        <f>U51+U51*$N$50</f>
        <v>2933.0948834040437</v>
      </c>
      <c r="W51" s="54"/>
      <c r="X51" s="25" t="s">
        <v>57</v>
      </c>
      <c r="Y51" s="37">
        <f>X10*X11</f>
        <v>0</v>
      </c>
      <c r="Z51" s="25" t="s">
        <v>124</v>
      </c>
      <c r="AA51" s="37">
        <f>AB10*AB11</f>
        <v>2629.8556388518678</v>
      </c>
      <c r="AB51" s="25" t="s">
        <v>124</v>
      </c>
      <c r="AC51" s="37">
        <f>Y51+AA51</f>
        <v>2629.8556388518678</v>
      </c>
      <c r="AD51" s="37">
        <f>AC51+AC51*$N$50</f>
        <v>3234.7224357877976</v>
      </c>
      <c r="AF51" s="25" t="s">
        <v>57</v>
      </c>
      <c r="AG51" s="37">
        <f>AF10*AF11</f>
        <v>0</v>
      </c>
      <c r="AH51" s="25" t="s">
        <v>124</v>
      </c>
      <c r="AI51" s="37">
        <f>AJ10*AJ11</f>
        <v>9565.6383374999987</v>
      </c>
      <c r="AJ51" s="25" t="s">
        <v>124</v>
      </c>
      <c r="AK51" s="37">
        <f>AG51+AI51</f>
        <v>9565.6383374999987</v>
      </c>
      <c r="AL51" s="37">
        <f>AK51+AK51*$N$50</f>
        <v>11765.735155124999</v>
      </c>
    </row>
    <row r="52" spans="8:38" x14ac:dyDescent="0.25">
      <c r="H52" s="25" t="s">
        <v>58</v>
      </c>
      <c r="I52" s="37">
        <f>I12*I13+J12*J13</f>
        <v>757.7</v>
      </c>
      <c r="J52" s="25" t="s">
        <v>124</v>
      </c>
      <c r="K52" s="37">
        <f>M12*M13+N12*N13</f>
        <v>1794.1</v>
      </c>
      <c r="L52" s="25" t="s">
        <v>124</v>
      </c>
      <c r="M52" s="37">
        <f>I52+K52</f>
        <v>2551.8000000000002</v>
      </c>
      <c r="N52" s="37">
        <f>M52+M52*$N$50</f>
        <v>3138.7140000000004</v>
      </c>
      <c r="P52" s="25" t="s">
        <v>58</v>
      </c>
      <c r="Q52" s="37">
        <f>Q12*Q13+R12*R13</f>
        <v>0</v>
      </c>
      <c r="R52" s="25" t="s">
        <v>124</v>
      </c>
      <c r="S52" s="37">
        <f>U12*U13+V12*V13</f>
        <v>2244.9243913382347</v>
      </c>
      <c r="T52" s="25" t="s">
        <v>124</v>
      </c>
      <c r="U52" s="37">
        <f>Q52+S52</f>
        <v>2244.9243913382347</v>
      </c>
      <c r="V52" s="37">
        <f>U52+U52*$N$50</f>
        <v>2761.2570013460286</v>
      </c>
      <c r="W52" s="54"/>
      <c r="X52" s="25" t="s">
        <v>58</v>
      </c>
      <c r="Y52" s="37">
        <f>Y12*Y13+Z12*Z13</f>
        <v>0</v>
      </c>
      <c r="Z52" s="25" t="s">
        <v>124</v>
      </c>
      <c r="AA52" s="37">
        <f>AC12*AC13+AD12*AD13</f>
        <v>2493.0879660896444</v>
      </c>
      <c r="AB52" s="25" t="s">
        <v>124</v>
      </c>
      <c r="AC52" s="37">
        <f>Y52+AA52</f>
        <v>2493.0879660896444</v>
      </c>
      <c r="AD52" s="37">
        <f>AC52+AC52*$N$50</f>
        <v>3066.4981982902627</v>
      </c>
      <c r="AF52" s="25" t="s">
        <v>58</v>
      </c>
      <c r="AG52" s="37">
        <f>AG12*AG13+AH12*AH13</f>
        <v>0</v>
      </c>
      <c r="AH52" s="25" t="s">
        <v>124</v>
      </c>
      <c r="AI52" s="37">
        <f>AK12*AK13+AL12*AL13</f>
        <v>9005.2272025757557</v>
      </c>
      <c r="AJ52" s="25" t="s">
        <v>124</v>
      </c>
      <c r="AK52" s="37">
        <f>AG52+AI52</f>
        <v>9005.2272025757557</v>
      </c>
      <c r="AL52" s="37">
        <f>AK52+AK52*$N$50</f>
        <v>11076.429459168179</v>
      </c>
    </row>
    <row r="53" spans="8:38" x14ac:dyDescent="0.25">
      <c r="H53" s="25" t="s">
        <v>59</v>
      </c>
      <c r="I53" s="37">
        <f>I14*I15+J14*J15</f>
        <v>776.48</v>
      </c>
      <c r="J53" s="25" t="s">
        <v>124</v>
      </c>
      <c r="K53" s="37">
        <f>M14*M15+N14*N15</f>
        <v>1813.405</v>
      </c>
      <c r="L53" s="25" t="s">
        <v>124</v>
      </c>
      <c r="M53" s="37">
        <f>I53+K53</f>
        <v>2589.8850000000002</v>
      </c>
      <c r="N53" s="37">
        <f>M53+M53*$N$50</f>
        <v>3185.5585500000002</v>
      </c>
      <c r="P53" s="25" t="s">
        <v>59</v>
      </c>
      <c r="Q53" s="37">
        <f>Q14*Q15+R14*R15</f>
        <v>0</v>
      </c>
      <c r="R53" s="25" t="s">
        <v>124</v>
      </c>
      <c r="S53" s="37">
        <f>U14*U15+V14*V15</f>
        <v>2258.0174896047001</v>
      </c>
      <c r="T53" s="25" t="s">
        <v>124</v>
      </c>
      <c r="U53" s="37">
        <f>Q53+S53</f>
        <v>2258.0174896047001</v>
      </c>
      <c r="V53" s="37">
        <f>U53+U53*$N$50</f>
        <v>2777.3615122137812</v>
      </c>
      <c r="W53" s="54"/>
      <c r="X53" s="25" t="s">
        <v>59</v>
      </c>
      <c r="Y53" s="37">
        <f>Y14*Y15+Z14*Z15</f>
        <v>0</v>
      </c>
      <c r="Z53" s="25" t="s">
        <v>124</v>
      </c>
      <c r="AA53" s="37">
        <f>AC14*AC15+AD14*AD15</f>
        <v>2514.623941198568</v>
      </c>
      <c r="AB53" s="25" t="s">
        <v>124</v>
      </c>
      <c r="AC53" s="37">
        <f>Y53+AA53</f>
        <v>2514.623941198568</v>
      </c>
      <c r="AD53" s="37">
        <f>AC53+AC53*$N$50</f>
        <v>3092.9874476742389</v>
      </c>
      <c r="AF53" s="25" t="s">
        <v>59</v>
      </c>
      <c r="AG53" s="37">
        <f>AG14*AG15+AH14*AH15</f>
        <v>0</v>
      </c>
      <c r="AH53" s="25" t="s">
        <v>124</v>
      </c>
      <c r="AI53" s="37">
        <f>AK14*AK15+AL14*AL15</f>
        <v>9057.7484924375003</v>
      </c>
      <c r="AJ53" s="25" t="s">
        <v>124</v>
      </c>
      <c r="AK53" s="37">
        <f>AG53+AI53</f>
        <v>9057.7484924375003</v>
      </c>
      <c r="AL53" s="37">
        <f>AK53+AK53*$N$50</f>
        <v>11141.030645698125</v>
      </c>
    </row>
    <row r="54" spans="8:38" x14ac:dyDescent="0.25">
      <c r="H54" s="61"/>
      <c r="I54" s="52"/>
      <c r="J54" s="61"/>
      <c r="K54" s="52"/>
      <c r="L54" s="61"/>
      <c r="M54" s="52"/>
      <c r="N54" s="52"/>
      <c r="P54" s="61"/>
      <c r="Q54" s="52"/>
      <c r="R54" s="61"/>
      <c r="S54" s="52"/>
      <c r="T54" s="61"/>
      <c r="U54" s="52"/>
      <c r="V54" s="52"/>
      <c r="W54" s="54"/>
      <c r="X54" s="61"/>
      <c r="Y54" s="52"/>
      <c r="Z54" s="61"/>
      <c r="AA54" s="52"/>
      <c r="AB54" s="61"/>
      <c r="AC54" s="52"/>
      <c r="AD54" s="52"/>
      <c r="AF54" s="61"/>
      <c r="AG54" s="52"/>
      <c r="AH54" s="61"/>
      <c r="AI54" s="52"/>
      <c r="AJ54" s="61"/>
      <c r="AK54" s="52"/>
      <c r="AL54" s="52"/>
    </row>
    <row r="55" spans="8:38" x14ac:dyDescent="0.25">
      <c r="H55" s="342" t="s">
        <v>143</v>
      </c>
      <c r="I55" s="342"/>
      <c r="J55" s="342"/>
      <c r="K55" s="342"/>
      <c r="L55" s="342"/>
      <c r="M55" s="342"/>
      <c r="N55" s="342"/>
      <c r="P55" s="342" t="s">
        <v>143</v>
      </c>
      <c r="Q55" s="342"/>
      <c r="R55" s="342"/>
      <c r="S55" s="342"/>
      <c r="T55" s="342"/>
      <c r="U55" s="342"/>
      <c r="V55" s="342"/>
      <c r="W55" s="41"/>
      <c r="X55" s="342" t="s">
        <v>143</v>
      </c>
      <c r="Y55" s="342"/>
      <c r="Z55" s="342"/>
      <c r="AA55" s="342"/>
      <c r="AB55" s="342"/>
      <c r="AC55" s="342"/>
      <c r="AD55" s="342"/>
      <c r="AF55" s="342" t="s">
        <v>143</v>
      </c>
      <c r="AG55" s="342"/>
      <c r="AH55" s="342"/>
      <c r="AI55" s="342"/>
      <c r="AJ55" s="342"/>
      <c r="AK55" s="342"/>
      <c r="AL55" s="342"/>
    </row>
    <row r="56" spans="8:38" x14ac:dyDescent="0.25">
      <c r="W56" s="41"/>
    </row>
    <row r="57" spans="8:38" x14ac:dyDescent="0.25">
      <c r="H57" s="33" t="s">
        <v>62</v>
      </c>
      <c r="I57" s="33" t="s">
        <v>138</v>
      </c>
      <c r="J57" s="33"/>
      <c r="K57" s="38" t="s">
        <v>140</v>
      </c>
      <c r="L57" s="33"/>
      <c r="M57" s="33" t="s">
        <v>131</v>
      </c>
      <c r="N57" s="38">
        <v>0.23</v>
      </c>
      <c r="P57" s="33" t="s">
        <v>62</v>
      </c>
      <c r="Q57" s="33" t="s">
        <v>138</v>
      </c>
      <c r="R57" s="33"/>
      <c r="S57" s="38" t="s">
        <v>140</v>
      </c>
      <c r="T57" s="33"/>
      <c r="U57" s="33" t="s">
        <v>131</v>
      </c>
      <c r="V57" s="38">
        <v>0.23</v>
      </c>
      <c r="W57" s="53"/>
      <c r="X57" s="33" t="s">
        <v>62</v>
      </c>
      <c r="Y57" s="33" t="s">
        <v>138</v>
      </c>
      <c r="Z57" s="33"/>
      <c r="AA57" s="38" t="s">
        <v>140</v>
      </c>
      <c r="AB57" s="33"/>
      <c r="AC57" s="33" t="s">
        <v>131</v>
      </c>
      <c r="AD57" s="38">
        <v>0.23</v>
      </c>
      <c r="AF57" s="33" t="s">
        <v>62</v>
      </c>
      <c r="AG57" s="33" t="s">
        <v>138</v>
      </c>
      <c r="AH57" s="33"/>
      <c r="AI57" s="38" t="s">
        <v>140</v>
      </c>
      <c r="AJ57" s="33"/>
      <c r="AK57" s="33" t="s">
        <v>131</v>
      </c>
      <c r="AL57" s="38">
        <v>0.23</v>
      </c>
    </row>
    <row r="58" spans="8:38" x14ac:dyDescent="0.25">
      <c r="H58" s="25" t="s">
        <v>57</v>
      </c>
      <c r="I58" s="37">
        <f>H23*H24+H25*H26+H31*H32+H34*H35+H36*H37+H38*H39+H33*H24+H40*H41</f>
        <v>499.24000000000007</v>
      </c>
      <c r="J58" s="25" t="s">
        <v>124</v>
      </c>
      <c r="K58" s="37">
        <f>L23*L24+L25*L26+L31*L32+L34*L35+L36*L37+L38*L39+L33*L24+L40*L41</f>
        <v>963.31499999999994</v>
      </c>
      <c r="L58" s="25" t="s">
        <v>124</v>
      </c>
      <c r="M58" s="37">
        <f>I58+K58</f>
        <v>1462.5550000000001</v>
      </c>
      <c r="N58" s="37">
        <f>M58+M58*$N$57</f>
        <v>1798.94265</v>
      </c>
      <c r="P58" s="25" t="s">
        <v>57</v>
      </c>
      <c r="Q58" s="37">
        <f>IF(Q51=0,0,P23*P24+P25*P26+P31*P32+P34*P35+P36*P37+P38*P39+P33*P24+P40*P41)</f>
        <v>0</v>
      </c>
      <c r="R58" s="25" t="s">
        <v>124</v>
      </c>
      <c r="S58" s="37">
        <f>T23*T24+T25*T26+T31*T32+T34*T35+T36*T37+T38*T39+T33*T24+T40*T41</f>
        <v>1289.4799708162814</v>
      </c>
      <c r="T58" s="25" t="s">
        <v>124</v>
      </c>
      <c r="U58" s="37">
        <f>Q58+S58</f>
        <v>1289.4799708162814</v>
      </c>
      <c r="V58" s="37">
        <f>U58+U58*$N$57</f>
        <v>1586.0603641040261</v>
      </c>
      <c r="W58" s="52"/>
      <c r="X58" s="25" t="s">
        <v>57</v>
      </c>
      <c r="Y58" s="37">
        <f>IF(Y51=0,0,X23*X24+X25*X26+X31*X32+X34*X35+X36*X37+X38*X39+X33*X24+X40*X41)</f>
        <v>0</v>
      </c>
      <c r="Z58" s="25" t="s">
        <v>124</v>
      </c>
      <c r="AA58" s="37">
        <f>AB23*AB24+AB25*AB26+AB31*AB32+AB34*AB35+AB36*AB37+AB38*AB39+AB33*AB24+AB40*AB41</f>
        <v>1395.0225437863753</v>
      </c>
      <c r="AB58" s="25" t="s">
        <v>124</v>
      </c>
      <c r="AC58" s="37">
        <f>Y58+AA58</f>
        <v>1395.0225437863753</v>
      </c>
      <c r="AD58" s="37">
        <f>AC58+AC58*$N$57</f>
        <v>1715.8777288572417</v>
      </c>
      <c r="AF58" s="25" t="s">
        <v>57</v>
      </c>
      <c r="AG58" s="37">
        <f>IF(AG51=0,0,AF23*AF24+AF25*AF26+AF31*AF32+AF34*AF35+AF36*AF37+AF38*AF39+AF33*AF24+AF40*AF41)</f>
        <v>0</v>
      </c>
      <c r="AH58" s="25" t="s">
        <v>124</v>
      </c>
      <c r="AI58" s="37">
        <f>AJ23*AJ24+AJ25*AJ26+AJ31*AJ32+AJ34*AJ35+AJ36*AJ37+AJ38*AJ39+AJ33*AJ24+AJ40*AJ41</f>
        <v>4380.1113572045442</v>
      </c>
      <c r="AJ58" s="25" t="s">
        <v>124</v>
      </c>
      <c r="AK58" s="37">
        <f>AG58+AI58</f>
        <v>4380.1113572045442</v>
      </c>
      <c r="AL58" s="37">
        <f>AK58+AK58*$N$57</f>
        <v>5387.5369693615894</v>
      </c>
    </row>
    <row r="59" spans="8:38" x14ac:dyDescent="0.25">
      <c r="H59" s="25" t="s">
        <v>58</v>
      </c>
      <c r="I59" s="37">
        <f>I23*I24+I27*I28+I29*I30+I31*I32+I33*I24+I34*I35+I36*I37+I38*I39+I40*I41</f>
        <v>428.74000000000007</v>
      </c>
      <c r="J59" s="25" t="s">
        <v>124</v>
      </c>
      <c r="K59" s="37">
        <f>M23*M24+M27*M28+M29*M30+M31*M32+M33*M24+M34*M35+M36*M37+M38*M39+M40*M41</f>
        <v>804.95499999999993</v>
      </c>
      <c r="L59" s="25" t="s">
        <v>124</v>
      </c>
      <c r="M59" s="37">
        <f t="shared" ref="M59:M60" si="0">I59+K59</f>
        <v>1233.6949999999999</v>
      </c>
      <c r="N59" s="37">
        <f>M59+M59*$N$57</f>
        <v>1517.4448499999999</v>
      </c>
      <c r="P59" s="25" t="s">
        <v>58</v>
      </c>
      <c r="Q59" s="37">
        <f>IF(Q52=0,0,Q23*Q24+Q27*Q28+Q29*Q30+Q31*Q32+Q33*Q24+Q34*Q35+Q36*Q37+Q38*Q39+Q40*Q41)</f>
        <v>0</v>
      </c>
      <c r="R59" s="25" t="s">
        <v>124</v>
      </c>
      <c r="S59" s="37">
        <f>U23*U24+U27*U28+U29*U30+U31*U32+U33*U24+U34*U35+U36*U37+U38*U39+U40*U41</f>
        <v>1109.4759432490544</v>
      </c>
      <c r="T59" s="25" t="s">
        <v>124</v>
      </c>
      <c r="U59" s="37">
        <f t="shared" ref="U59:U60" si="1">Q59+S59</f>
        <v>1109.4759432490544</v>
      </c>
      <c r="V59" s="37">
        <f>U59+U59*$N$57</f>
        <v>1364.6554101963368</v>
      </c>
      <c r="W59" s="52"/>
      <c r="X59" s="25" t="s">
        <v>58</v>
      </c>
      <c r="Y59" s="37">
        <f>IF(Y52=0,0,Y23*Y24+Y27*Y28+Y29*Y30+Y31*Y32+Y33*Y24+Y34*Y35+Y36*Y37+Y38*Y39+Y40*Y41)</f>
        <v>0</v>
      </c>
      <c r="Z59" s="25" t="s">
        <v>124</v>
      </c>
      <c r="AA59" s="37">
        <f>AC23*AC24+AC27*AC28+AC29*AC30+AC31*AC32+AC33*AC24+AC34*AC35+AC36*AC37+AC38*AC39+AC40*AC41</f>
        <v>1230.3438262765494</v>
      </c>
      <c r="AB59" s="25" t="s">
        <v>124</v>
      </c>
      <c r="AC59" s="37">
        <f t="shared" ref="AC59:AC60" si="2">Y59+AA59</f>
        <v>1230.3438262765494</v>
      </c>
      <c r="AD59" s="37">
        <f>AC59+AC59*$N$57</f>
        <v>1513.3229063201557</v>
      </c>
      <c r="AF59" s="25" t="s">
        <v>58</v>
      </c>
      <c r="AG59" s="37">
        <f>IF(AG52=0,0,AG23*AG24+AG27*AG28+AG29*AG30+AG31*AG32+AG33*AG24+AG34*AG35+AG36*AG37+AG38*AG39+AG40*AG41)</f>
        <v>0</v>
      </c>
      <c r="AH59" s="25" t="s">
        <v>124</v>
      </c>
      <c r="AI59" s="37">
        <f>AK23*AK24+AK27*AK28+AK29*AK30+AK31*AK32+AK33*AK24+AK34*AK35+AK36*AK37+AK38*AK39+AK40*AK41</f>
        <v>3512.0568902348482</v>
      </c>
      <c r="AJ59" s="25" t="s">
        <v>124</v>
      </c>
      <c r="AK59" s="37">
        <f t="shared" ref="AK59:AK60" si="3">AG59+AI59</f>
        <v>3512.0568902348482</v>
      </c>
      <c r="AL59" s="37">
        <f>AK59+AK59*$N$57</f>
        <v>4319.8299749888629</v>
      </c>
    </row>
    <row r="60" spans="8:38" x14ac:dyDescent="0.25">
      <c r="H60" s="25" t="s">
        <v>59</v>
      </c>
      <c r="I60" s="37">
        <f>J23*J24+J27*J28+J29*J30+J31*J32+J33*J24+J34*J35+J36*J37+J38*J39+J40*J41</f>
        <v>428.90000000000009</v>
      </c>
      <c r="J60" s="25" t="s">
        <v>124</v>
      </c>
      <c r="K60" s="37">
        <f>N23*N24+N27*N28+N29*N30+N31*N32+N33*N24+N34*N35+N36*N37+N38*N39+N40*N41</f>
        <v>782.8549999999999</v>
      </c>
      <c r="L60" s="25" t="s">
        <v>124</v>
      </c>
      <c r="M60" s="37">
        <f t="shared" si="0"/>
        <v>1211.7550000000001</v>
      </c>
      <c r="N60" s="37">
        <f>M60+M60*$N$57</f>
        <v>1490.45865</v>
      </c>
      <c r="P60" s="25" t="s">
        <v>59</v>
      </c>
      <c r="Q60" s="37">
        <f>IF(Q53=0,0,R23*R24+R27*R28+R29*R30+R31*R32+R33*R24+R34*R35+R36*R37+R38*R39+R40*R41)</f>
        <v>0</v>
      </c>
      <c r="R60" s="25" t="s">
        <v>124</v>
      </c>
      <c r="S60" s="37">
        <f>V23*V24+V27*V28+V29*V30+V31*V32+V33*V24+V34*V35+V36*V37+V38*V39+V40*V41</f>
        <v>1092.7655536429884</v>
      </c>
      <c r="T60" s="25" t="s">
        <v>124</v>
      </c>
      <c r="U60" s="37">
        <f t="shared" si="1"/>
        <v>1092.7655536429884</v>
      </c>
      <c r="V60" s="37">
        <f>U60+U60*$N$57</f>
        <v>1344.1016309808756</v>
      </c>
      <c r="W60" s="52"/>
      <c r="X60" s="25" t="s">
        <v>59</v>
      </c>
      <c r="Y60" s="37">
        <f>IF(Y53=0,0,Z23*Z24+Z27*Z28+Z29*Z30+Z31*Z32+Z33*Z24+Z34*Z35+Z36*Z37+Z38*Z39+Z40*Z41)</f>
        <v>0</v>
      </c>
      <c r="Z60" s="25" t="s">
        <v>124</v>
      </c>
      <c r="AA60" s="37">
        <f>AD23*AD24+AD27*AD28+AD29*AD30+AD31*AD32+AD33*AD24+AD34*AD35+AD36*AD37+AD38*AD39+AD40*AD41</f>
        <v>1238.8249469461693</v>
      </c>
      <c r="AB60" s="25" t="s">
        <v>124</v>
      </c>
      <c r="AC60" s="37">
        <f t="shared" si="2"/>
        <v>1238.8249469461693</v>
      </c>
      <c r="AD60" s="37">
        <f>AC60+AC60*$N$57</f>
        <v>1523.7546847437884</v>
      </c>
      <c r="AF60" s="25" t="s">
        <v>59</v>
      </c>
      <c r="AG60" s="37">
        <f>IF(AG53=0,0,AH23*AH24+AH27*AH28+AH29*AH30+AH31*AH32+AH33*AH24+AH34*AH35+AH36*AH37+AH38*AH39+AH40*AH41)</f>
        <v>0</v>
      </c>
      <c r="AH60" s="25" t="s">
        <v>124</v>
      </c>
      <c r="AI60" s="37">
        <f>AL23*AL24+AL27*AL28+AL29*AL30+AL31*AL32+AL33*AL24+AL34*AL35+AL36*AL37+AL38*AL39+AL40*AL41</f>
        <v>3070.6515117897729</v>
      </c>
      <c r="AJ60" s="25" t="s">
        <v>124</v>
      </c>
      <c r="AK60" s="37">
        <f t="shared" si="3"/>
        <v>3070.6515117897729</v>
      </c>
      <c r="AL60" s="37">
        <f>AK60+AK60*$N$57</f>
        <v>3776.9013595014208</v>
      </c>
    </row>
    <row r="62" spans="8:38" x14ac:dyDescent="0.25">
      <c r="H62" s="342" t="s">
        <v>144</v>
      </c>
      <c r="I62" s="342"/>
      <c r="J62" s="342"/>
      <c r="K62" s="342"/>
      <c r="L62" s="342"/>
      <c r="M62" s="342"/>
      <c r="N62" s="342"/>
      <c r="P62" s="342" t="s">
        <v>144</v>
      </c>
      <c r="Q62" s="342"/>
      <c r="R62" s="342"/>
      <c r="S62" s="342"/>
      <c r="T62" s="342"/>
      <c r="U62" s="342"/>
      <c r="V62" s="342"/>
      <c r="X62" s="342" t="s">
        <v>144</v>
      </c>
      <c r="Y62" s="342"/>
      <c r="Z62" s="342"/>
      <c r="AA62" s="342"/>
      <c r="AB62" s="342"/>
      <c r="AC62" s="342"/>
      <c r="AD62" s="342"/>
      <c r="AF62" s="342" t="s">
        <v>144</v>
      </c>
      <c r="AG62" s="342"/>
      <c r="AH62" s="342"/>
      <c r="AI62" s="342"/>
      <c r="AJ62" s="342"/>
      <c r="AK62" s="342"/>
      <c r="AL62" s="342"/>
    </row>
    <row r="64" spans="8:38" x14ac:dyDescent="0.25">
      <c r="H64" s="43"/>
      <c r="I64" s="37">
        <f>H17</f>
        <v>5</v>
      </c>
      <c r="J64" s="25" t="s">
        <v>124</v>
      </c>
      <c r="K64" s="25"/>
      <c r="L64" s="25"/>
      <c r="M64" s="25" t="s">
        <v>142</v>
      </c>
      <c r="N64" s="37">
        <f>I64+I64*N57</f>
        <v>6.15</v>
      </c>
      <c r="P64" s="43"/>
      <c r="Q64" s="37">
        <f>H17</f>
        <v>5</v>
      </c>
      <c r="R64" s="25" t="s">
        <v>124</v>
      </c>
      <c r="S64" s="25"/>
      <c r="T64" s="25"/>
      <c r="U64" s="25" t="s">
        <v>142</v>
      </c>
      <c r="V64" s="37">
        <f>Q64+Q64*V57</f>
        <v>6.15</v>
      </c>
      <c r="X64" s="43"/>
      <c r="Y64" s="37">
        <f>H17</f>
        <v>5</v>
      </c>
      <c r="Z64" s="25" t="s">
        <v>124</v>
      </c>
      <c r="AA64" s="25"/>
      <c r="AB64" s="25"/>
      <c r="AC64" s="25" t="s">
        <v>142</v>
      </c>
      <c r="AD64" s="37">
        <f>Y64+Y64*AD57</f>
        <v>6.15</v>
      </c>
      <c r="AF64" s="43"/>
      <c r="AG64" s="37">
        <f>H17</f>
        <v>5</v>
      </c>
      <c r="AH64" s="25" t="s">
        <v>124</v>
      </c>
      <c r="AI64" s="25"/>
      <c r="AJ64" s="25"/>
      <c r="AK64" s="25" t="s">
        <v>142</v>
      </c>
      <c r="AL64" s="37">
        <f>AG64+AG64*AL57</f>
        <v>6.15</v>
      </c>
    </row>
    <row r="66" spans="8:38" x14ac:dyDescent="0.25">
      <c r="H66" s="333" t="s">
        <v>145</v>
      </c>
      <c r="I66" s="333"/>
      <c r="J66" s="333"/>
      <c r="K66" s="333"/>
      <c r="L66" s="333"/>
      <c r="M66" s="333"/>
      <c r="N66" s="333"/>
      <c r="P66" s="333" t="s">
        <v>145</v>
      </c>
      <c r="Q66" s="333"/>
      <c r="R66" s="333"/>
      <c r="S66" s="333"/>
      <c r="T66" s="333"/>
      <c r="U66" s="333"/>
      <c r="V66" s="333"/>
      <c r="X66" s="333" t="s">
        <v>145</v>
      </c>
      <c r="Y66" s="333"/>
      <c r="Z66" s="333"/>
      <c r="AA66" s="333"/>
      <c r="AB66" s="333"/>
      <c r="AC66" s="333"/>
      <c r="AD66" s="333"/>
      <c r="AF66" s="333" t="s">
        <v>145</v>
      </c>
      <c r="AG66" s="333"/>
      <c r="AH66" s="333"/>
      <c r="AI66" s="333"/>
      <c r="AJ66" s="333"/>
      <c r="AK66" s="333"/>
      <c r="AL66" s="333"/>
    </row>
    <row r="68" spans="8:38" x14ac:dyDescent="0.25">
      <c r="H68" s="33"/>
      <c r="I68" s="33"/>
      <c r="J68" s="33"/>
      <c r="K68" s="38"/>
      <c r="L68" s="34"/>
      <c r="M68" s="38">
        <v>0.23</v>
      </c>
      <c r="N68" s="34" t="s">
        <v>1</v>
      </c>
      <c r="P68" s="33"/>
      <c r="Q68" s="33"/>
      <c r="R68" s="33"/>
      <c r="S68" s="38"/>
      <c r="T68" s="34"/>
      <c r="U68" s="38">
        <v>0.23</v>
      </c>
      <c r="V68" s="34" t="s">
        <v>1</v>
      </c>
      <c r="X68" s="33"/>
      <c r="Y68" s="33"/>
      <c r="Z68" s="33"/>
      <c r="AA68" s="38"/>
      <c r="AB68" s="34"/>
      <c r="AC68" s="38">
        <v>0.23</v>
      </c>
      <c r="AD68" s="34" t="s">
        <v>1</v>
      </c>
      <c r="AF68" s="33"/>
      <c r="AG68" s="33"/>
      <c r="AH68" s="33"/>
      <c r="AI68" s="38"/>
      <c r="AJ68" s="34"/>
      <c r="AK68" s="38">
        <v>0.23</v>
      </c>
      <c r="AL68" s="34" t="s">
        <v>1</v>
      </c>
    </row>
    <row r="69" spans="8:38" x14ac:dyDescent="0.25">
      <c r="H69" s="25" t="s">
        <v>57</v>
      </c>
      <c r="I69" s="37">
        <f>M51+M58</f>
        <v>4196.7049999999999</v>
      </c>
      <c r="J69" s="25" t="s">
        <v>124</v>
      </c>
      <c r="K69" s="37"/>
      <c r="L69" s="37"/>
      <c r="M69" s="37">
        <f>I69*$M$68+I69</f>
        <v>5161.94715</v>
      </c>
      <c r="N69" s="37">
        <f>M69/(H11+L11)</f>
        <v>1.0867257157894736</v>
      </c>
      <c r="P69" s="25" t="s">
        <v>57</v>
      </c>
      <c r="Q69" s="37">
        <f>U51+U58</f>
        <v>3674.1099573236338</v>
      </c>
      <c r="R69" s="25" t="s">
        <v>124</v>
      </c>
      <c r="S69" s="37"/>
      <c r="T69" s="37"/>
      <c r="U69" s="37">
        <f>Q69*$M$68+Q69</f>
        <v>4519.1552475080698</v>
      </c>
      <c r="V69" s="37">
        <f>U69/(P11+T11)</f>
        <v>1.3133167846765379</v>
      </c>
      <c r="X69" s="25" t="s">
        <v>57</v>
      </c>
      <c r="Y69" s="37">
        <f>AC51+AC58</f>
        <v>4024.8781826382428</v>
      </c>
      <c r="Z69" s="25" t="s">
        <v>124</v>
      </c>
      <c r="AA69" s="37"/>
      <c r="AB69" s="37"/>
      <c r="AC69" s="37">
        <f>Y69*$M$68+Y69</f>
        <v>4950.6001646450386</v>
      </c>
      <c r="AD69" s="37">
        <f>AC69/(X11+AB11)</f>
        <v>1.304545338312487</v>
      </c>
      <c r="AF69" s="25" t="s">
        <v>57</v>
      </c>
      <c r="AG69" s="37">
        <f>AK51+AK58</f>
        <v>13945.749694704544</v>
      </c>
      <c r="AH69" s="25" t="s">
        <v>124</v>
      </c>
      <c r="AI69" s="37"/>
      <c r="AJ69" s="37"/>
      <c r="AK69" s="37">
        <f>AG69*$M$68+AG69</f>
        <v>17153.27212448659</v>
      </c>
      <c r="AL69" s="37">
        <f>AK69/(AF11+AJ11)</f>
        <v>1.2426998766687596</v>
      </c>
    </row>
    <row r="70" spans="8:38" x14ac:dyDescent="0.25">
      <c r="H70" s="25" t="s">
        <v>58</v>
      </c>
      <c r="I70" s="37">
        <f>M52+M59</f>
        <v>3785.4949999999999</v>
      </c>
      <c r="J70" s="25" t="s">
        <v>124</v>
      </c>
      <c r="K70" s="37"/>
      <c r="L70" s="37"/>
      <c r="M70" s="37">
        <f>I70*$M$68+I70</f>
        <v>4656.1588499999998</v>
      </c>
      <c r="N70" s="37">
        <f>M70/(I13+M13+J13+N13)</f>
        <v>0.98024396842105255</v>
      </c>
      <c r="P70" s="25" t="s">
        <v>58</v>
      </c>
      <c r="Q70" s="37">
        <f>U52+U59</f>
        <v>3354.4003345872889</v>
      </c>
      <c r="R70" s="25" t="s">
        <v>124</v>
      </c>
      <c r="S70" s="37"/>
      <c r="T70" s="37"/>
      <c r="U70" s="37">
        <f>Q70*$M$68+Q70</f>
        <v>4125.9124115423656</v>
      </c>
      <c r="V70" s="37">
        <f>U70/(Q13+U13+R13+V13)</f>
        <v>1.1990360422275279</v>
      </c>
      <c r="X70" s="25" t="s">
        <v>58</v>
      </c>
      <c r="Y70" s="37">
        <f>AC52+AC59</f>
        <v>3723.4317923661938</v>
      </c>
      <c r="Z70" s="25" t="s">
        <v>124</v>
      </c>
      <c r="AA70" s="37"/>
      <c r="AB70" s="37"/>
      <c r="AC70" s="37">
        <f>Y70*$M$68+Y70</f>
        <v>4579.8211046104188</v>
      </c>
      <c r="AD70" s="37">
        <f>AC70/(Y13+AC13+Z13+AD13)</f>
        <v>1.2068403978556907</v>
      </c>
      <c r="AF70" s="25" t="s">
        <v>58</v>
      </c>
      <c r="AG70" s="37">
        <f>AK52+AK59</f>
        <v>12517.284092810603</v>
      </c>
      <c r="AH70" s="25" t="s">
        <v>124</v>
      </c>
      <c r="AI70" s="37"/>
      <c r="AJ70" s="37"/>
      <c r="AK70" s="37">
        <f>AG70*$M$68+AG70</f>
        <v>15396.259434157042</v>
      </c>
      <c r="AL70" s="37">
        <f>AK70/(AG13+AK13+AH13+AL13)</f>
        <v>1.1154099090327259</v>
      </c>
    </row>
    <row r="71" spans="8:38" x14ac:dyDescent="0.25">
      <c r="H71" s="25" t="s">
        <v>59</v>
      </c>
      <c r="I71" s="37">
        <f>M53+M60</f>
        <v>3801.6400000000003</v>
      </c>
      <c r="J71" s="25" t="s">
        <v>124</v>
      </c>
      <c r="K71" s="37"/>
      <c r="L71" s="37"/>
      <c r="M71" s="37">
        <f>I71*$M$68+I71</f>
        <v>4676.0172000000002</v>
      </c>
      <c r="N71" s="37">
        <f>M71/(I15+M15+J15+N15)</f>
        <v>0.9844246736842106</v>
      </c>
      <c r="P71" s="25" t="s">
        <v>59</v>
      </c>
      <c r="Q71" s="37">
        <f>U53+U60</f>
        <v>3350.7830432476885</v>
      </c>
      <c r="R71" s="25" t="s">
        <v>124</v>
      </c>
      <c r="S71" s="37"/>
      <c r="T71" s="37"/>
      <c r="U71" s="37">
        <f>Q71*$M$68+Q71</f>
        <v>4121.4631431946573</v>
      </c>
      <c r="V71" s="37">
        <f>U71/(Q15+U15+R15+V15)</f>
        <v>1.1977430353533345</v>
      </c>
      <c r="X71" s="25" t="s">
        <v>59</v>
      </c>
      <c r="Y71" s="37">
        <f>AC53+AC60</f>
        <v>3753.4488881447373</v>
      </c>
      <c r="Z71" s="25" t="s">
        <v>124</v>
      </c>
      <c r="AA71" s="37"/>
      <c r="AB71" s="37"/>
      <c r="AC71" s="37">
        <f>Y71*$M$68+Y71</f>
        <v>4616.7421324180268</v>
      </c>
      <c r="AD71" s="37">
        <f>AC71/(Y15+AC15+Z15+AD15)</f>
        <v>1.2165695525258848</v>
      </c>
      <c r="AF71" s="25" t="s">
        <v>59</v>
      </c>
      <c r="AG71" s="37">
        <f>AK53+AK60</f>
        <v>12128.400004227273</v>
      </c>
      <c r="AH71" s="25" t="s">
        <v>124</v>
      </c>
      <c r="AI71" s="37"/>
      <c r="AJ71" s="37"/>
      <c r="AK71" s="37">
        <f>AG71*$M$68+AG71</f>
        <v>14917.932005199546</v>
      </c>
      <c r="AL71" s="37">
        <f>AK71/(AG15+AK15+AH15+AL15)</f>
        <v>1.0807566118274525</v>
      </c>
    </row>
    <row r="73" spans="8:38" x14ac:dyDescent="0.25">
      <c r="H73" s="33"/>
      <c r="I73" s="33" t="s">
        <v>187</v>
      </c>
      <c r="J73" s="33"/>
      <c r="K73" s="34"/>
      <c r="L73" s="38" t="s">
        <v>188</v>
      </c>
      <c r="M73" s="34"/>
      <c r="N73" s="34"/>
      <c r="AC73" s="36">
        <f>AC69/(EE!$D$4+EE!$D$5)</f>
        <v>0.36227797800655942</v>
      </c>
    </row>
    <row r="74" spans="8:38" x14ac:dyDescent="0.25">
      <c r="H74" s="25" t="s">
        <v>57</v>
      </c>
      <c r="I74" s="37">
        <f>I51+I58</f>
        <v>1327.64</v>
      </c>
      <c r="J74" s="37">
        <f>I74+I74*$M$68</f>
        <v>1632.9972000000002</v>
      </c>
      <c r="K74" s="37">
        <f>J74/EE!M13</f>
        <v>0.81649860000000007</v>
      </c>
      <c r="L74" s="37">
        <f>K51+K58</f>
        <v>2869.0649999999996</v>
      </c>
      <c r="M74" s="37">
        <f>L74+L74*$M$68</f>
        <v>3528.9499499999993</v>
      </c>
      <c r="N74" s="37">
        <f>M74/(EE!N13)</f>
        <v>1.2832545272727269</v>
      </c>
      <c r="AC74" s="36">
        <f>AC70/(EE!$D$4+EE!$D$5)</f>
        <v>0.33514488632288758</v>
      </c>
    </row>
    <row r="75" spans="8:38" x14ac:dyDescent="0.25">
      <c r="H75" s="25" t="s">
        <v>58</v>
      </c>
      <c r="I75" s="37">
        <f>I52+I59</f>
        <v>1186.44</v>
      </c>
      <c r="J75" s="37">
        <f>I75+I75*$M$68</f>
        <v>1459.3212000000001</v>
      </c>
      <c r="K75" s="37">
        <f>J75/(EE!M17+EE!M20)</f>
        <v>0.72966059999999999</v>
      </c>
      <c r="L75" s="37">
        <f>K52+K59</f>
        <v>2599.0549999999998</v>
      </c>
      <c r="M75" s="37">
        <f>L75+L75*$M$68</f>
        <v>3196.8376499999999</v>
      </c>
      <c r="N75" s="37">
        <f>M75/(EE!N17+EE!N20)</f>
        <v>1.1624864181818182</v>
      </c>
      <c r="AC75" s="36">
        <f>AC71/(EE!$D$4+EE!$D$5)</f>
        <v>0.33784671536486666</v>
      </c>
    </row>
    <row r="76" spans="8:38" x14ac:dyDescent="0.25">
      <c r="H76" s="25" t="s">
        <v>59</v>
      </c>
      <c r="I76" s="37">
        <f>I53+I60</f>
        <v>1205.3800000000001</v>
      </c>
      <c r="J76" s="37">
        <f>I76+I76*$M$68</f>
        <v>1482.6174000000001</v>
      </c>
      <c r="K76" s="37">
        <f>J76/(EE!M24+EE!M27)</f>
        <v>0.74130870000000004</v>
      </c>
      <c r="L76" s="37">
        <f>K53+K60</f>
        <v>2596.2599999999998</v>
      </c>
      <c r="M76" s="37">
        <f>L76+L76*$M$68</f>
        <v>3193.3997999999997</v>
      </c>
      <c r="N76" s="37">
        <f>M76/(EE!N24+EE!N27)</f>
        <v>1.1612362909090908</v>
      </c>
    </row>
  </sheetData>
  <sheetProtection algorithmName="SHA-512" hashValue="8BViuSlAOR3e4XV1ytqhyS8mYh+iQ6ALlsLMeuoIXVjONQni92XJt7aTylPMcVWG8qJKS2smBSN3+MGtRMdWew==" saltValue="558twAmCJJStnUPqzhB3bA==" spinCount="100000" sheet="1" objects="1" scenarios="1"/>
  <mergeCells count="50">
    <mergeCell ref="P5:V5"/>
    <mergeCell ref="X5:AD5"/>
    <mergeCell ref="AF5:AL5"/>
    <mergeCell ref="B5:K5"/>
    <mergeCell ref="B7:C7"/>
    <mergeCell ref="H7:J7"/>
    <mergeCell ref="L7:N7"/>
    <mergeCell ref="H9:J9"/>
    <mergeCell ref="L9:N9"/>
    <mergeCell ref="H46:N46"/>
    <mergeCell ref="H48:N48"/>
    <mergeCell ref="H55:N55"/>
    <mergeCell ref="B19:N19"/>
    <mergeCell ref="H21:J21"/>
    <mergeCell ref="L21:N21"/>
    <mergeCell ref="H62:N62"/>
    <mergeCell ref="H66:N66"/>
    <mergeCell ref="P66:V66"/>
    <mergeCell ref="X66:AD66"/>
    <mergeCell ref="AF66:AL66"/>
    <mergeCell ref="P62:V62"/>
    <mergeCell ref="X62:AD62"/>
    <mergeCell ref="AF62:AL62"/>
    <mergeCell ref="P55:V55"/>
    <mergeCell ref="X55:AD55"/>
    <mergeCell ref="AF55:AL55"/>
    <mergeCell ref="P48:V48"/>
    <mergeCell ref="X48:AD48"/>
    <mergeCell ref="AF48:AL48"/>
    <mergeCell ref="P46:V46"/>
    <mergeCell ref="X46:AD46"/>
    <mergeCell ref="AF46:AL46"/>
    <mergeCell ref="P7:R7"/>
    <mergeCell ref="T7:V7"/>
    <mergeCell ref="P9:R9"/>
    <mergeCell ref="T9:V9"/>
    <mergeCell ref="X7:Z7"/>
    <mergeCell ref="AB7:AD7"/>
    <mergeCell ref="X9:Z9"/>
    <mergeCell ref="P21:R21"/>
    <mergeCell ref="T21:V21"/>
    <mergeCell ref="X21:Z21"/>
    <mergeCell ref="AB21:AD21"/>
    <mergeCell ref="AF21:AH21"/>
    <mergeCell ref="AJ21:AL21"/>
    <mergeCell ref="AB9:AD9"/>
    <mergeCell ref="AF7:AH7"/>
    <mergeCell ref="AJ7:AL7"/>
    <mergeCell ref="AF9:AH9"/>
    <mergeCell ref="AJ9:AL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C2CED-5573-438F-8C0A-74B53FB3C31D}">
  <dimension ref="B2:AL81"/>
  <sheetViews>
    <sheetView zoomScale="70" zoomScaleNormal="70" workbookViewId="0">
      <selection activeCell="V69" sqref="V69"/>
    </sheetView>
  </sheetViews>
  <sheetFormatPr defaultRowHeight="12" x14ac:dyDescent="0.25"/>
  <cols>
    <col min="1" max="5" width="8.88671875" style="22"/>
    <col min="6" max="6" width="10.44140625" style="22" customWidth="1"/>
    <col min="7" max="32" width="8.88671875" style="22"/>
    <col min="33" max="33" width="10.44140625" style="22" bestFit="1" customWidth="1"/>
    <col min="34" max="36" width="8.88671875" style="22"/>
    <col min="37" max="37" width="10.6640625" style="22" bestFit="1" customWidth="1"/>
    <col min="38" max="16384" width="8.88671875" style="22"/>
  </cols>
  <sheetData>
    <row r="2" spans="2:38" x14ac:dyDescent="0.25">
      <c r="C2" s="28" t="s">
        <v>83</v>
      </c>
      <c r="D2" s="30">
        <v>44927</v>
      </c>
      <c r="F2" s="29" t="s">
        <v>134</v>
      </c>
      <c r="H2" s="22" t="s">
        <v>63</v>
      </c>
      <c r="I2" s="51" t="s">
        <v>135</v>
      </c>
    </row>
    <row r="3" spans="2:38" x14ac:dyDescent="0.25">
      <c r="C3" s="29" t="s">
        <v>84</v>
      </c>
      <c r="H3" s="22" t="s">
        <v>62</v>
      </c>
      <c r="I3" s="51" t="s">
        <v>135</v>
      </c>
    </row>
    <row r="4" spans="2:38" x14ac:dyDescent="0.25">
      <c r="C4" s="29"/>
      <c r="R4" s="23"/>
    </row>
    <row r="5" spans="2:38" x14ac:dyDescent="0.25">
      <c r="B5" s="342" t="s">
        <v>116</v>
      </c>
      <c r="C5" s="342"/>
      <c r="D5" s="342"/>
      <c r="E5" s="342"/>
      <c r="F5" s="342"/>
      <c r="G5" s="342"/>
      <c r="H5" s="342"/>
      <c r="I5" s="342"/>
      <c r="J5" s="342"/>
      <c r="K5" s="342"/>
      <c r="L5" s="35"/>
      <c r="M5" s="35"/>
      <c r="N5" s="35"/>
      <c r="P5" s="333" t="s">
        <v>180</v>
      </c>
      <c r="Q5" s="333"/>
      <c r="R5" s="333"/>
      <c r="S5" s="333"/>
      <c r="T5" s="333"/>
      <c r="U5" s="333"/>
      <c r="V5" s="333"/>
      <c r="X5" s="333" t="s">
        <v>181</v>
      </c>
      <c r="Y5" s="333"/>
      <c r="Z5" s="333"/>
      <c r="AA5" s="333"/>
      <c r="AB5" s="333"/>
      <c r="AC5" s="333"/>
      <c r="AD5" s="333"/>
      <c r="AF5" s="333" t="s">
        <v>182</v>
      </c>
      <c r="AG5" s="333"/>
      <c r="AH5" s="333"/>
      <c r="AI5" s="333"/>
      <c r="AJ5" s="333"/>
      <c r="AK5" s="333"/>
      <c r="AL5" s="333"/>
    </row>
    <row r="7" spans="2:38" s="23" customFormat="1" x14ac:dyDescent="0.25">
      <c r="B7" s="343" t="s">
        <v>74</v>
      </c>
      <c r="C7" s="344"/>
      <c r="H7" s="341" t="s">
        <v>128</v>
      </c>
      <c r="I7" s="341"/>
      <c r="J7" s="341"/>
      <c r="L7" s="341" t="s">
        <v>129</v>
      </c>
      <c r="M7" s="341"/>
      <c r="N7" s="341"/>
      <c r="P7" s="341" t="s">
        <v>128</v>
      </c>
      <c r="Q7" s="341"/>
      <c r="R7" s="341"/>
      <c r="T7" s="341" t="s">
        <v>129</v>
      </c>
      <c r="U7" s="341"/>
      <c r="V7" s="341"/>
      <c r="X7" s="341" t="s">
        <v>128</v>
      </c>
      <c r="Y7" s="341"/>
      <c r="Z7" s="341"/>
      <c r="AB7" s="341" t="s">
        <v>129</v>
      </c>
      <c r="AC7" s="341"/>
      <c r="AD7" s="341"/>
      <c r="AF7" s="341" t="s">
        <v>128</v>
      </c>
      <c r="AG7" s="341"/>
      <c r="AH7" s="341"/>
      <c r="AJ7" s="341" t="s">
        <v>129</v>
      </c>
      <c r="AK7" s="341"/>
      <c r="AL7" s="341"/>
    </row>
    <row r="8" spans="2:38" s="23" customFormat="1" x14ac:dyDescent="0.25">
      <c r="B8" s="262"/>
      <c r="C8" s="262"/>
      <c r="H8" s="34" t="s">
        <v>77</v>
      </c>
      <c r="I8" s="34" t="s">
        <v>78</v>
      </c>
      <c r="J8" s="34" t="s">
        <v>79</v>
      </c>
      <c r="L8" s="34" t="s">
        <v>77</v>
      </c>
      <c r="M8" s="34" t="s">
        <v>78</v>
      </c>
      <c r="N8" s="34" t="s">
        <v>79</v>
      </c>
      <c r="P8" s="34" t="s">
        <v>77</v>
      </c>
      <c r="Q8" s="34" t="s">
        <v>78</v>
      </c>
      <c r="R8" s="34" t="s">
        <v>79</v>
      </c>
      <c r="T8" s="34" t="s">
        <v>77</v>
      </c>
      <c r="U8" s="34" t="s">
        <v>78</v>
      </c>
      <c r="V8" s="34" t="s">
        <v>79</v>
      </c>
      <c r="X8" s="34" t="s">
        <v>77</v>
      </c>
      <c r="Y8" s="34" t="s">
        <v>78</v>
      </c>
      <c r="Z8" s="34" t="s">
        <v>79</v>
      </c>
      <c r="AB8" s="34" t="s">
        <v>77</v>
      </c>
      <c r="AC8" s="34" t="s">
        <v>78</v>
      </c>
      <c r="AD8" s="34" t="s">
        <v>79</v>
      </c>
      <c r="AF8" s="34" t="s">
        <v>77</v>
      </c>
      <c r="AG8" s="34" t="s">
        <v>78</v>
      </c>
      <c r="AH8" s="34" t="s">
        <v>79</v>
      </c>
      <c r="AJ8" s="34" t="s">
        <v>77</v>
      </c>
      <c r="AK8" s="34" t="s">
        <v>78</v>
      </c>
      <c r="AL8" s="34" t="s">
        <v>79</v>
      </c>
    </row>
    <row r="9" spans="2:38" s="23" customFormat="1" x14ac:dyDescent="0.25">
      <c r="B9" s="262"/>
      <c r="C9" s="262"/>
      <c r="H9" s="340" t="s">
        <v>80</v>
      </c>
      <c r="I9" s="340"/>
      <c r="J9" s="340"/>
      <c r="L9" s="340" t="s">
        <v>80</v>
      </c>
      <c r="M9" s="340"/>
      <c r="N9" s="340"/>
      <c r="P9" s="340" t="s">
        <v>80</v>
      </c>
      <c r="Q9" s="340"/>
      <c r="R9" s="340"/>
      <c r="T9" s="340" t="s">
        <v>80</v>
      </c>
      <c r="U9" s="340"/>
      <c r="V9" s="340"/>
      <c r="X9" s="340" t="s">
        <v>80</v>
      </c>
      <c r="Y9" s="340"/>
      <c r="Z9" s="340"/>
      <c r="AB9" s="340" t="s">
        <v>80</v>
      </c>
      <c r="AC9" s="340"/>
      <c r="AD9" s="340"/>
      <c r="AF9" s="340" t="s">
        <v>80</v>
      </c>
      <c r="AG9" s="340"/>
      <c r="AH9" s="340"/>
      <c r="AJ9" s="340" t="s">
        <v>80</v>
      </c>
      <c r="AK9" s="340"/>
      <c r="AL9" s="340"/>
    </row>
    <row r="10" spans="2:38" s="23" customFormat="1" x14ac:dyDescent="0.25">
      <c r="B10" s="262" t="s">
        <v>75</v>
      </c>
      <c r="C10" s="262" t="s">
        <v>57</v>
      </c>
      <c r="H10" s="27">
        <v>0.41470000000000001</v>
      </c>
      <c r="I10" s="27"/>
      <c r="J10" s="27"/>
      <c r="L10" s="40">
        <f>0.693</f>
        <v>0.69299999999999995</v>
      </c>
      <c r="M10" s="43"/>
      <c r="N10" s="43"/>
      <c r="P10" s="27">
        <f>$H$10</f>
        <v>0.41470000000000001</v>
      </c>
      <c r="Q10" s="27"/>
      <c r="R10" s="27"/>
      <c r="T10" s="40">
        <f>$L$10</f>
        <v>0.69299999999999995</v>
      </c>
      <c r="U10" s="43"/>
      <c r="V10" s="43"/>
      <c r="X10" s="27">
        <f>$H$10</f>
        <v>0.41470000000000001</v>
      </c>
      <c r="Y10" s="27"/>
      <c r="Z10" s="27"/>
      <c r="AB10" s="40">
        <f>$L$10</f>
        <v>0.69299999999999995</v>
      </c>
      <c r="AC10" s="43"/>
      <c r="AD10" s="43"/>
      <c r="AF10" s="27">
        <f>$H$10</f>
        <v>0.41470000000000001</v>
      </c>
      <c r="AG10" s="27"/>
      <c r="AH10" s="27"/>
      <c r="AJ10" s="40">
        <f>$L$10</f>
        <v>0.69299999999999995</v>
      </c>
      <c r="AK10" s="43"/>
      <c r="AL10" s="43"/>
    </row>
    <row r="11" spans="2:38" s="23" customFormat="1" x14ac:dyDescent="0.25">
      <c r="B11" s="262"/>
      <c r="C11" s="262"/>
      <c r="H11" s="60">
        <f>EE!M13</f>
        <v>2000</v>
      </c>
      <c r="I11" s="27"/>
      <c r="J11" s="27"/>
      <c r="L11" s="60">
        <f>EE!N13</f>
        <v>2750</v>
      </c>
      <c r="M11" s="43"/>
      <c r="N11" s="43"/>
      <c r="P11" s="60">
        <f>EE!M36</f>
        <v>0</v>
      </c>
      <c r="Q11" s="27"/>
      <c r="R11" s="27"/>
      <c r="T11" s="60">
        <f>EE!N36</f>
        <v>3441.0245115546213</v>
      </c>
      <c r="U11" s="43"/>
      <c r="V11" s="43"/>
      <c r="X11" s="60">
        <f>EE!M59</f>
        <v>0</v>
      </c>
      <c r="Y11" s="27"/>
      <c r="Z11" s="27"/>
      <c r="AB11" s="60">
        <f>EE!N59</f>
        <v>3794.8854817487272</v>
      </c>
      <c r="AC11" s="43"/>
      <c r="AD11" s="43"/>
      <c r="AF11" s="60">
        <f>EE!M82</f>
        <v>0</v>
      </c>
      <c r="AG11" s="27"/>
      <c r="AH11" s="27"/>
      <c r="AJ11" s="60">
        <f>EE!N82</f>
        <v>13803.229924242423</v>
      </c>
      <c r="AK11" s="43"/>
      <c r="AL11" s="43"/>
    </row>
    <row r="12" spans="2:38" s="23" customFormat="1" x14ac:dyDescent="0.25">
      <c r="B12" s="262" t="s">
        <v>75</v>
      </c>
      <c r="C12" s="262" t="s">
        <v>58</v>
      </c>
      <c r="H12" s="27"/>
      <c r="I12" s="27">
        <v>0.51200000000000001</v>
      </c>
      <c r="J12" s="27">
        <v>0.26500000000000001</v>
      </c>
      <c r="L12" s="40"/>
      <c r="M12" s="40">
        <f>0.693</f>
        <v>0.69299999999999995</v>
      </c>
      <c r="N12" s="40">
        <f>0.693</f>
        <v>0.69299999999999995</v>
      </c>
      <c r="P12" s="27"/>
      <c r="Q12" s="27">
        <f>$I$12</f>
        <v>0.51200000000000001</v>
      </c>
      <c r="R12" s="27">
        <f>$J$12</f>
        <v>0.26500000000000001</v>
      </c>
      <c r="T12" s="40"/>
      <c r="U12" s="42">
        <f>$M$12</f>
        <v>0.69299999999999995</v>
      </c>
      <c r="V12" s="42">
        <f>$N$12</f>
        <v>0.69299999999999995</v>
      </c>
      <c r="X12" s="27"/>
      <c r="Y12" s="27">
        <f>$I$12</f>
        <v>0.51200000000000001</v>
      </c>
      <c r="Z12" s="27">
        <f>$J$12</f>
        <v>0.26500000000000001</v>
      </c>
      <c r="AB12" s="40"/>
      <c r="AC12" s="42">
        <f>$M$12</f>
        <v>0.69299999999999995</v>
      </c>
      <c r="AD12" s="42">
        <f>$N$12</f>
        <v>0.69299999999999995</v>
      </c>
      <c r="AF12" s="27"/>
      <c r="AG12" s="27">
        <f>$I$12</f>
        <v>0.51200000000000001</v>
      </c>
      <c r="AH12" s="27">
        <f>$J$12</f>
        <v>0.26500000000000001</v>
      </c>
      <c r="AJ12" s="40"/>
      <c r="AK12" s="42">
        <f>$M$12</f>
        <v>0.69299999999999995</v>
      </c>
      <c r="AL12" s="42">
        <f>$N$12</f>
        <v>0.69299999999999995</v>
      </c>
    </row>
    <row r="13" spans="2:38" s="23" customFormat="1" x14ac:dyDescent="0.25">
      <c r="B13" s="262"/>
      <c r="C13" s="262"/>
      <c r="H13" s="27"/>
      <c r="I13" s="60">
        <f>EE!M17</f>
        <v>1000</v>
      </c>
      <c r="J13" s="60">
        <f>EE!M20</f>
        <v>1000</v>
      </c>
      <c r="L13" s="40"/>
      <c r="M13" s="59">
        <f>EE!N17</f>
        <v>1375</v>
      </c>
      <c r="N13" s="59">
        <f>EE!N20</f>
        <v>1375</v>
      </c>
      <c r="P13" s="27"/>
      <c r="Q13" s="60">
        <f>EE!M40</f>
        <v>0</v>
      </c>
      <c r="R13" s="60">
        <f>EE!M43</f>
        <v>0</v>
      </c>
      <c r="T13" s="40"/>
      <c r="U13" s="59">
        <f>EE!N40</f>
        <v>1720.5122557773107</v>
      </c>
      <c r="V13" s="59">
        <f>EE!N43</f>
        <v>1720.5122557773107</v>
      </c>
      <c r="X13" s="27"/>
      <c r="Y13" s="60">
        <f>EE!M63</f>
        <v>0</v>
      </c>
      <c r="Z13" s="60">
        <f>EE!M66</f>
        <v>0</v>
      </c>
      <c r="AB13" s="40"/>
      <c r="AC13" s="59">
        <f>EE!N63</f>
        <v>2087.1870149618003</v>
      </c>
      <c r="AD13" s="59">
        <f>EE!N66</f>
        <v>1707.6984667869274</v>
      </c>
      <c r="AF13" s="27"/>
      <c r="AG13" s="60">
        <f>EE!M86</f>
        <v>0</v>
      </c>
      <c r="AH13" s="60">
        <f>EE!M89</f>
        <v>0</v>
      </c>
      <c r="AJ13" s="40"/>
      <c r="AK13" s="59">
        <f>EE!N86</f>
        <v>6901.6149621212116</v>
      </c>
      <c r="AL13" s="59">
        <f>EE!N89</f>
        <v>6901.6149621212116</v>
      </c>
    </row>
    <row r="14" spans="2:38" x14ac:dyDescent="0.25">
      <c r="B14" s="262" t="s">
        <v>75</v>
      </c>
      <c r="C14" s="262" t="s">
        <v>59</v>
      </c>
      <c r="D14" s="23"/>
      <c r="H14" s="27"/>
      <c r="I14" s="27">
        <v>0.54700000000000004</v>
      </c>
      <c r="J14" s="27">
        <v>0.26500000000000001</v>
      </c>
      <c r="L14" s="40"/>
      <c r="M14" s="40">
        <f>0.693</f>
        <v>0.69299999999999995</v>
      </c>
      <c r="N14" s="40">
        <f>0.693</f>
        <v>0.69299999999999995</v>
      </c>
      <c r="P14" s="27"/>
      <c r="Q14" s="27">
        <f>$I$14</f>
        <v>0.54700000000000004</v>
      </c>
      <c r="R14" s="27">
        <f>$J$14</f>
        <v>0.26500000000000001</v>
      </c>
      <c r="T14" s="40"/>
      <c r="U14" s="42">
        <f>$M$14</f>
        <v>0.69299999999999995</v>
      </c>
      <c r="V14" s="42">
        <f>$N$14</f>
        <v>0.69299999999999995</v>
      </c>
      <c r="X14" s="27"/>
      <c r="Y14" s="27">
        <f>$I$14</f>
        <v>0.54700000000000004</v>
      </c>
      <c r="Z14" s="27">
        <f>$J$14</f>
        <v>0.26500000000000001</v>
      </c>
      <c r="AB14" s="40"/>
      <c r="AC14" s="42">
        <f>$M$14</f>
        <v>0.69299999999999995</v>
      </c>
      <c r="AD14" s="42">
        <f>$N$14</f>
        <v>0.69299999999999995</v>
      </c>
      <c r="AF14" s="27"/>
      <c r="AG14" s="27">
        <f>$I$14</f>
        <v>0.54700000000000004</v>
      </c>
      <c r="AH14" s="27">
        <f>$J$14</f>
        <v>0.26500000000000001</v>
      </c>
      <c r="AJ14" s="40"/>
      <c r="AK14" s="42">
        <f>$M$14</f>
        <v>0.69299999999999995</v>
      </c>
      <c r="AL14" s="42">
        <f>$N$14</f>
        <v>0.69299999999999995</v>
      </c>
    </row>
    <row r="15" spans="2:38" x14ac:dyDescent="0.25">
      <c r="B15" s="25"/>
      <c r="C15" s="25"/>
      <c r="H15" s="25"/>
      <c r="I15" s="58">
        <f>EE!M24</f>
        <v>800</v>
      </c>
      <c r="J15" s="58">
        <f>EE!M27</f>
        <v>1200</v>
      </c>
      <c r="K15" s="47"/>
      <c r="L15" s="25"/>
      <c r="M15" s="32">
        <f>EE!N24</f>
        <v>1100</v>
      </c>
      <c r="N15" s="32">
        <f>EE!N27</f>
        <v>1650</v>
      </c>
      <c r="P15" s="25"/>
      <c r="Q15" s="58">
        <f>EE!M47</f>
        <v>0</v>
      </c>
      <c r="R15" s="58">
        <f>EE!M50</f>
        <v>0</v>
      </c>
      <c r="S15" s="47"/>
      <c r="T15" s="25"/>
      <c r="U15" s="154">
        <f>EE!N47</f>
        <v>1204.3585790441173</v>
      </c>
      <c r="V15" s="154">
        <f>EE!N50</f>
        <v>2236.6659325105038</v>
      </c>
      <c r="X15" s="25"/>
      <c r="Y15" s="58">
        <f>EE!M70</f>
        <v>0</v>
      </c>
      <c r="Z15" s="58">
        <f>EE!M73</f>
        <v>0</v>
      </c>
      <c r="AA15" s="47"/>
      <c r="AB15" s="25"/>
      <c r="AC15" s="154">
        <f>EE!N70</f>
        <v>1707.6984667869274</v>
      </c>
      <c r="AD15" s="154">
        <f>EE!N73</f>
        <v>2087.1870149618003</v>
      </c>
      <c r="AF15" s="25"/>
      <c r="AG15" s="58">
        <f>EE!M93</f>
        <v>0</v>
      </c>
      <c r="AH15" s="58">
        <f>EE!M96</f>
        <v>0</v>
      </c>
      <c r="AI15" s="47"/>
      <c r="AJ15" s="25"/>
      <c r="AK15" s="154">
        <f>EE!N93</f>
        <v>4831.1304734848482</v>
      </c>
      <c r="AL15" s="154">
        <f>EE!N96</f>
        <v>8972.0994507575761</v>
      </c>
    </row>
    <row r="16" spans="2:38" x14ac:dyDescent="0.25">
      <c r="I16" s="45"/>
      <c r="J16" s="45"/>
      <c r="K16" s="47"/>
    </row>
    <row r="17" spans="2:38" x14ac:dyDescent="0.25">
      <c r="B17" s="25" t="s">
        <v>81</v>
      </c>
      <c r="C17" s="25"/>
      <c r="H17" s="27">
        <v>5</v>
      </c>
      <c r="I17" s="22" t="s">
        <v>82</v>
      </c>
      <c r="J17" s="45"/>
      <c r="K17" s="47"/>
    </row>
    <row r="19" spans="2:38" x14ac:dyDescent="0.25">
      <c r="B19" s="342" t="s">
        <v>117</v>
      </c>
      <c r="C19" s="342"/>
      <c r="D19" s="342"/>
      <c r="E19" s="342"/>
      <c r="F19" s="342"/>
      <c r="G19" s="342"/>
      <c r="H19" s="342"/>
      <c r="I19" s="342"/>
      <c r="J19" s="342"/>
      <c r="K19" s="342"/>
      <c r="L19" s="342"/>
      <c r="M19" s="342"/>
      <c r="N19" s="342"/>
    </row>
    <row r="21" spans="2:38" x14ac:dyDescent="0.25">
      <c r="H21" s="341" t="s">
        <v>136</v>
      </c>
      <c r="I21" s="341"/>
      <c r="J21" s="341"/>
      <c r="L21" s="341" t="s">
        <v>137</v>
      </c>
      <c r="M21" s="341"/>
      <c r="N21" s="341"/>
      <c r="P21" s="341" t="s">
        <v>136</v>
      </c>
      <c r="Q21" s="341"/>
      <c r="R21" s="341"/>
      <c r="T21" s="341" t="s">
        <v>137</v>
      </c>
      <c r="U21" s="341"/>
      <c r="V21" s="341"/>
      <c r="X21" s="341" t="s">
        <v>136</v>
      </c>
      <c r="Y21" s="341"/>
      <c r="Z21" s="341"/>
      <c r="AB21" s="341" t="s">
        <v>137</v>
      </c>
      <c r="AC21" s="341"/>
      <c r="AD21" s="341"/>
      <c r="AF21" s="341" t="s">
        <v>136</v>
      </c>
      <c r="AG21" s="341"/>
      <c r="AH21" s="341"/>
      <c r="AJ21" s="341" t="s">
        <v>137</v>
      </c>
      <c r="AK21" s="341"/>
      <c r="AL21" s="341"/>
    </row>
    <row r="22" spans="2:38" x14ac:dyDescent="0.25">
      <c r="B22" s="33"/>
      <c r="C22" s="33"/>
      <c r="D22" s="33"/>
      <c r="E22" s="33"/>
      <c r="F22" s="33"/>
      <c r="H22" s="33" t="s">
        <v>57</v>
      </c>
      <c r="I22" s="33" t="s">
        <v>58</v>
      </c>
      <c r="J22" s="33" t="s">
        <v>59</v>
      </c>
      <c r="L22" s="33" t="s">
        <v>57</v>
      </c>
      <c r="M22" s="33" t="s">
        <v>58</v>
      </c>
      <c r="N22" s="33" t="s">
        <v>59</v>
      </c>
      <c r="P22" s="33" t="s">
        <v>57</v>
      </c>
      <c r="Q22" s="33" t="s">
        <v>58</v>
      </c>
      <c r="R22" s="33" t="s">
        <v>59</v>
      </c>
      <c r="T22" s="33" t="s">
        <v>57</v>
      </c>
      <c r="U22" s="33" t="s">
        <v>58</v>
      </c>
      <c r="V22" s="33" t="s">
        <v>59</v>
      </c>
      <c r="X22" s="33" t="s">
        <v>57</v>
      </c>
      <c r="Y22" s="33" t="s">
        <v>58</v>
      </c>
      <c r="Z22" s="33" t="s">
        <v>59</v>
      </c>
      <c r="AB22" s="33" t="s">
        <v>57</v>
      </c>
      <c r="AC22" s="33" t="s">
        <v>58</v>
      </c>
      <c r="AD22" s="33" t="s">
        <v>59</v>
      </c>
      <c r="AF22" s="33" t="s">
        <v>57</v>
      </c>
      <c r="AG22" s="33" t="s">
        <v>58</v>
      </c>
      <c r="AH22" s="33" t="s">
        <v>59</v>
      </c>
      <c r="AJ22" s="33" t="s">
        <v>57</v>
      </c>
      <c r="AK22" s="33" t="s">
        <v>58</v>
      </c>
      <c r="AL22" s="33" t="s">
        <v>59</v>
      </c>
    </row>
    <row r="23" spans="2:38" x14ac:dyDescent="0.25">
      <c r="B23" s="39" t="s">
        <v>90</v>
      </c>
      <c r="C23" s="39" t="s">
        <v>85</v>
      </c>
      <c r="D23" s="39"/>
      <c r="E23" s="39"/>
      <c r="F23" s="39" t="s">
        <v>86</v>
      </c>
      <c r="G23" s="56"/>
      <c r="H23" s="39">
        <f>7.91/1.23</f>
        <v>6.4308943089430892</v>
      </c>
      <c r="I23" s="39">
        <f>9.78/1.23</f>
        <v>7.9512195121951219</v>
      </c>
      <c r="J23" s="39">
        <f>9.78/1.23</f>
        <v>7.9512195121951219</v>
      </c>
      <c r="K23" s="56"/>
      <c r="L23" s="39">
        <f>12.67/1.23</f>
        <v>10.300813008130081</v>
      </c>
      <c r="M23" s="39">
        <f>14.66/1.23</f>
        <v>11.918699186991871</v>
      </c>
      <c r="N23" s="39">
        <f>14.66/1.23</f>
        <v>11.918699186991871</v>
      </c>
      <c r="O23" s="55"/>
      <c r="P23" s="39">
        <f>H23</f>
        <v>6.4308943089430892</v>
      </c>
      <c r="Q23" s="39">
        <f>I23</f>
        <v>7.9512195121951219</v>
      </c>
      <c r="R23" s="39">
        <f>J23</f>
        <v>7.9512195121951219</v>
      </c>
      <c r="S23" s="56"/>
      <c r="T23" s="39">
        <f>L23</f>
        <v>10.300813008130081</v>
      </c>
      <c r="U23" s="39">
        <f>M23</f>
        <v>11.918699186991871</v>
      </c>
      <c r="V23" s="39">
        <f>N23</f>
        <v>11.918699186991871</v>
      </c>
      <c r="X23" s="39">
        <f>P23</f>
        <v>6.4308943089430892</v>
      </c>
      <c r="Y23" s="39">
        <f>Q23</f>
        <v>7.9512195121951219</v>
      </c>
      <c r="Z23" s="39">
        <f>R23</f>
        <v>7.9512195121951219</v>
      </c>
      <c r="AA23" s="56"/>
      <c r="AB23" s="39">
        <f>T23</f>
        <v>10.300813008130081</v>
      </c>
      <c r="AC23" s="39">
        <f>U23</f>
        <v>11.918699186991871</v>
      </c>
      <c r="AD23" s="39">
        <f>V23</f>
        <v>11.918699186991871</v>
      </c>
      <c r="AF23" s="39">
        <f>X23</f>
        <v>6.4308943089430892</v>
      </c>
      <c r="AG23" s="39">
        <f>Y23</f>
        <v>7.9512195121951219</v>
      </c>
      <c r="AH23" s="39">
        <f>Z23</f>
        <v>7.9512195121951219</v>
      </c>
      <c r="AI23" s="56"/>
      <c r="AJ23" s="39">
        <f>AB23</f>
        <v>10.300813008130081</v>
      </c>
      <c r="AK23" s="39">
        <f>AC23</f>
        <v>11.918699186991871</v>
      </c>
      <c r="AL23" s="39">
        <f>AD23</f>
        <v>11.918699186991871</v>
      </c>
    </row>
    <row r="24" spans="2:38" x14ac:dyDescent="0.25">
      <c r="B24" s="39" t="s">
        <v>88</v>
      </c>
      <c r="C24" s="39" t="s">
        <v>87</v>
      </c>
      <c r="D24" s="39"/>
      <c r="E24" s="39"/>
      <c r="F24" s="39" t="s">
        <v>108</v>
      </c>
      <c r="G24" s="56"/>
      <c r="H24" s="39">
        <f>IF(H26&lt;&gt;0,IF(L26&lt;&gt;0,6,12),0)</f>
        <v>6</v>
      </c>
      <c r="I24" s="39">
        <f>H24</f>
        <v>6</v>
      </c>
      <c r="J24" s="39">
        <f>H24</f>
        <v>6</v>
      </c>
      <c r="K24" s="56"/>
      <c r="L24" s="39">
        <f>12-H24</f>
        <v>6</v>
      </c>
      <c r="M24" s="39">
        <f>L24</f>
        <v>6</v>
      </c>
      <c r="N24" s="39">
        <f>L24</f>
        <v>6</v>
      </c>
      <c r="P24" s="39">
        <f>IF(P26&lt;&gt;0,IF(T26&lt;&gt;0,6,12),0)</f>
        <v>0</v>
      </c>
      <c r="Q24" s="39">
        <f>P24</f>
        <v>0</v>
      </c>
      <c r="R24" s="39">
        <f>P24</f>
        <v>0</v>
      </c>
      <c r="S24" s="56"/>
      <c r="T24" s="39">
        <f>12-P24</f>
        <v>12</v>
      </c>
      <c r="U24" s="39">
        <f>T24</f>
        <v>12</v>
      </c>
      <c r="V24" s="39">
        <f>T24</f>
        <v>12</v>
      </c>
      <c r="X24" s="39">
        <f>IF(X26&lt;&gt;0,IF(AB26&lt;&gt;0,6,12),0)</f>
        <v>0</v>
      </c>
      <c r="Y24" s="39">
        <f>X24</f>
        <v>0</v>
      </c>
      <c r="Z24" s="39">
        <f>X24</f>
        <v>0</v>
      </c>
      <c r="AA24" s="56"/>
      <c r="AB24" s="39">
        <f>12-X24</f>
        <v>12</v>
      </c>
      <c r="AC24" s="39">
        <f>AB24</f>
        <v>12</v>
      </c>
      <c r="AD24" s="39">
        <f>AB24</f>
        <v>12</v>
      </c>
      <c r="AF24" s="39">
        <f>IF(AF26&lt;&gt;0,IF(AJ26&lt;&gt;0,6,12),0)</f>
        <v>0</v>
      </c>
      <c r="AG24" s="39">
        <f>AF24</f>
        <v>0</v>
      </c>
      <c r="AH24" s="39">
        <f>AF24</f>
        <v>0</v>
      </c>
      <c r="AI24" s="56"/>
      <c r="AJ24" s="39">
        <f>12-AF24</f>
        <v>12</v>
      </c>
      <c r="AK24" s="39">
        <f>AJ24</f>
        <v>12</v>
      </c>
      <c r="AL24" s="39">
        <f>AJ24</f>
        <v>12</v>
      </c>
    </row>
    <row r="25" spans="2:38" x14ac:dyDescent="0.25">
      <c r="B25" s="25" t="s">
        <v>89</v>
      </c>
      <c r="C25" s="25" t="s">
        <v>113</v>
      </c>
      <c r="D25" s="25"/>
      <c r="E25" s="25"/>
      <c r="F25" s="25" t="s">
        <v>1</v>
      </c>
      <c r="H25" s="25">
        <f>0.2244/1.23</f>
        <v>0.1824390243902439</v>
      </c>
      <c r="I25" s="25"/>
      <c r="J25" s="25"/>
      <c r="L25" s="25">
        <f>0.3346/1.23</f>
        <v>0.27203252032520325</v>
      </c>
      <c r="M25" s="25"/>
      <c r="N25" s="25"/>
      <c r="P25" s="25">
        <f>H25</f>
        <v>0.1824390243902439</v>
      </c>
      <c r="Q25" s="25"/>
      <c r="R25" s="25"/>
      <c r="T25" s="25">
        <f>L25</f>
        <v>0.27203252032520325</v>
      </c>
      <c r="U25" s="25"/>
      <c r="V25" s="25"/>
      <c r="X25" s="25">
        <f>P25</f>
        <v>0.1824390243902439</v>
      </c>
      <c r="Y25" s="25"/>
      <c r="Z25" s="25"/>
      <c r="AB25" s="25">
        <f>T25</f>
        <v>0.27203252032520325</v>
      </c>
      <c r="AC25" s="25"/>
      <c r="AD25" s="25"/>
      <c r="AF25" s="25">
        <f>X25</f>
        <v>0.1824390243902439</v>
      </c>
      <c r="AG25" s="25"/>
      <c r="AH25" s="25"/>
      <c r="AJ25" s="25">
        <f>AB25</f>
        <v>0.27203252032520325</v>
      </c>
      <c r="AK25" s="25"/>
      <c r="AL25" s="25"/>
    </row>
    <row r="26" spans="2:38" x14ac:dyDescent="0.25">
      <c r="B26" s="25" t="s">
        <v>132</v>
      </c>
      <c r="C26" s="25" t="s">
        <v>92</v>
      </c>
      <c r="D26" s="25"/>
      <c r="E26" s="25"/>
      <c r="F26" s="25" t="s">
        <v>2</v>
      </c>
      <c r="H26" s="32">
        <f>EE!M13</f>
        <v>2000</v>
      </c>
      <c r="I26" s="25"/>
      <c r="J26" s="25"/>
      <c r="L26" s="32">
        <f>EE!N13</f>
        <v>2750</v>
      </c>
      <c r="M26" s="25"/>
      <c r="N26" s="25"/>
      <c r="P26" s="32">
        <f>EE!M36</f>
        <v>0</v>
      </c>
      <c r="Q26" s="25"/>
      <c r="R26" s="25"/>
      <c r="T26" s="154">
        <f>EE!N36</f>
        <v>3441.0245115546213</v>
      </c>
      <c r="U26" s="25"/>
      <c r="V26" s="25"/>
      <c r="X26" s="32">
        <f>EE!M59</f>
        <v>0</v>
      </c>
      <c r="Y26" s="25"/>
      <c r="Z26" s="25"/>
      <c r="AB26" s="154">
        <f>EE!N59</f>
        <v>3794.8854817487272</v>
      </c>
      <c r="AC26" s="25"/>
      <c r="AD26" s="25"/>
      <c r="AF26" s="32">
        <f>EE!M82</f>
        <v>0</v>
      </c>
      <c r="AG26" s="25"/>
      <c r="AH26" s="25"/>
      <c r="AJ26" s="154">
        <f>EE!N82</f>
        <v>13803.229924242423</v>
      </c>
      <c r="AK26" s="25"/>
      <c r="AL26" s="25"/>
    </row>
    <row r="27" spans="2:38" x14ac:dyDescent="0.25">
      <c r="B27" s="39" t="s">
        <v>89</v>
      </c>
      <c r="C27" s="39" t="s">
        <v>114</v>
      </c>
      <c r="D27" s="39"/>
      <c r="E27" s="39"/>
      <c r="F27" s="39" t="s">
        <v>1</v>
      </c>
      <c r="G27" s="56"/>
      <c r="H27" s="39"/>
      <c r="I27" s="39">
        <f>0.2422/1.23</f>
        <v>0.19691056910569105</v>
      </c>
      <c r="J27" s="39">
        <f>0.2795/1.23</f>
        <v>0.2272357723577236</v>
      </c>
      <c r="K27" s="56"/>
      <c r="L27" s="39"/>
      <c r="M27" s="39">
        <f>0.3834/1.23</f>
        <v>0.31170731707317073</v>
      </c>
      <c r="N27" s="39">
        <f>0.4331/1.23</f>
        <v>0.35211382113821138</v>
      </c>
      <c r="P27" s="39"/>
      <c r="Q27" s="39">
        <f>I27</f>
        <v>0.19691056910569105</v>
      </c>
      <c r="R27" s="39">
        <f>J27</f>
        <v>0.2272357723577236</v>
      </c>
      <c r="S27" s="56"/>
      <c r="T27" s="39"/>
      <c r="U27" s="39">
        <f>M27</f>
        <v>0.31170731707317073</v>
      </c>
      <c r="V27" s="39">
        <f>N27</f>
        <v>0.35211382113821138</v>
      </c>
      <c r="X27" s="39"/>
      <c r="Y27" s="39">
        <f>Q27</f>
        <v>0.19691056910569105</v>
      </c>
      <c r="Z27" s="39">
        <f>R27</f>
        <v>0.2272357723577236</v>
      </c>
      <c r="AA27" s="56"/>
      <c r="AB27" s="39"/>
      <c r="AC27" s="39">
        <f>U27</f>
        <v>0.31170731707317073</v>
      </c>
      <c r="AD27" s="39">
        <f>V27</f>
        <v>0.35211382113821138</v>
      </c>
      <c r="AF27" s="39"/>
      <c r="AG27" s="39">
        <f>Y27</f>
        <v>0.19691056910569105</v>
      </c>
      <c r="AH27" s="39">
        <f>Z27</f>
        <v>0.2272357723577236</v>
      </c>
      <c r="AI27" s="56"/>
      <c r="AJ27" s="39"/>
      <c r="AK27" s="39">
        <f>AC27</f>
        <v>0.31170731707317073</v>
      </c>
      <c r="AL27" s="39">
        <f>AD27</f>
        <v>0.35211382113821138</v>
      </c>
    </row>
    <row r="28" spans="2:38" x14ac:dyDescent="0.25">
      <c r="B28" s="39" t="s">
        <v>109</v>
      </c>
      <c r="C28" s="39" t="s">
        <v>92</v>
      </c>
      <c r="D28" s="39"/>
      <c r="E28" s="39"/>
      <c r="F28" s="39" t="s">
        <v>2</v>
      </c>
      <c r="G28" s="56"/>
      <c r="H28" s="39"/>
      <c r="I28" s="32">
        <f>EE!M17</f>
        <v>1000</v>
      </c>
      <c r="J28" s="32">
        <f>EE!M24</f>
        <v>800</v>
      </c>
      <c r="K28" s="56"/>
      <c r="L28" s="39"/>
      <c r="M28" s="32">
        <f>EE!N17</f>
        <v>1375</v>
      </c>
      <c r="N28" s="32">
        <f>EE!N24</f>
        <v>1100</v>
      </c>
      <c r="P28" s="39"/>
      <c r="Q28" s="32">
        <f>EE!M40</f>
        <v>0</v>
      </c>
      <c r="R28" s="32">
        <f>EE!M47</f>
        <v>0</v>
      </c>
      <c r="S28" s="56"/>
      <c r="T28" s="39"/>
      <c r="U28" s="154">
        <f>EE!N40</f>
        <v>1720.5122557773107</v>
      </c>
      <c r="V28" s="154">
        <f>EE!N47</f>
        <v>1204.3585790441173</v>
      </c>
      <c r="X28" s="39"/>
      <c r="Y28" s="32">
        <f>EE!M63</f>
        <v>0</v>
      </c>
      <c r="Z28" s="32">
        <f>EE!M70</f>
        <v>0</v>
      </c>
      <c r="AA28" s="56"/>
      <c r="AB28" s="39"/>
      <c r="AC28" s="154">
        <f>EE!N63</f>
        <v>2087.1870149618003</v>
      </c>
      <c r="AD28" s="154">
        <f>EE!N70</f>
        <v>1707.6984667869274</v>
      </c>
      <c r="AF28" s="39"/>
      <c r="AG28" s="32">
        <f>EE!M86</f>
        <v>0</v>
      </c>
      <c r="AH28" s="32">
        <f>EE!M93</f>
        <v>0</v>
      </c>
      <c r="AI28" s="56"/>
      <c r="AJ28" s="39"/>
      <c r="AK28" s="154">
        <f>EE!N86</f>
        <v>6901.6149621212116</v>
      </c>
      <c r="AL28" s="154">
        <f>EE!N93</f>
        <v>4831.1304734848482</v>
      </c>
    </row>
    <row r="29" spans="2:38" x14ac:dyDescent="0.25">
      <c r="B29" s="25" t="s">
        <v>89</v>
      </c>
      <c r="C29" s="25" t="s">
        <v>115</v>
      </c>
      <c r="D29" s="25"/>
      <c r="E29" s="25"/>
      <c r="F29" s="25" t="s">
        <v>1</v>
      </c>
      <c r="H29" s="25"/>
      <c r="I29" s="25">
        <f>0.0635/1.23</f>
        <v>5.1626016260162604E-2</v>
      </c>
      <c r="J29" s="25">
        <f>0.0459/1.23</f>
        <v>3.7317073170731713E-2</v>
      </c>
      <c r="L29" s="25"/>
      <c r="M29" s="25">
        <f>0.0952/1.23</f>
        <v>7.7398373983739846E-2</v>
      </c>
      <c r="N29" s="25">
        <f>0.0689/1.23</f>
        <v>5.6016260162601632E-2</v>
      </c>
      <c r="P29" s="25"/>
      <c r="Q29" s="25">
        <f>I29</f>
        <v>5.1626016260162604E-2</v>
      </c>
      <c r="R29" s="25">
        <f>J29</f>
        <v>3.7317073170731713E-2</v>
      </c>
      <c r="T29" s="25"/>
      <c r="U29" s="25">
        <f>M29</f>
        <v>7.7398373983739846E-2</v>
      </c>
      <c r="V29" s="25">
        <f>N29</f>
        <v>5.6016260162601632E-2</v>
      </c>
      <c r="X29" s="25"/>
      <c r="Y29" s="25">
        <f>Q29</f>
        <v>5.1626016260162604E-2</v>
      </c>
      <c r="Z29" s="25">
        <f>R29</f>
        <v>3.7317073170731713E-2</v>
      </c>
      <c r="AB29" s="25"/>
      <c r="AC29" s="25">
        <f>U29</f>
        <v>7.7398373983739846E-2</v>
      </c>
      <c r="AD29" s="25">
        <f>V29</f>
        <v>5.6016260162601632E-2</v>
      </c>
      <c r="AF29" s="25"/>
      <c r="AG29" s="25">
        <f>Y29</f>
        <v>5.1626016260162604E-2</v>
      </c>
      <c r="AH29" s="25">
        <f>Z29</f>
        <v>3.7317073170731713E-2</v>
      </c>
      <c r="AJ29" s="25"/>
      <c r="AK29" s="25">
        <f>AC29</f>
        <v>7.7398373983739846E-2</v>
      </c>
      <c r="AL29" s="25">
        <f>AD29</f>
        <v>5.6016260162601632E-2</v>
      </c>
    </row>
    <row r="30" spans="2:38" x14ac:dyDescent="0.25">
      <c r="B30" s="25" t="s">
        <v>109</v>
      </c>
      <c r="C30" s="25" t="s">
        <v>92</v>
      </c>
      <c r="D30" s="25"/>
      <c r="E30" s="25"/>
      <c r="F30" s="25" t="s">
        <v>2</v>
      </c>
      <c r="H30" s="25"/>
      <c r="I30" s="32">
        <f>EE!M20</f>
        <v>1000</v>
      </c>
      <c r="J30" s="32">
        <f>EE!M27</f>
        <v>1200</v>
      </c>
      <c r="L30" s="25"/>
      <c r="M30" s="32">
        <f>EE!N20</f>
        <v>1375</v>
      </c>
      <c r="N30" s="32">
        <f>EE!N27</f>
        <v>1650</v>
      </c>
      <c r="P30" s="25"/>
      <c r="Q30" s="32">
        <f>EE!M43</f>
        <v>0</v>
      </c>
      <c r="R30" s="32">
        <f>EE!M50</f>
        <v>0</v>
      </c>
      <c r="T30" s="25"/>
      <c r="U30" s="154">
        <f>EE!N43</f>
        <v>1720.5122557773107</v>
      </c>
      <c r="V30" s="154">
        <f>EE!N50</f>
        <v>2236.6659325105038</v>
      </c>
      <c r="X30" s="25"/>
      <c r="Y30" s="32">
        <f>EE!M66</f>
        <v>0</v>
      </c>
      <c r="Z30" s="32">
        <f>EE!M73</f>
        <v>0</v>
      </c>
      <c r="AB30" s="25"/>
      <c r="AC30" s="154">
        <f>EE!N66</f>
        <v>1707.6984667869274</v>
      </c>
      <c r="AD30" s="154">
        <f>EE!N73</f>
        <v>2087.1870149618003</v>
      </c>
      <c r="AF30" s="25"/>
      <c r="AG30" s="32">
        <f>EE!M89</f>
        <v>0</v>
      </c>
      <c r="AH30" s="32">
        <f>EE!M96</f>
        <v>0</v>
      </c>
      <c r="AJ30" s="25"/>
      <c r="AK30" s="154">
        <f>EE!N89</f>
        <v>6901.6149621212116</v>
      </c>
      <c r="AL30" s="154">
        <f>EE!N96</f>
        <v>8972.0994507575761</v>
      </c>
    </row>
    <row r="31" spans="2:38" x14ac:dyDescent="0.25">
      <c r="B31" s="39" t="s">
        <v>93</v>
      </c>
      <c r="C31" s="39" t="s">
        <v>94</v>
      </c>
      <c r="D31" s="39"/>
      <c r="E31" s="39"/>
      <c r="F31" s="39" t="s">
        <v>1</v>
      </c>
      <c r="G31" s="56"/>
      <c r="H31" s="39">
        <v>2.4199999999999999E-2</v>
      </c>
      <c r="I31" s="39">
        <v>2.4199999999999999E-2</v>
      </c>
      <c r="J31" s="39">
        <v>2.4199999999999999E-2</v>
      </c>
      <c r="K31" s="56"/>
      <c r="L31" s="39">
        <v>2.4199999999999999E-2</v>
      </c>
      <c r="M31" s="39">
        <v>2.4199999999999999E-2</v>
      </c>
      <c r="N31" s="39">
        <v>2.4199999999999999E-2</v>
      </c>
      <c r="P31" s="39">
        <v>2.4199999999999999E-2</v>
      </c>
      <c r="Q31" s="39">
        <v>2.4199999999999999E-2</v>
      </c>
      <c r="R31" s="39">
        <v>2.4199999999999999E-2</v>
      </c>
      <c r="S31" s="56"/>
      <c r="T31" s="39">
        <v>2.4199999999999999E-2</v>
      </c>
      <c r="U31" s="39">
        <v>2.4199999999999999E-2</v>
      </c>
      <c r="V31" s="39">
        <v>2.4199999999999999E-2</v>
      </c>
      <c r="X31" s="39">
        <v>2.4199999999999999E-2</v>
      </c>
      <c r="Y31" s="39">
        <v>2.4199999999999999E-2</v>
      </c>
      <c r="Z31" s="39">
        <v>2.4199999999999999E-2</v>
      </c>
      <c r="AA31" s="56"/>
      <c r="AB31" s="39">
        <v>2.4199999999999999E-2</v>
      </c>
      <c r="AC31" s="39">
        <v>2.4199999999999999E-2</v>
      </c>
      <c r="AD31" s="39">
        <v>2.4199999999999999E-2</v>
      </c>
      <c r="AF31" s="39">
        <v>2.4199999999999999E-2</v>
      </c>
      <c r="AG31" s="39">
        <v>2.4199999999999999E-2</v>
      </c>
      <c r="AH31" s="39">
        <v>2.4199999999999999E-2</v>
      </c>
      <c r="AI31" s="56"/>
      <c r="AJ31" s="39">
        <v>2.4199999999999999E-2</v>
      </c>
      <c r="AK31" s="39">
        <v>2.4199999999999999E-2</v>
      </c>
      <c r="AL31" s="39">
        <v>2.4199999999999999E-2</v>
      </c>
    </row>
    <row r="32" spans="2:38" x14ac:dyDescent="0.25">
      <c r="B32" s="39" t="s">
        <v>91</v>
      </c>
      <c r="C32" s="39" t="s">
        <v>92</v>
      </c>
      <c r="D32" s="39"/>
      <c r="E32" s="39"/>
      <c r="F32" s="39" t="s">
        <v>2</v>
      </c>
      <c r="G32" s="56"/>
      <c r="H32" s="32">
        <f>H26</f>
        <v>2000</v>
      </c>
      <c r="I32" s="32">
        <f>I28+I30</f>
        <v>2000</v>
      </c>
      <c r="J32" s="32">
        <f>J28+J30</f>
        <v>2000</v>
      </c>
      <c r="K32" s="56"/>
      <c r="L32" s="32">
        <f>L26</f>
        <v>2750</v>
      </c>
      <c r="M32" s="32">
        <f>M28+M30</f>
        <v>2750</v>
      </c>
      <c r="N32" s="32">
        <f>N28+N30</f>
        <v>2750</v>
      </c>
      <c r="P32" s="32">
        <f>P26</f>
        <v>0</v>
      </c>
      <c r="Q32" s="32">
        <f>Q28+Q30</f>
        <v>0</v>
      </c>
      <c r="R32" s="32">
        <f>R28+R30</f>
        <v>0</v>
      </c>
      <c r="S32" s="56"/>
      <c r="T32" s="32">
        <f>T26</f>
        <v>3441.0245115546213</v>
      </c>
      <c r="U32" s="32">
        <f>U28+U30</f>
        <v>3441.0245115546213</v>
      </c>
      <c r="V32" s="32">
        <f>V28+V30</f>
        <v>3441.0245115546213</v>
      </c>
      <c r="X32" s="32">
        <f>X26</f>
        <v>0</v>
      </c>
      <c r="Y32" s="32">
        <f>Y28+Y30</f>
        <v>0</v>
      </c>
      <c r="Z32" s="32">
        <f>Z28+Z30</f>
        <v>0</v>
      </c>
      <c r="AA32" s="56"/>
      <c r="AB32" s="32">
        <f>AB26</f>
        <v>3794.8854817487272</v>
      </c>
      <c r="AC32" s="32">
        <f>AC28+AC30</f>
        <v>3794.8854817487277</v>
      </c>
      <c r="AD32" s="32">
        <f>AD28+AD30</f>
        <v>3794.8854817487277</v>
      </c>
      <c r="AF32" s="32">
        <f>AF26</f>
        <v>0</v>
      </c>
      <c r="AG32" s="32">
        <f>AG28+AG30</f>
        <v>0</v>
      </c>
      <c r="AH32" s="32">
        <f>AH28+AH30</f>
        <v>0</v>
      </c>
      <c r="AI32" s="56"/>
      <c r="AJ32" s="32">
        <f>AJ26</f>
        <v>13803.229924242423</v>
      </c>
      <c r="AK32" s="32">
        <f>AK28+AK30</f>
        <v>13803.229924242423</v>
      </c>
      <c r="AL32" s="32">
        <f>AL28+AL30</f>
        <v>13803.229924242423</v>
      </c>
    </row>
    <row r="33" spans="2:38" x14ac:dyDescent="0.25">
      <c r="B33" s="25" t="s">
        <v>95</v>
      </c>
      <c r="C33" s="25" t="s">
        <v>96</v>
      </c>
      <c r="D33" s="25"/>
      <c r="E33" s="25"/>
      <c r="F33" s="25" t="s">
        <v>86</v>
      </c>
      <c r="H33" s="25">
        <v>0.33</v>
      </c>
      <c r="I33" s="25">
        <f>H33</f>
        <v>0.33</v>
      </c>
      <c r="J33" s="25">
        <f>I33</f>
        <v>0.33</v>
      </c>
      <c r="L33" s="25">
        <v>0.33</v>
      </c>
      <c r="M33" s="25">
        <f>L33</f>
        <v>0.33</v>
      </c>
      <c r="N33" s="25">
        <f>M33</f>
        <v>0.33</v>
      </c>
      <c r="P33" s="25">
        <v>0.33</v>
      </c>
      <c r="Q33" s="25">
        <f>P33</f>
        <v>0.33</v>
      </c>
      <c r="R33" s="25">
        <f>Q33</f>
        <v>0.33</v>
      </c>
      <c r="T33" s="25">
        <v>0.33</v>
      </c>
      <c r="U33" s="25">
        <f>T33</f>
        <v>0.33</v>
      </c>
      <c r="V33" s="25">
        <f>U33</f>
        <v>0.33</v>
      </c>
      <c r="X33" s="25">
        <v>0.33</v>
      </c>
      <c r="Y33" s="25">
        <f>X33</f>
        <v>0.33</v>
      </c>
      <c r="Z33" s="25">
        <f>Y33</f>
        <v>0.33</v>
      </c>
      <c r="AB33" s="25">
        <v>0.33</v>
      </c>
      <c r="AC33" s="25">
        <f>AB33</f>
        <v>0.33</v>
      </c>
      <c r="AD33" s="25">
        <f>AC33</f>
        <v>0.33</v>
      </c>
      <c r="AF33" s="25">
        <v>0.33</v>
      </c>
      <c r="AG33" s="25">
        <f>AF33</f>
        <v>0.33</v>
      </c>
      <c r="AH33" s="25">
        <f>AG33</f>
        <v>0.33</v>
      </c>
      <c r="AJ33" s="25">
        <v>0.33</v>
      </c>
      <c r="AK33" s="25">
        <f>AJ33</f>
        <v>0.33</v>
      </c>
      <c r="AL33" s="25">
        <f>AK33</f>
        <v>0.33</v>
      </c>
    </row>
    <row r="34" spans="2:38" x14ac:dyDescent="0.25">
      <c r="B34" s="39" t="s">
        <v>97</v>
      </c>
      <c r="C34" s="39" t="s">
        <v>98</v>
      </c>
      <c r="D34" s="39"/>
      <c r="E34" s="39"/>
      <c r="F34" s="39" t="s">
        <v>1</v>
      </c>
      <c r="G34" s="56"/>
      <c r="H34" s="39">
        <v>2.4199999999999999E-2</v>
      </c>
      <c r="I34" s="39">
        <v>2.4199999999999999E-2</v>
      </c>
      <c r="J34" s="39">
        <v>2.4199999999999999E-2</v>
      </c>
      <c r="K34" s="56"/>
      <c r="L34" s="39">
        <v>9.4999999999999998E-3</v>
      </c>
      <c r="M34" s="39">
        <v>9.4999999999999998E-3</v>
      </c>
      <c r="N34" s="39">
        <v>9.4999999999999998E-3</v>
      </c>
      <c r="P34" s="39">
        <v>2.4199999999999999E-2</v>
      </c>
      <c r="Q34" s="39">
        <v>2.4199999999999999E-2</v>
      </c>
      <c r="R34" s="39">
        <v>2.4199999999999999E-2</v>
      </c>
      <c r="S34" s="56"/>
      <c r="T34" s="39">
        <v>9.4999999999999998E-3</v>
      </c>
      <c r="U34" s="39">
        <v>9.4999999999999998E-3</v>
      </c>
      <c r="V34" s="39">
        <v>9.4999999999999998E-3</v>
      </c>
      <c r="X34" s="39">
        <v>2.4199999999999999E-2</v>
      </c>
      <c r="Y34" s="39">
        <v>2.4199999999999999E-2</v>
      </c>
      <c r="Z34" s="39">
        <v>2.4199999999999999E-2</v>
      </c>
      <c r="AA34" s="56"/>
      <c r="AB34" s="39">
        <v>9.4999999999999998E-3</v>
      </c>
      <c r="AC34" s="39">
        <v>9.4999999999999998E-3</v>
      </c>
      <c r="AD34" s="39">
        <v>9.4999999999999998E-3</v>
      </c>
      <c r="AF34" s="39">
        <v>2.4199999999999999E-2</v>
      </c>
      <c r="AG34" s="39">
        <v>2.4199999999999999E-2</v>
      </c>
      <c r="AH34" s="39">
        <v>2.4199999999999999E-2</v>
      </c>
      <c r="AI34" s="56"/>
      <c r="AJ34" s="39">
        <v>9.4999999999999998E-3</v>
      </c>
      <c r="AK34" s="39">
        <v>9.4999999999999998E-3</v>
      </c>
      <c r="AL34" s="39">
        <v>9.4999999999999998E-3</v>
      </c>
    </row>
    <row r="35" spans="2:38" x14ac:dyDescent="0.25">
      <c r="B35" s="57" t="s">
        <v>99</v>
      </c>
      <c r="C35" s="57" t="s">
        <v>92</v>
      </c>
      <c r="D35" s="57"/>
      <c r="E35" s="57"/>
      <c r="F35" s="57" t="s">
        <v>2</v>
      </c>
      <c r="G35" s="56"/>
      <c r="H35" s="32">
        <f>H26</f>
        <v>2000</v>
      </c>
      <c r="I35" s="32">
        <f>H26</f>
        <v>2000</v>
      </c>
      <c r="J35" s="32">
        <f>H26</f>
        <v>2000</v>
      </c>
      <c r="K35" s="56"/>
      <c r="L35" s="32">
        <f>L26</f>
        <v>2750</v>
      </c>
      <c r="M35" s="32">
        <f>L26</f>
        <v>2750</v>
      </c>
      <c r="N35" s="32">
        <f>L26</f>
        <v>2750</v>
      </c>
      <c r="P35" s="32">
        <f>P26</f>
        <v>0</v>
      </c>
      <c r="Q35" s="32">
        <f>P26</f>
        <v>0</v>
      </c>
      <c r="R35" s="32">
        <f>P26</f>
        <v>0</v>
      </c>
      <c r="S35" s="56"/>
      <c r="T35" s="32">
        <f>T26</f>
        <v>3441.0245115546213</v>
      </c>
      <c r="U35" s="32">
        <f>T26</f>
        <v>3441.0245115546213</v>
      </c>
      <c r="V35" s="32">
        <f>T26</f>
        <v>3441.0245115546213</v>
      </c>
      <c r="X35" s="32">
        <f>X26</f>
        <v>0</v>
      </c>
      <c r="Y35" s="32">
        <f>X26</f>
        <v>0</v>
      </c>
      <c r="Z35" s="32">
        <f>X26</f>
        <v>0</v>
      </c>
      <c r="AA35" s="56"/>
      <c r="AB35" s="32">
        <f>AB26</f>
        <v>3794.8854817487272</v>
      </c>
      <c r="AC35" s="32">
        <f>AB26</f>
        <v>3794.8854817487272</v>
      </c>
      <c r="AD35" s="32">
        <f>AB26</f>
        <v>3794.8854817487272</v>
      </c>
      <c r="AF35" s="32">
        <f>AF26</f>
        <v>0</v>
      </c>
      <c r="AG35" s="32">
        <f>AF26</f>
        <v>0</v>
      </c>
      <c r="AH35" s="32">
        <f>AF26</f>
        <v>0</v>
      </c>
      <c r="AI35" s="56"/>
      <c r="AJ35" s="32">
        <f>AJ26</f>
        <v>13803.229924242423</v>
      </c>
      <c r="AK35" s="32">
        <f>AJ26</f>
        <v>13803.229924242423</v>
      </c>
      <c r="AL35" s="32">
        <f>AJ26</f>
        <v>13803.229924242423</v>
      </c>
    </row>
    <row r="36" spans="2:38" x14ac:dyDescent="0.25">
      <c r="B36" s="25" t="s">
        <v>100</v>
      </c>
      <c r="C36" s="25" t="s">
        <v>101</v>
      </c>
      <c r="D36" s="25"/>
      <c r="E36" s="25"/>
      <c r="F36" s="25" t="s">
        <v>1</v>
      </c>
      <c r="H36" s="25">
        <f>4.96/1000</f>
        <v>4.96E-3</v>
      </c>
      <c r="I36" s="25">
        <f>4.96/1000</f>
        <v>4.96E-3</v>
      </c>
      <c r="J36" s="25">
        <f>4.96/1000</f>
        <v>4.96E-3</v>
      </c>
      <c r="L36" s="25">
        <f>4.96/1000</f>
        <v>4.96E-3</v>
      </c>
      <c r="M36" s="25">
        <f>4.96/1000</f>
        <v>4.96E-3</v>
      </c>
      <c r="N36" s="25">
        <f>4.96/1000</f>
        <v>4.96E-3</v>
      </c>
      <c r="P36" s="25">
        <f>4.96/1000</f>
        <v>4.96E-3</v>
      </c>
      <c r="Q36" s="25">
        <f>4.96/1000</f>
        <v>4.96E-3</v>
      </c>
      <c r="R36" s="25">
        <f>4.96/1000</f>
        <v>4.96E-3</v>
      </c>
      <c r="T36" s="25">
        <f>4.96/1000</f>
        <v>4.96E-3</v>
      </c>
      <c r="U36" s="25">
        <f>4.96/1000</f>
        <v>4.96E-3</v>
      </c>
      <c r="V36" s="25">
        <f>4.96/1000</f>
        <v>4.96E-3</v>
      </c>
      <c r="X36" s="25">
        <f>4.96/1000</f>
        <v>4.96E-3</v>
      </c>
      <c r="Y36" s="25">
        <f>4.96/1000</f>
        <v>4.96E-3</v>
      </c>
      <c r="Z36" s="25">
        <f>4.96/1000</f>
        <v>4.96E-3</v>
      </c>
      <c r="AB36" s="25">
        <f>4.96/1000</f>
        <v>4.96E-3</v>
      </c>
      <c r="AC36" s="25">
        <f>4.96/1000</f>
        <v>4.96E-3</v>
      </c>
      <c r="AD36" s="25">
        <f>4.96/1000</f>
        <v>4.96E-3</v>
      </c>
      <c r="AF36" s="25">
        <f>4.96/1000</f>
        <v>4.96E-3</v>
      </c>
      <c r="AG36" s="25">
        <f>4.96/1000</f>
        <v>4.96E-3</v>
      </c>
      <c r="AH36" s="25">
        <f>4.96/1000</f>
        <v>4.96E-3</v>
      </c>
      <c r="AJ36" s="25">
        <f>4.96/1000</f>
        <v>4.96E-3</v>
      </c>
      <c r="AK36" s="25">
        <f>4.96/1000</f>
        <v>4.96E-3</v>
      </c>
      <c r="AL36" s="25">
        <f>4.96/1000</f>
        <v>4.96E-3</v>
      </c>
    </row>
    <row r="37" spans="2:38" x14ac:dyDescent="0.25">
      <c r="B37" s="25" t="s">
        <v>102</v>
      </c>
      <c r="C37" s="25" t="s">
        <v>103</v>
      </c>
      <c r="D37" s="25"/>
      <c r="E37" s="25"/>
      <c r="F37" s="25" t="s">
        <v>2</v>
      </c>
      <c r="H37" s="32">
        <f>H26</f>
        <v>2000</v>
      </c>
      <c r="I37" s="32">
        <f>H26</f>
        <v>2000</v>
      </c>
      <c r="J37" s="32">
        <f>H26</f>
        <v>2000</v>
      </c>
      <c r="L37" s="32">
        <f>L26</f>
        <v>2750</v>
      </c>
      <c r="M37" s="32">
        <f>L26</f>
        <v>2750</v>
      </c>
      <c r="N37" s="32">
        <f>L26</f>
        <v>2750</v>
      </c>
      <c r="P37" s="32">
        <f>P26</f>
        <v>0</v>
      </c>
      <c r="Q37" s="32">
        <f>P26</f>
        <v>0</v>
      </c>
      <c r="R37" s="32">
        <f>P26</f>
        <v>0</v>
      </c>
      <c r="T37" s="32">
        <f>T26</f>
        <v>3441.0245115546213</v>
      </c>
      <c r="U37" s="32">
        <f>T26</f>
        <v>3441.0245115546213</v>
      </c>
      <c r="V37" s="32">
        <f>T26</f>
        <v>3441.0245115546213</v>
      </c>
      <c r="X37" s="32">
        <f>X26</f>
        <v>0</v>
      </c>
      <c r="Y37" s="32">
        <f>X26</f>
        <v>0</v>
      </c>
      <c r="Z37" s="32">
        <f>X26</f>
        <v>0</v>
      </c>
      <c r="AB37" s="32">
        <f>AB26</f>
        <v>3794.8854817487272</v>
      </c>
      <c r="AC37" s="32">
        <f>AB26</f>
        <v>3794.8854817487272</v>
      </c>
      <c r="AD37" s="32">
        <f>AB26</f>
        <v>3794.8854817487272</v>
      </c>
      <c r="AF37" s="32">
        <f>AF26</f>
        <v>0</v>
      </c>
      <c r="AG37" s="32">
        <f>AF26</f>
        <v>0</v>
      </c>
      <c r="AH37" s="32">
        <f>AF26</f>
        <v>0</v>
      </c>
      <c r="AJ37" s="32">
        <f>AJ26</f>
        <v>13803.229924242423</v>
      </c>
      <c r="AK37" s="32">
        <f>AJ26</f>
        <v>13803.229924242423</v>
      </c>
      <c r="AL37" s="32">
        <f>AJ26</f>
        <v>13803.229924242423</v>
      </c>
    </row>
    <row r="38" spans="2:38" x14ac:dyDescent="0.25">
      <c r="B38" s="39" t="s">
        <v>104</v>
      </c>
      <c r="C38" s="39" t="s">
        <v>105</v>
      </c>
      <c r="D38" s="39"/>
      <c r="E38" s="39"/>
      <c r="F38" s="39" t="s">
        <v>86</v>
      </c>
      <c r="G38" s="56"/>
      <c r="H38" s="39">
        <f>IF(H26&lt;2800,IF(H26&lt;1200,IF(H26&lt;500,2.38,5.72),9.54),13.35)</f>
        <v>9.5399999999999991</v>
      </c>
      <c r="I38" s="39">
        <f>H38</f>
        <v>9.5399999999999991</v>
      </c>
      <c r="J38" s="39">
        <f>H38</f>
        <v>9.5399999999999991</v>
      </c>
      <c r="K38" s="56"/>
      <c r="L38" s="39">
        <f>H38</f>
        <v>9.5399999999999991</v>
      </c>
      <c r="M38" s="39">
        <f>H38</f>
        <v>9.5399999999999991</v>
      </c>
      <c r="N38" s="39">
        <f>H38</f>
        <v>9.5399999999999991</v>
      </c>
      <c r="P38" s="39">
        <f>IF(P26&lt;2800,IF(P26&lt;1200,IF(P26&lt;500,2.38,5.72),9.54),13.35)</f>
        <v>2.38</v>
      </c>
      <c r="Q38" s="39">
        <f>P38</f>
        <v>2.38</v>
      </c>
      <c r="R38" s="39">
        <f>P38</f>
        <v>2.38</v>
      </c>
      <c r="S38" s="56"/>
      <c r="T38" s="39">
        <f>P38</f>
        <v>2.38</v>
      </c>
      <c r="U38" s="39">
        <f>P38</f>
        <v>2.38</v>
      </c>
      <c r="V38" s="39">
        <f>P38</f>
        <v>2.38</v>
      </c>
      <c r="X38" s="39">
        <f>IF(X26&lt;2800,IF(X26&lt;1200,IF(X26&lt;500,2.38,5.72),9.54),13.35)</f>
        <v>2.38</v>
      </c>
      <c r="Y38" s="39">
        <f>X38</f>
        <v>2.38</v>
      </c>
      <c r="Z38" s="39">
        <f>X38</f>
        <v>2.38</v>
      </c>
      <c r="AA38" s="56"/>
      <c r="AB38" s="39">
        <f>X38</f>
        <v>2.38</v>
      </c>
      <c r="AC38" s="39">
        <f>X38</f>
        <v>2.38</v>
      </c>
      <c r="AD38" s="39">
        <f>X38</f>
        <v>2.38</v>
      </c>
      <c r="AF38" s="39">
        <f>IF(AF26&lt;2800,IF(AF26&lt;1200,IF(AF26&lt;500,2.38,5.72),9.54),13.35)</f>
        <v>2.38</v>
      </c>
      <c r="AG38" s="39">
        <f>AF38</f>
        <v>2.38</v>
      </c>
      <c r="AH38" s="39">
        <f>AF38</f>
        <v>2.38</v>
      </c>
      <c r="AI38" s="56"/>
      <c r="AJ38" s="39">
        <f>AF38</f>
        <v>2.38</v>
      </c>
      <c r="AK38" s="39">
        <f>AF38</f>
        <v>2.38</v>
      </c>
      <c r="AL38" s="39">
        <f>AF38</f>
        <v>2.38</v>
      </c>
    </row>
    <row r="39" spans="2:38" x14ac:dyDescent="0.25">
      <c r="B39" s="39" t="s">
        <v>106</v>
      </c>
      <c r="C39" s="39" t="s">
        <v>107</v>
      </c>
      <c r="D39" s="39"/>
      <c r="E39" s="39"/>
      <c r="F39" s="39" t="s">
        <v>108</v>
      </c>
      <c r="G39" s="56"/>
      <c r="H39" s="39">
        <f>IF(H26&lt;&gt;0,IF(L26&lt;&gt;0,6,12),0)</f>
        <v>6</v>
      </c>
      <c r="I39" s="39">
        <f>H39</f>
        <v>6</v>
      </c>
      <c r="J39" s="39">
        <f>I39</f>
        <v>6</v>
      </c>
      <c r="K39" s="56"/>
      <c r="L39" s="39">
        <f>12-H39</f>
        <v>6</v>
      </c>
      <c r="M39" s="39">
        <f>L39</f>
        <v>6</v>
      </c>
      <c r="N39" s="39">
        <f>L39</f>
        <v>6</v>
      </c>
      <c r="P39" s="39">
        <f>IF(P26&lt;&gt;0,IF(T26&lt;&gt;0,6,12),0)</f>
        <v>0</v>
      </c>
      <c r="Q39" s="39">
        <f>P39</f>
        <v>0</v>
      </c>
      <c r="R39" s="39">
        <f>Q39</f>
        <v>0</v>
      </c>
      <c r="S39" s="56"/>
      <c r="T39" s="39">
        <f>12-P39</f>
        <v>12</v>
      </c>
      <c r="U39" s="39">
        <f>T39</f>
        <v>12</v>
      </c>
      <c r="V39" s="39">
        <f>T39</f>
        <v>12</v>
      </c>
      <c r="X39" s="39">
        <f>IF(X26&lt;&gt;0,IF(AB26&lt;&gt;0,6,12),0)</f>
        <v>0</v>
      </c>
      <c r="Y39" s="39">
        <f>X39</f>
        <v>0</v>
      </c>
      <c r="Z39" s="39">
        <f>Y39</f>
        <v>0</v>
      </c>
      <c r="AA39" s="56"/>
      <c r="AB39" s="39">
        <f>12-X39</f>
        <v>12</v>
      </c>
      <c r="AC39" s="39">
        <f>AB39</f>
        <v>12</v>
      </c>
      <c r="AD39" s="39">
        <f>AB39</f>
        <v>12</v>
      </c>
      <c r="AF39" s="39">
        <f>IF(AF26&lt;&gt;0,IF(AJ26&lt;&gt;0,6,12),0)</f>
        <v>0</v>
      </c>
      <c r="AG39" s="39">
        <f>AF39</f>
        <v>0</v>
      </c>
      <c r="AH39" s="39">
        <f>AG39</f>
        <v>0</v>
      </c>
      <c r="AI39" s="56"/>
      <c r="AJ39" s="39">
        <f>12-AF39</f>
        <v>12</v>
      </c>
      <c r="AK39" s="39">
        <f>AJ39</f>
        <v>12</v>
      </c>
      <c r="AL39" s="39">
        <f>AJ39</f>
        <v>12</v>
      </c>
    </row>
    <row r="40" spans="2:38" x14ac:dyDescent="0.25">
      <c r="B40" s="25" t="s">
        <v>110</v>
      </c>
      <c r="C40" s="25" t="s">
        <v>111</v>
      </c>
      <c r="D40" s="25"/>
      <c r="E40" s="25"/>
      <c r="F40" s="25" t="s">
        <v>86</v>
      </c>
      <c r="H40" s="25">
        <v>2.2799999999999998</v>
      </c>
      <c r="I40" s="25">
        <v>2.2799999999999998</v>
      </c>
      <c r="J40" s="25">
        <v>2.2799999999999998</v>
      </c>
      <c r="L40" s="25">
        <v>2.2799999999999998</v>
      </c>
      <c r="M40" s="25">
        <v>2.2799999999999998</v>
      </c>
      <c r="N40" s="25">
        <v>2.2799999999999998</v>
      </c>
      <c r="P40" s="25">
        <v>2.2799999999999998</v>
      </c>
      <c r="Q40" s="25">
        <v>2.2799999999999998</v>
      </c>
      <c r="R40" s="25">
        <v>2.2799999999999998</v>
      </c>
      <c r="T40" s="25">
        <v>2.2799999999999998</v>
      </c>
      <c r="U40" s="25">
        <v>2.2799999999999998</v>
      </c>
      <c r="V40" s="25">
        <v>2.2799999999999998</v>
      </c>
      <c r="X40" s="25">
        <v>2.2799999999999998</v>
      </c>
      <c r="Y40" s="25">
        <v>2.2799999999999998</v>
      </c>
      <c r="Z40" s="25">
        <v>2.2799999999999998</v>
      </c>
      <c r="AB40" s="25">
        <v>2.2799999999999998</v>
      </c>
      <c r="AC40" s="25">
        <v>2.2799999999999998</v>
      </c>
      <c r="AD40" s="25">
        <v>2.2799999999999998</v>
      </c>
      <c r="AF40" s="25">
        <v>2.2799999999999998</v>
      </c>
      <c r="AG40" s="25">
        <v>2.2799999999999998</v>
      </c>
      <c r="AH40" s="25">
        <v>2.2799999999999998</v>
      </c>
      <c r="AJ40" s="25">
        <v>2.2799999999999998</v>
      </c>
      <c r="AK40" s="25">
        <v>2.2799999999999998</v>
      </c>
      <c r="AL40" s="25">
        <v>2.2799999999999998</v>
      </c>
    </row>
    <row r="41" spans="2:38" x14ac:dyDescent="0.25">
      <c r="B41" s="25" t="s">
        <v>88</v>
      </c>
      <c r="C41" s="25" t="s">
        <v>87</v>
      </c>
      <c r="D41" s="25"/>
      <c r="E41" s="25"/>
      <c r="F41" s="25" t="s">
        <v>108</v>
      </c>
      <c r="H41" s="25">
        <v>12</v>
      </c>
      <c r="I41" s="25">
        <f>H41</f>
        <v>12</v>
      </c>
      <c r="J41" s="25">
        <f>H41</f>
        <v>12</v>
      </c>
      <c r="L41" s="25">
        <v>12</v>
      </c>
      <c r="M41" s="25">
        <f>L41</f>
        <v>12</v>
      </c>
      <c r="N41" s="25">
        <f>L41</f>
        <v>12</v>
      </c>
      <c r="P41" s="25">
        <v>12</v>
      </c>
      <c r="Q41" s="25">
        <f>P41</f>
        <v>12</v>
      </c>
      <c r="R41" s="25">
        <f>P41</f>
        <v>12</v>
      </c>
      <c r="T41" s="25">
        <v>12</v>
      </c>
      <c r="U41" s="25">
        <f>T41</f>
        <v>12</v>
      </c>
      <c r="V41" s="25">
        <f>T41</f>
        <v>12</v>
      </c>
      <c r="X41" s="25">
        <v>12</v>
      </c>
      <c r="Y41" s="25">
        <f>X41</f>
        <v>12</v>
      </c>
      <c r="Z41" s="25">
        <f>X41</f>
        <v>12</v>
      </c>
      <c r="AB41" s="25">
        <v>12</v>
      </c>
      <c r="AC41" s="25">
        <f>AB41</f>
        <v>12</v>
      </c>
      <c r="AD41" s="25">
        <f>AB41</f>
        <v>12</v>
      </c>
      <c r="AF41" s="25">
        <v>12</v>
      </c>
      <c r="AG41" s="25">
        <f>AF41</f>
        <v>12</v>
      </c>
      <c r="AH41" s="25">
        <f>AF41</f>
        <v>12</v>
      </c>
      <c r="AJ41" s="25">
        <v>12</v>
      </c>
      <c r="AK41" s="25">
        <f>AJ41</f>
        <v>12</v>
      </c>
      <c r="AL41" s="25">
        <f>AJ41</f>
        <v>12</v>
      </c>
    </row>
    <row r="43" spans="2:38" x14ac:dyDescent="0.25">
      <c r="B43" s="22" t="s">
        <v>112</v>
      </c>
    </row>
    <row r="44" spans="2:38" x14ac:dyDescent="0.25">
      <c r="B44" s="31" t="s">
        <v>258</v>
      </c>
    </row>
    <row r="46" spans="2:38" x14ac:dyDescent="0.25">
      <c r="H46" s="333" t="s">
        <v>174</v>
      </c>
      <c r="I46" s="333"/>
      <c r="J46" s="333"/>
      <c r="K46" s="333"/>
      <c r="L46" s="333"/>
      <c r="M46" s="333"/>
      <c r="N46" s="333"/>
      <c r="P46" s="333" t="s">
        <v>180</v>
      </c>
      <c r="Q46" s="333"/>
      <c r="R46" s="333"/>
      <c r="S46" s="333"/>
      <c r="T46" s="333"/>
      <c r="U46" s="333"/>
      <c r="V46" s="333"/>
      <c r="X46" s="333" t="s">
        <v>181</v>
      </c>
      <c r="Y46" s="333"/>
      <c r="Z46" s="333"/>
      <c r="AA46" s="333"/>
      <c r="AB46" s="333"/>
      <c r="AC46" s="333"/>
      <c r="AD46" s="333"/>
      <c r="AF46" s="333" t="s">
        <v>182</v>
      </c>
      <c r="AG46" s="333"/>
      <c r="AH46" s="333"/>
      <c r="AI46" s="333"/>
      <c r="AJ46" s="333"/>
      <c r="AK46" s="333"/>
      <c r="AL46" s="333"/>
    </row>
    <row r="48" spans="2:38" x14ac:dyDescent="0.25">
      <c r="H48" s="342" t="s">
        <v>141</v>
      </c>
      <c r="I48" s="342"/>
      <c r="J48" s="342"/>
      <c r="K48" s="342"/>
      <c r="L48" s="342"/>
      <c r="M48" s="342"/>
      <c r="N48" s="342"/>
      <c r="P48" s="342" t="s">
        <v>141</v>
      </c>
      <c r="Q48" s="342"/>
      <c r="R48" s="342"/>
      <c r="S48" s="342"/>
      <c r="T48" s="342"/>
      <c r="U48" s="342"/>
      <c r="V48" s="342"/>
      <c r="W48" s="41"/>
      <c r="X48" s="342" t="s">
        <v>141</v>
      </c>
      <c r="Y48" s="342"/>
      <c r="Z48" s="342"/>
      <c r="AA48" s="342"/>
      <c r="AB48" s="342"/>
      <c r="AC48" s="342"/>
      <c r="AD48" s="342"/>
      <c r="AF48" s="342" t="s">
        <v>141</v>
      </c>
      <c r="AG48" s="342"/>
      <c r="AH48" s="342"/>
      <c r="AI48" s="342"/>
      <c r="AJ48" s="342"/>
      <c r="AK48" s="342"/>
      <c r="AL48" s="342"/>
    </row>
    <row r="49" spans="8:38" x14ac:dyDescent="0.25">
      <c r="N49" s="46"/>
      <c r="V49" s="46"/>
      <c r="W49" s="41"/>
      <c r="AD49" s="46"/>
      <c r="AL49" s="46"/>
    </row>
    <row r="50" spans="8:38" x14ac:dyDescent="0.25">
      <c r="H50" s="33" t="s">
        <v>123</v>
      </c>
      <c r="I50" s="33" t="s">
        <v>138</v>
      </c>
      <c r="J50" s="33"/>
      <c r="K50" s="38" t="s">
        <v>140</v>
      </c>
      <c r="L50" s="33"/>
      <c r="M50" s="33" t="s">
        <v>131</v>
      </c>
      <c r="N50" s="38">
        <v>0.23</v>
      </c>
      <c r="P50" s="33" t="s">
        <v>123</v>
      </c>
      <c r="Q50" s="33" t="s">
        <v>138</v>
      </c>
      <c r="R50" s="33"/>
      <c r="S50" s="38" t="s">
        <v>140</v>
      </c>
      <c r="T50" s="33"/>
      <c r="U50" s="33" t="s">
        <v>131</v>
      </c>
      <c r="V50" s="38">
        <v>0.23</v>
      </c>
      <c r="W50" s="53"/>
      <c r="X50" s="33" t="s">
        <v>123</v>
      </c>
      <c r="Y50" s="33" t="s">
        <v>138</v>
      </c>
      <c r="Z50" s="33"/>
      <c r="AA50" s="38" t="s">
        <v>140</v>
      </c>
      <c r="AB50" s="33"/>
      <c r="AC50" s="33" t="s">
        <v>131</v>
      </c>
      <c r="AD50" s="38">
        <v>0.23</v>
      </c>
      <c r="AF50" s="33" t="s">
        <v>123</v>
      </c>
      <c r="AG50" s="33" t="s">
        <v>138</v>
      </c>
      <c r="AH50" s="33"/>
      <c r="AI50" s="38" t="s">
        <v>140</v>
      </c>
      <c r="AJ50" s="33"/>
      <c r="AK50" s="33" t="s">
        <v>131</v>
      </c>
      <c r="AL50" s="38">
        <v>0.23</v>
      </c>
    </row>
    <row r="51" spans="8:38" x14ac:dyDescent="0.25">
      <c r="H51" s="25" t="s">
        <v>57</v>
      </c>
      <c r="I51" s="37">
        <f>H10*H11</f>
        <v>829.4</v>
      </c>
      <c r="J51" s="25" t="s">
        <v>124</v>
      </c>
      <c r="K51" s="37">
        <f>L10*L11</f>
        <v>1905.7499999999998</v>
      </c>
      <c r="L51" s="25" t="s">
        <v>124</v>
      </c>
      <c r="M51" s="37">
        <f>I51+K51</f>
        <v>2735.1499999999996</v>
      </c>
      <c r="N51" s="37">
        <f>M51+M51*$N$50</f>
        <v>3364.2344999999996</v>
      </c>
      <c r="P51" s="25" t="s">
        <v>57</v>
      </c>
      <c r="Q51" s="37">
        <f>P10*P11</f>
        <v>0</v>
      </c>
      <c r="R51" s="25" t="s">
        <v>124</v>
      </c>
      <c r="S51" s="37">
        <f>T10*T11</f>
        <v>2384.6299865073524</v>
      </c>
      <c r="T51" s="25" t="s">
        <v>124</v>
      </c>
      <c r="U51" s="37">
        <f>Q51+S51</f>
        <v>2384.6299865073524</v>
      </c>
      <c r="V51" s="37">
        <f>U51+U51*$N$50</f>
        <v>2933.0948834040437</v>
      </c>
      <c r="W51" s="54"/>
      <c r="X51" s="25" t="s">
        <v>57</v>
      </c>
      <c r="Y51" s="37">
        <f>X10*X11</f>
        <v>0</v>
      </c>
      <c r="Z51" s="25" t="s">
        <v>124</v>
      </c>
      <c r="AA51" s="37">
        <f>AB10*AB11</f>
        <v>2629.8556388518678</v>
      </c>
      <c r="AB51" s="25" t="s">
        <v>124</v>
      </c>
      <c r="AC51" s="37">
        <f>Y51+AA51</f>
        <v>2629.8556388518678</v>
      </c>
      <c r="AD51" s="37">
        <f>AC51+AC51*$N$50</f>
        <v>3234.7224357877976</v>
      </c>
      <c r="AF51" s="25" t="s">
        <v>57</v>
      </c>
      <c r="AG51" s="37">
        <f>AF10*AF11</f>
        <v>0</v>
      </c>
      <c r="AH51" s="25" t="s">
        <v>124</v>
      </c>
      <c r="AI51" s="37">
        <f>AJ10*AJ11</f>
        <v>9565.6383374999987</v>
      </c>
      <c r="AJ51" s="25" t="s">
        <v>124</v>
      </c>
      <c r="AK51" s="37">
        <f>AG51+AI51</f>
        <v>9565.6383374999987</v>
      </c>
      <c r="AL51" s="37">
        <f>AK51+AK51*$N$50</f>
        <v>11765.735155124999</v>
      </c>
    </row>
    <row r="52" spans="8:38" x14ac:dyDescent="0.25">
      <c r="H52" s="25" t="s">
        <v>58</v>
      </c>
      <c r="I52" s="37">
        <f>I12*I13+J12*J13</f>
        <v>777</v>
      </c>
      <c r="J52" s="25" t="s">
        <v>124</v>
      </c>
      <c r="K52" s="37">
        <f>M12*M13+N12*N13</f>
        <v>1905.7499999999998</v>
      </c>
      <c r="L52" s="25" t="s">
        <v>124</v>
      </c>
      <c r="M52" s="37">
        <f>I52+K52</f>
        <v>2682.75</v>
      </c>
      <c r="N52" s="37">
        <f>M52+M52*$N$50</f>
        <v>3299.7825000000003</v>
      </c>
      <c r="P52" s="25" t="s">
        <v>58</v>
      </c>
      <c r="Q52" s="37">
        <f>Q12*Q13+R12*R13</f>
        <v>0</v>
      </c>
      <c r="R52" s="25" t="s">
        <v>124</v>
      </c>
      <c r="S52" s="37">
        <f>U12*U13+V12*V13</f>
        <v>2384.6299865073524</v>
      </c>
      <c r="T52" s="25" t="s">
        <v>124</v>
      </c>
      <c r="U52" s="37">
        <f>Q52+S52</f>
        <v>2384.6299865073524</v>
      </c>
      <c r="V52" s="37">
        <f>U52+U52*$N$50</f>
        <v>2933.0948834040437</v>
      </c>
      <c r="W52" s="54"/>
      <c r="X52" s="25" t="s">
        <v>58</v>
      </c>
      <c r="Y52" s="37">
        <f>Y12*Y13+Z12*Z13</f>
        <v>0</v>
      </c>
      <c r="Z52" s="25" t="s">
        <v>124</v>
      </c>
      <c r="AA52" s="37">
        <f>AC12*AC13+AD12*AD13</f>
        <v>2629.8556388518682</v>
      </c>
      <c r="AB52" s="25" t="s">
        <v>124</v>
      </c>
      <c r="AC52" s="37">
        <f>Y52+AA52</f>
        <v>2629.8556388518682</v>
      </c>
      <c r="AD52" s="37">
        <f>AC52+AC52*$N$50</f>
        <v>3234.7224357877981</v>
      </c>
      <c r="AF52" s="25" t="s">
        <v>58</v>
      </c>
      <c r="AG52" s="37">
        <f>AG12*AG13+AH12*AH13</f>
        <v>0</v>
      </c>
      <c r="AH52" s="25" t="s">
        <v>124</v>
      </c>
      <c r="AI52" s="37">
        <f>AK12*AK13+AL12*AL13</f>
        <v>9565.6383374999987</v>
      </c>
      <c r="AJ52" s="25" t="s">
        <v>124</v>
      </c>
      <c r="AK52" s="37">
        <f>AG52+AI52</f>
        <v>9565.6383374999987</v>
      </c>
      <c r="AL52" s="37">
        <f>AK52+AK52*$N$50</f>
        <v>11765.735155124999</v>
      </c>
    </row>
    <row r="53" spans="8:38" x14ac:dyDescent="0.25">
      <c r="H53" s="25" t="s">
        <v>59</v>
      </c>
      <c r="I53" s="37">
        <f>I14*I15+J14*J15</f>
        <v>755.6</v>
      </c>
      <c r="J53" s="25" t="s">
        <v>124</v>
      </c>
      <c r="K53" s="37">
        <f>M14*M15+N14*N15</f>
        <v>1905.7499999999998</v>
      </c>
      <c r="L53" s="25" t="s">
        <v>124</v>
      </c>
      <c r="M53" s="37">
        <f>I53+K53</f>
        <v>2661.35</v>
      </c>
      <c r="N53" s="37">
        <f>M53+M53*$N$50</f>
        <v>3273.4605000000001</v>
      </c>
      <c r="P53" s="25" t="s">
        <v>59</v>
      </c>
      <c r="Q53" s="37">
        <f>Q14*Q15+R14*R15</f>
        <v>0</v>
      </c>
      <c r="R53" s="25" t="s">
        <v>124</v>
      </c>
      <c r="S53" s="37">
        <f>U14*U15+V14*V15</f>
        <v>2384.6299865073524</v>
      </c>
      <c r="T53" s="25" t="s">
        <v>124</v>
      </c>
      <c r="U53" s="37">
        <f>Q53+S53</f>
        <v>2384.6299865073524</v>
      </c>
      <c r="V53" s="37">
        <f>U53+U53*$N$50</f>
        <v>2933.0948834040437</v>
      </c>
      <c r="W53" s="54"/>
      <c r="X53" s="25" t="s">
        <v>59</v>
      </c>
      <c r="Y53" s="37">
        <f>Y14*Y15+Z14*Z15</f>
        <v>0</v>
      </c>
      <c r="Z53" s="25" t="s">
        <v>124</v>
      </c>
      <c r="AA53" s="37">
        <f>AC14*AC15+AD14*AD15</f>
        <v>2629.8556388518682</v>
      </c>
      <c r="AB53" s="25" t="s">
        <v>124</v>
      </c>
      <c r="AC53" s="37">
        <f>Y53+AA53</f>
        <v>2629.8556388518682</v>
      </c>
      <c r="AD53" s="37">
        <f>AC53+AC53*$N$50</f>
        <v>3234.7224357877981</v>
      </c>
      <c r="AF53" s="25" t="s">
        <v>59</v>
      </c>
      <c r="AG53" s="37">
        <f>AG14*AG15+AH14*AH15</f>
        <v>0</v>
      </c>
      <c r="AH53" s="25" t="s">
        <v>124</v>
      </c>
      <c r="AI53" s="37">
        <f>AK14*AK15+AL14*AL15</f>
        <v>9565.6383375000005</v>
      </c>
      <c r="AJ53" s="25" t="s">
        <v>124</v>
      </c>
      <c r="AK53" s="37">
        <f>AG53+AI53</f>
        <v>9565.6383375000005</v>
      </c>
      <c r="AL53" s="37">
        <f>AK53+AK53*$N$50</f>
        <v>11765.735155125001</v>
      </c>
    </row>
    <row r="54" spans="8:38" x14ac:dyDescent="0.25">
      <c r="H54" s="61"/>
      <c r="I54" s="52"/>
      <c r="J54" s="61"/>
      <c r="K54" s="52"/>
      <c r="L54" s="61"/>
      <c r="M54" s="52"/>
      <c r="N54" s="52"/>
      <c r="P54" s="61"/>
      <c r="Q54" s="52"/>
      <c r="R54" s="61"/>
      <c r="S54" s="52"/>
      <c r="T54" s="61"/>
      <c r="U54" s="52"/>
      <c r="V54" s="52"/>
      <c r="W54" s="54"/>
      <c r="X54" s="61"/>
      <c r="Y54" s="52"/>
      <c r="Z54" s="61"/>
      <c r="AA54" s="52"/>
      <c r="AB54" s="61"/>
      <c r="AC54" s="52"/>
      <c r="AD54" s="52"/>
      <c r="AF54" s="61"/>
      <c r="AG54" s="52"/>
      <c r="AH54" s="61"/>
      <c r="AI54" s="52"/>
      <c r="AJ54" s="61"/>
      <c r="AK54" s="52"/>
      <c r="AL54" s="52"/>
    </row>
    <row r="55" spans="8:38" x14ac:dyDescent="0.25">
      <c r="H55" s="342" t="s">
        <v>143</v>
      </c>
      <c r="I55" s="342"/>
      <c r="J55" s="342"/>
      <c r="K55" s="342"/>
      <c r="L55" s="342"/>
      <c r="M55" s="342"/>
      <c r="N55" s="342"/>
      <c r="P55" s="342" t="s">
        <v>143</v>
      </c>
      <c r="Q55" s="342"/>
      <c r="R55" s="342"/>
      <c r="S55" s="342"/>
      <c r="T55" s="342"/>
      <c r="U55" s="342"/>
      <c r="V55" s="342"/>
      <c r="W55" s="41"/>
      <c r="X55" s="342" t="s">
        <v>143</v>
      </c>
      <c r="Y55" s="342"/>
      <c r="Z55" s="342"/>
      <c r="AA55" s="342"/>
      <c r="AB55" s="342"/>
      <c r="AC55" s="342"/>
      <c r="AD55" s="342"/>
      <c r="AF55" s="342" t="s">
        <v>143</v>
      </c>
      <c r="AG55" s="342"/>
      <c r="AH55" s="342"/>
      <c r="AI55" s="342"/>
      <c r="AJ55" s="342"/>
      <c r="AK55" s="342"/>
      <c r="AL55" s="342"/>
    </row>
    <row r="56" spans="8:38" x14ac:dyDescent="0.25">
      <c r="W56" s="41"/>
    </row>
    <row r="57" spans="8:38" x14ac:dyDescent="0.25">
      <c r="H57" s="33" t="s">
        <v>62</v>
      </c>
      <c r="I57" s="33" t="s">
        <v>138</v>
      </c>
      <c r="J57" s="33"/>
      <c r="K57" s="38" t="s">
        <v>140</v>
      </c>
      <c r="L57" s="33"/>
      <c r="M57" s="33" t="s">
        <v>131</v>
      </c>
      <c r="N57" s="38">
        <v>0.23</v>
      </c>
      <c r="P57" s="33" t="s">
        <v>62</v>
      </c>
      <c r="Q57" s="33" t="s">
        <v>138</v>
      </c>
      <c r="R57" s="33"/>
      <c r="S57" s="38" t="s">
        <v>140</v>
      </c>
      <c r="T57" s="33"/>
      <c r="U57" s="33" t="s">
        <v>131</v>
      </c>
      <c r="V57" s="38">
        <v>0.23</v>
      </c>
      <c r="W57" s="53"/>
      <c r="X57" s="33" t="s">
        <v>62</v>
      </c>
      <c r="Y57" s="33" t="s">
        <v>138</v>
      </c>
      <c r="Z57" s="33"/>
      <c r="AA57" s="38" t="s">
        <v>140</v>
      </c>
      <c r="AB57" s="33"/>
      <c r="AC57" s="33" t="s">
        <v>131</v>
      </c>
      <c r="AD57" s="38">
        <v>0.23</v>
      </c>
      <c r="AF57" s="33" t="s">
        <v>62</v>
      </c>
      <c r="AG57" s="33" t="s">
        <v>138</v>
      </c>
      <c r="AH57" s="33"/>
      <c r="AI57" s="38" t="s">
        <v>140</v>
      </c>
      <c r="AJ57" s="33"/>
      <c r="AK57" s="33" t="s">
        <v>131</v>
      </c>
      <c r="AL57" s="38">
        <v>0.23</v>
      </c>
    </row>
    <row r="58" spans="8:38" x14ac:dyDescent="0.25">
      <c r="H58" s="25" t="s">
        <v>57</v>
      </c>
      <c r="I58" s="37">
        <f>H23*H24+H25*H26+H31*H32+H34*H35+H36*H37+H38*H39+H33*H24+H40*H41</f>
        <v>596.76341463414633</v>
      </c>
      <c r="J58" s="25" t="s">
        <v>124</v>
      </c>
      <c r="K58" s="37">
        <f>L23*L24+L25*L26+L31*L32+L34*L35+L36*L37+L38*L39+L33*L24+L40*L41</f>
        <v>1002.7893089430894</v>
      </c>
      <c r="L58" s="25" t="s">
        <v>124</v>
      </c>
      <c r="M58" s="37">
        <f>I58+K58</f>
        <v>1599.5527235772356</v>
      </c>
      <c r="N58" s="37">
        <f>M58+M58*$N$57</f>
        <v>1967.4498499999997</v>
      </c>
      <c r="P58" s="25" t="s">
        <v>57</v>
      </c>
      <c r="Q58" s="37">
        <f>IF(Q51=0,0,P23*P24+P25*P26+P31*P32+P34*P35+P36*P37+P38*P39+P33*P24+P40*P41)</f>
        <v>0</v>
      </c>
      <c r="R58" s="25" t="s">
        <v>124</v>
      </c>
      <c r="S58" s="37">
        <f>T23*T24+T25*T26+T31*T32+T34*T35+T36*T37+T38*T39+T33*T24+T40*T41</f>
        <v>1252.5903340932675</v>
      </c>
      <c r="T58" s="25" t="s">
        <v>124</v>
      </c>
      <c r="U58" s="37">
        <f>Q58+S58</f>
        <v>1252.5903340932675</v>
      </c>
      <c r="V58" s="37">
        <f>U58+U58*$N$57</f>
        <v>1540.6861109347192</v>
      </c>
      <c r="W58" s="52"/>
      <c r="X58" s="25" t="s">
        <v>57</v>
      </c>
      <c r="Y58" s="37">
        <f>IF(Y51=0,0,X23*X24+X25*X26+X31*X32+X34*X35+X36*X37+X38*X39+X33*X24+X40*X41)</f>
        <v>0</v>
      </c>
      <c r="Z58" s="25" t="s">
        <v>124</v>
      </c>
      <c r="AA58" s="37">
        <f>AB23*AB24+AB25*AB26+AB31*AB32+AB34*AB35+AB36*AB37+AB38*AB39+AB33*AB24+AB40*AB41</f>
        <v>1362.5322907675959</v>
      </c>
      <c r="AB58" s="25" t="s">
        <v>124</v>
      </c>
      <c r="AC58" s="37">
        <f>Y58+AA58</f>
        <v>1362.5322907675959</v>
      </c>
      <c r="AD58" s="37">
        <f>AC58+AC58*$N$57</f>
        <v>1675.9147176441429</v>
      </c>
      <c r="AF58" s="25" t="s">
        <v>57</v>
      </c>
      <c r="AG58" s="37">
        <f>IF(AG51=0,0,AF23*AF24+AF25*AF26+AF31*AF32+AF34*AF35+AF36*AF37+AF38*AF39+AF33*AF24+AF40*AF41)</f>
        <v>0</v>
      </c>
      <c r="AH58" s="25" t="s">
        <v>124</v>
      </c>
      <c r="AI58" s="37">
        <f>AJ23*AJ24+AJ25*AJ26+AJ31*AJ32+AJ34*AJ35+AJ36*AJ37+AJ38*AJ39+AJ33*AJ24+AJ40*AJ41</f>
        <v>4472.0500498887041</v>
      </c>
      <c r="AJ58" s="25" t="s">
        <v>124</v>
      </c>
      <c r="AK58" s="37">
        <f>AG58+AI58</f>
        <v>4472.0500498887041</v>
      </c>
      <c r="AL58" s="37">
        <f>AK58+AK58*$N$57</f>
        <v>5500.6215613631066</v>
      </c>
    </row>
    <row r="59" spans="8:38" x14ac:dyDescent="0.25">
      <c r="H59" s="25" t="s">
        <v>58</v>
      </c>
      <c r="I59" s="37">
        <f>I23*I24+I27*I28+I29*I30+I31*I32+I33*I24+I34*I35+I36*I37+I38*I39+I40*I41</f>
        <v>489.54390243902441</v>
      </c>
      <c r="J59" s="25" t="s">
        <v>124</v>
      </c>
      <c r="K59" s="37">
        <f>M23*M24+M27*M28+M29*M30+M31*M32+M33*M24+M34*M35+M36*M37+M38*M39+M40*M41</f>
        <v>799.4275203252032</v>
      </c>
      <c r="L59" s="25" t="s">
        <v>124</v>
      </c>
      <c r="M59" s="37">
        <f t="shared" ref="M59:M60" si="0">I59+K59</f>
        <v>1288.9714227642276</v>
      </c>
      <c r="N59" s="37">
        <f>M59+M59*$N$57</f>
        <v>1585.4348499999999</v>
      </c>
      <c r="P59" s="25" t="s">
        <v>58</v>
      </c>
      <c r="Q59" s="37">
        <f>IF(Q52=0,0,Q23*Q24+Q27*Q28+Q29*Q30+Q31*Q32+Q33*Q24+Q34*Q35+Q36*Q37+Q38*Q39+Q40*Q41)</f>
        <v>0</v>
      </c>
      <c r="R59" s="25" t="s">
        <v>124</v>
      </c>
      <c r="S59" s="37">
        <f>U23*U24+U27*U28+U29*U30+U31*U32+U33*U24+U34*U35+U36*U37+U38*U39+U40*U41</f>
        <v>1005.3955081167187</v>
      </c>
      <c r="T59" s="25" t="s">
        <v>124</v>
      </c>
      <c r="U59" s="37">
        <f t="shared" ref="U59:U60" si="1">Q59+S59</f>
        <v>1005.3955081167187</v>
      </c>
      <c r="V59" s="37">
        <f>U59+U59*$N$57</f>
        <v>1236.6364749835641</v>
      </c>
      <c r="W59" s="52"/>
      <c r="X59" s="25" t="s">
        <v>58</v>
      </c>
      <c r="Y59" s="37">
        <f>IF(Y52=0,0,Y23*Y24+Y27*Y28+Y29*Y30+Y31*Y32+Y33*Y24+Y34*Y35+Y36*Y37+Y38*Y39+Y40*Y41)</f>
        <v>0</v>
      </c>
      <c r="Z59" s="25" t="s">
        <v>124</v>
      </c>
      <c r="AA59" s="37">
        <f>AC23*AC24+AC27*AC28+AC29*AC30+AC31*AC32+AC33*AC24+AC34*AC35+AC36*AC37+AC38*AC39+AC40*AC41</f>
        <v>1132.3792122158443</v>
      </c>
      <c r="AB59" s="25" t="s">
        <v>124</v>
      </c>
      <c r="AC59" s="37">
        <f t="shared" ref="AC59:AC60" si="2">Y59+AA59</f>
        <v>1132.3792122158443</v>
      </c>
      <c r="AD59" s="37">
        <f>AC59+AC59*$N$57</f>
        <v>1392.8264310254885</v>
      </c>
      <c r="AF59" s="25" t="s">
        <v>58</v>
      </c>
      <c r="AG59" s="37">
        <f>IF(AG52=0,0,AG23*AG24+AG27*AG28+AG29*AG30+AG31*AG32+AG33*AG24+AG34*AG35+AG36*AG37+AG38*AG39+AG40*AG41)</f>
        <v>0</v>
      </c>
      <c r="AH59" s="25" t="s">
        <v>124</v>
      </c>
      <c r="AI59" s="37">
        <f>AK23*AK24+AK27*AK28+AK29*AK30+AK31*AK32+AK33*AK24+AK34*AK35+AK36*AK37+AK38*AK39+AK40*AK41</f>
        <v>3421.9949183600024</v>
      </c>
      <c r="AJ59" s="25" t="s">
        <v>124</v>
      </c>
      <c r="AK59" s="37">
        <f t="shared" ref="AK59:AK60" si="3">AG59+AI59</f>
        <v>3421.9949183600024</v>
      </c>
      <c r="AL59" s="37">
        <f>AK59+AK59*$N$57</f>
        <v>4209.053749582803</v>
      </c>
    </row>
    <row r="60" spans="8:38" x14ac:dyDescent="0.25">
      <c r="H60" s="25" t="s">
        <v>59</v>
      </c>
      <c r="I60" s="37">
        <f>J23*J24+J27*J28+J29*J30+J31*J32+J33*J24+J34*J35+J36*J37+J38*J39+J40*J41</f>
        <v>467.57642276422769</v>
      </c>
      <c r="J60" s="25" t="s">
        <v>124</v>
      </c>
      <c r="K60" s="37">
        <f>N23*N24+N27*N28+N29*N30+N31*N32+N33*N24+N34*N35+N36*N37+N38*N39+N40*N41</f>
        <v>744.15922764227639</v>
      </c>
      <c r="L60" s="25" t="s">
        <v>124</v>
      </c>
      <c r="M60" s="37">
        <f t="shared" si="0"/>
        <v>1211.7356504065042</v>
      </c>
      <c r="N60" s="37">
        <f>M60+M60*$N$57</f>
        <v>1490.4348500000001</v>
      </c>
      <c r="P60" s="25" t="s">
        <v>59</v>
      </c>
      <c r="Q60" s="37">
        <f>IF(Q53=0,0,R23*R24+R27*R28+R29*R30+R31*R32+R33*R24+R34*R35+R36*R37+R38*R39+R40*R41)</f>
        <v>0</v>
      </c>
      <c r="R60" s="25" t="s">
        <v>124</v>
      </c>
      <c r="S60" s="37">
        <f>V23*V24+V27*V28+V29*V30+V31*V32+V33*V24+V34*V35+V36*V37+V38*V39+V40*V41</f>
        <v>885.29535992075125</v>
      </c>
      <c r="T60" s="25" t="s">
        <v>124</v>
      </c>
      <c r="U60" s="37">
        <f t="shared" si="1"/>
        <v>885.29535992075125</v>
      </c>
      <c r="V60" s="37">
        <f>U60+U60*$N$57</f>
        <v>1088.9132927025241</v>
      </c>
      <c r="W60" s="52"/>
      <c r="X60" s="25" t="s">
        <v>59</v>
      </c>
      <c r="Y60" s="37">
        <f>IF(Y53=0,0,Z23*Z24+Z27*Z28+Z29*Z30+Z31*Z32+Z33*Z24+Z34*Z35+Z36*Z37+Z38*Z39+Z40*Z41)</f>
        <v>0</v>
      </c>
      <c r="Z60" s="25" t="s">
        <v>124</v>
      </c>
      <c r="AA60" s="37">
        <f>AD23*AD24+AD27*AD28+AD29*AD30+AD31*AD32+AD33*AD24+AD34*AD35+AD36*AD37+AD38*AD39+AD40*AD41</f>
        <v>1067.8353062986223</v>
      </c>
      <c r="AB60" s="25" t="s">
        <v>124</v>
      </c>
      <c r="AC60" s="37">
        <f t="shared" si="2"/>
        <v>1067.8353062986223</v>
      </c>
      <c r="AD60" s="37">
        <f>AC60+AC60*$N$57</f>
        <v>1313.4374267473054</v>
      </c>
      <c r="AF60" s="25" t="s">
        <v>59</v>
      </c>
      <c r="AG60" s="37">
        <f>IF(AG53=0,0,AH23*AH24+AH27*AH28+AH29*AH30+AH31*AH32+AH33*AH24+AH34*AH35+AH36*AH37+AH38*AH39+AH40*AH41)</f>
        <v>0</v>
      </c>
      <c r="AH60" s="25" t="s">
        <v>124</v>
      </c>
      <c r="AI60" s="37">
        <f>AL23*AL24+AL27*AL28+AL29*AL30+AL31*AL32+AL33*AL24+AL34*AL35+AL36*AL37+AL38*AL39+AL40*AL41</f>
        <v>2940.2285275894924</v>
      </c>
      <c r="AJ60" s="25" t="s">
        <v>124</v>
      </c>
      <c r="AK60" s="37">
        <f t="shared" si="3"/>
        <v>2940.2285275894924</v>
      </c>
      <c r="AL60" s="37">
        <f>AK60+AK60*$N$57</f>
        <v>3616.4810889350756</v>
      </c>
    </row>
    <row r="62" spans="8:38" x14ac:dyDescent="0.25">
      <c r="H62" s="342" t="s">
        <v>144</v>
      </c>
      <c r="I62" s="342"/>
      <c r="J62" s="342"/>
      <c r="K62" s="342"/>
      <c r="L62" s="342"/>
      <c r="M62" s="342"/>
      <c r="N62" s="342"/>
      <c r="P62" s="342" t="s">
        <v>144</v>
      </c>
      <c r="Q62" s="342"/>
      <c r="R62" s="342"/>
      <c r="S62" s="342"/>
      <c r="T62" s="342"/>
      <c r="U62" s="342"/>
      <c r="V62" s="342"/>
      <c r="X62" s="342" t="s">
        <v>144</v>
      </c>
      <c r="Y62" s="342"/>
      <c r="Z62" s="342"/>
      <c r="AA62" s="342"/>
      <c r="AB62" s="342"/>
      <c r="AC62" s="342"/>
      <c r="AD62" s="342"/>
      <c r="AF62" s="342" t="s">
        <v>144</v>
      </c>
      <c r="AG62" s="342"/>
      <c r="AH62" s="342"/>
      <c r="AI62" s="342"/>
      <c r="AJ62" s="342"/>
      <c r="AK62" s="342"/>
      <c r="AL62" s="342"/>
    </row>
    <row r="64" spans="8:38" x14ac:dyDescent="0.25">
      <c r="H64" s="43"/>
      <c r="I64" s="37">
        <f>H17</f>
        <v>5</v>
      </c>
      <c r="J64" s="25" t="s">
        <v>124</v>
      </c>
      <c r="K64" s="25"/>
      <c r="L64" s="25"/>
      <c r="M64" s="25" t="s">
        <v>142</v>
      </c>
      <c r="N64" s="37">
        <f>I64+I64*N57</f>
        <v>6.15</v>
      </c>
      <c r="P64" s="43"/>
      <c r="Q64" s="37">
        <f>H17</f>
        <v>5</v>
      </c>
      <c r="R64" s="25" t="s">
        <v>124</v>
      </c>
      <c r="S64" s="25"/>
      <c r="T64" s="25"/>
      <c r="U64" s="25" t="s">
        <v>142</v>
      </c>
      <c r="V64" s="37">
        <f>Q64+Q64*V57</f>
        <v>6.15</v>
      </c>
      <c r="X64" s="43"/>
      <c r="Y64" s="37">
        <f>H17</f>
        <v>5</v>
      </c>
      <c r="Z64" s="25" t="s">
        <v>124</v>
      </c>
      <c r="AA64" s="25"/>
      <c r="AB64" s="25"/>
      <c r="AC64" s="25" t="s">
        <v>142</v>
      </c>
      <c r="AD64" s="37">
        <f>Y64+Y64*AD57</f>
        <v>6.15</v>
      </c>
      <c r="AF64" s="43"/>
      <c r="AG64" s="37">
        <f>H17</f>
        <v>5</v>
      </c>
      <c r="AH64" s="25" t="s">
        <v>124</v>
      </c>
      <c r="AI64" s="25"/>
      <c r="AJ64" s="25"/>
      <c r="AK64" s="25" t="s">
        <v>142</v>
      </c>
      <c r="AL64" s="37">
        <f>AG64+AG64*AL57</f>
        <v>6.15</v>
      </c>
    </row>
    <row r="66" spans="8:38" x14ac:dyDescent="0.25">
      <c r="H66" s="333" t="s">
        <v>145</v>
      </c>
      <c r="I66" s="333"/>
      <c r="J66" s="333"/>
      <c r="K66" s="333"/>
      <c r="L66" s="333"/>
      <c r="M66" s="333"/>
      <c r="N66" s="333"/>
      <c r="P66" s="333" t="s">
        <v>145</v>
      </c>
      <c r="Q66" s="333"/>
      <c r="R66" s="333"/>
      <c r="S66" s="333"/>
      <c r="T66" s="333"/>
      <c r="U66" s="333"/>
      <c r="V66" s="333"/>
      <c r="X66" s="333" t="s">
        <v>145</v>
      </c>
      <c r="Y66" s="333"/>
      <c r="Z66" s="333"/>
      <c r="AA66" s="333"/>
      <c r="AB66" s="333"/>
      <c r="AC66" s="333"/>
      <c r="AD66" s="333"/>
      <c r="AF66" s="333" t="s">
        <v>145</v>
      </c>
      <c r="AG66" s="333"/>
      <c r="AH66" s="333"/>
      <c r="AI66" s="333"/>
      <c r="AJ66" s="333"/>
      <c r="AK66" s="333"/>
      <c r="AL66" s="333"/>
    </row>
    <row r="68" spans="8:38" x14ac:dyDescent="0.25">
      <c r="H68" s="33"/>
      <c r="I68" s="33"/>
      <c r="J68" s="33"/>
      <c r="K68" s="38"/>
      <c r="L68" s="34"/>
      <c r="M68" s="38">
        <v>0.23</v>
      </c>
      <c r="N68" s="34" t="s">
        <v>1</v>
      </c>
      <c r="P68" s="33"/>
      <c r="Q68" s="33"/>
      <c r="R68" s="33"/>
      <c r="S68" s="38"/>
      <c r="T68" s="34"/>
      <c r="U68" s="38">
        <v>0.23</v>
      </c>
      <c r="V68" s="34" t="s">
        <v>1</v>
      </c>
      <c r="X68" s="33"/>
      <c r="Y68" s="33"/>
      <c r="Z68" s="33"/>
      <c r="AA68" s="38"/>
      <c r="AB68" s="34"/>
      <c r="AC68" s="38">
        <v>0.23</v>
      </c>
      <c r="AD68" s="34" t="s">
        <v>1</v>
      </c>
      <c r="AF68" s="33"/>
      <c r="AG68" s="33"/>
      <c r="AH68" s="33"/>
      <c r="AI68" s="38"/>
      <c r="AJ68" s="34"/>
      <c r="AK68" s="38">
        <v>0.23</v>
      </c>
      <c r="AL68" s="34" t="s">
        <v>1</v>
      </c>
    </row>
    <row r="69" spans="8:38" x14ac:dyDescent="0.25">
      <c r="H69" s="25" t="s">
        <v>57</v>
      </c>
      <c r="I69" s="37">
        <f>M51+M58</f>
        <v>4334.7027235772348</v>
      </c>
      <c r="J69" s="25" t="s">
        <v>124</v>
      </c>
      <c r="K69" s="37"/>
      <c r="L69" s="37"/>
      <c r="M69" s="37">
        <f>I69*$M$68+I69</f>
        <v>5331.6843499999986</v>
      </c>
      <c r="N69" s="37">
        <f>M69/(H11+L11)</f>
        <v>1.1224598631578944</v>
      </c>
      <c r="P69" s="25" t="s">
        <v>57</v>
      </c>
      <c r="Q69" s="37">
        <f>U51+U58</f>
        <v>3637.2203206006197</v>
      </c>
      <c r="R69" s="25" t="s">
        <v>124</v>
      </c>
      <c r="S69" s="37"/>
      <c r="T69" s="37"/>
      <c r="U69" s="37">
        <f>Q69*$M$68+Q69</f>
        <v>4473.780994338762</v>
      </c>
      <c r="V69" s="37">
        <f>U69/(P11+T11)</f>
        <v>1.3001305219757215</v>
      </c>
      <c r="X69" s="25" t="s">
        <v>57</v>
      </c>
      <c r="Y69" s="37">
        <f>AC51+AC58</f>
        <v>3992.3879296194636</v>
      </c>
      <c r="Z69" s="25" t="s">
        <v>124</v>
      </c>
      <c r="AA69" s="37"/>
      <c r="AB69" s="37"/>
      <c r="AC69" s="37">
        <f>Y69*$M$68+Y69</f>
        <v>4910.6371534319405</v>
      </c>
      <c r="AD69" s="37">
        <f>AC69/(X11+AB11)</f>
        <v>1.2940145827981777</v>
      </c>
      <c r="AF69" s="25" t="s">
        <v>57</v>
      </c>
      <c r="AG69" s="37">
        <f>AK51+AK58</f>
        <v>14037.688387388702</v>
      </c>
      <c r="AH69" s="25" t="s">
        <v>124</v>
      </c>
      <c r="AI69" s="37"/>
      <c r="AJ69" s="37"/>
      <c r="AK69" s="37">
        <f>AG69*$M$68+AG69</f>
        <v>17266.356716488102</v>
      </c>
      <c r="AL69" s="37">
        <f>AK69/(AF11+AJ11)</f>
        <v>1.2508924948184363</v>
      </c>
    </row>
    <row r="70" spans="8:38" x14ac:dyDescent="0.25">
      <c r="H70" s="25" t="s">
        <v>58</v>
      </c>
      <c r="I70" s="37">
        <f>M52+M59</f>
        <v>3971.7214227642276</v>
      </c>
      <c r="J70" s="25" t="s">
        <v>124</v>
      </c>
      <c r="K70" s="37"/>
      <c r="L70" s="37"/>
      <c r="M70" s="37">
        <f>I70*$M$68+I70</f>
        <v>4885.2173499999999</v>
      </c>
      <c r="N70" s="37">
        <f>M70/(I13+M13+J13+N13)</f>
        <v>1.0284668105263157</v>
      </c>
      <c r="P70" s="25" t="s">
        <v>58</v>
      </c>
      <c r="Q70" s="37">
        <f>U52+U59</f>
        <v>3390.0254946240711</v>
      </c>
      <c r="R70" s="25" t="s">
        <v>124</v>
      </c>
      <c r="S70" s="37"/>
      <c r="T70" s="37"/>
      <c r="U70" s="37">
        <f>Q70*$M$68+Q70</f>
        <v>4169.7313583876075</v>
      </c>
      <c r="V70" s="37">
        <f>U70/(Q13+U13+R13+V13)</f>
        <v>1.2117703156098019</v>
      </c>
      <c r="X70" s="25" t="s">
        <v>58</v>
      </c>
      <c r="Y70" s="37">
        <f>AC52+AC59</f>
        <v>3762.2348510677125</v>
      </c>
      <c r="Z70" s="25" t="s">
        <v>124</v>
      </c>
      <c r="AA70" s="37"/>
      <c r="AB70" s="37"/>
      <c r="AC70" s="37">
        <f>Y70*$M$68+Y70</f>
        <v>4627.5488668132866</v>
      </c>
      <c r="AD70" s="37">
        <f>AC70/(Y13+AC13+Z13+AD13)</f>
        <v>1.219417262805216</v>
      </c>
      <c r="AF70" s="25" t="s">
        <v>58</v>
      </c>
      <c r="AG70" s="37">
        <f>AK52+AK59</f>
        <v>12987.633255860001</v>
      </c>
      <c r="AH70" s="25" t="s">
        <v>124</v>
      </c>
      <c r="AI70" s="37"/>
      <c r="AJ70" s="37"/>
      <c r="AK70" s="37">
        <f>AG70*$M$68+AG70</f>
        <v>15974.788904707801</v>
      </c>
      <c r="AL70" s="37">
        <f>AK70/(AG13+AK13+AH13+AL13)</f>
        <v>1.1573225246832626</v>
      </c>
    </row>
    <row r="71" spans="8:38" x14ac:dyDescent="0.25">
      <c r="H71" s="25" t="s">
        <v>59</v>
      </c>
      <c r="I71" s="37">
        <f>M53+M60</f>
        <v>3873.0856504065041</v>
      </c>
      <c r="J71" s="25" t="s">
        <v>124</v>
      </c>
      <c r="K71" s="37"/>
      <c r="L71" s="37"/>
      <c r="M71" s="37">
        <f>I71*$M$68+I71</f>
        <v>4763.8953499999998</v>
      </c>
      <c r="N71" s="37">
        <f>M71/(I15+M15+J15+N15)</f>
        <v>1.0029253368421052</v>
      </c>
      <c r="P71" s="25" t="s">
        <v>59</v>
      </c>
      <c r="Q71" s="37">
        <f>U53+U60</f>
        <v>3269.9253464281037</v>
      </c>
      <c r="R71" s="25" t="s">
        <v>124</v>
      </c>
      <c r="S71" s="37"/>
      <c r="T71" s="37"/>
      <c r="U71" s="37">
        <f>Q71*$M$68+Q71</f>
        <v>4022.0081761065676</v>
      </c>
      <c r="V71" s="37">
        <f>U71/(Q15+U15+R15+V15)</f>
        <v>1.1688403156098017</v>
      </c>
      <c r="X71" s="25" t="s">
        <v>59</v>
      </c>
      <c r="Y71" s="37">
        <f>AC53+AC60</f>
        <v>3697.6909451504907</v>
      </c>
      <c r="Z71" s="25" t="s">
        <v>124</v>
      </c>
      <c r="AA71" s="37"/>
      <c r="AB71" s="37"/>
      <c r="AC71" s="37">
        <f>Y71*$M$68+Y71</f>
        <v>4548.1598625351035</v>
      </c>
      <c r="AD71" s="37">
        <f>AC71/(Y15+AC15+Z15+AD15)</f>
        <v>1.198497262805216</v>
      </c>
      <c r="AF71" s="25" t="s">
        <v>59</v>
      </c>
      <c r="AG71" s="37">
        <f>AK53+AK60</f>
        <v>12505.866865089492</v>
      </c>
      <c r="AH71" s="25" t="s">
        <v>124</v>
      </c>
      <c r="AI71" s="37"/>
      <c r="AJ71" s="37"/>
      <c r="AK71" s="37">
        <f>AG71*$M$68+AG71</f>
        <v>15382.216244060077</v>
      </c>
      <c r="AL71" s="37">
        <f>AK71/(AG15+AK15+AH15+AL15)</f>
        <v>1.1143925246832629</v>
      </c>
    </row>
    <row r="73" spans="8:38" x14ac:dyDescent="0.25">
      <c r="H73" s="33"/>
      <c r="I73" s="33" t="s">
        <v>187</v>
      </c>
      <c r="J73" s="33"/>
      <c r="K73" s="34"/>
      <c r="L73" s="38" t="s">
        <v>188</v>
      </c>
      <c r="M73" s="34"/>
      <c r="N73" s="34"/>
      <c r="AC73" s="36">
        <f>AC69/(EE!$D$4+EE!$D$5)</f>
        <v>0.35935354088462662</v>
      </c>
    </row>
    <row r="74" spans="8:38" x14ac:dyDescent="0.25">
      <c r="H74" s="25" t="s">
        <v>57</v>
      </c>
      <c r="I74" s="37">
        <f>I51+I58</f>
        <v>1426.1634146341462</v>
      </c>
      <c r="J74" s="37">
        <f>I74+I74*$M$68</f>
        <v>1754.1809999999998</v>
      </c>
      <c r="K74" s="37">
        <f>J74/EE!M13</f>
        <v>0.87709049999999988</v>
      </c>
      <c r="L74" s="37">
        <f>K51+K58</f>
        <v>2908.5393089430891</v>
      </c>
      <c r="M74" s="37">
        <f>L74+L74*$M$68</f>
        <v>3577.5033499999995</v>
      </c>
      <c r="N74" s="37">
        <f>M74/(EE!N13)</f>
        <v>1.3009103090909089</v>
      </c>
      <c r="P74" s="22" t="s">
        <v>271</v>
      </c>
      <c r="T74" s="22">
        <f>U14*U15</f>
        <v>834.62049527757324</v>
      </c>
      <c r="V74" s="36"/>
      <c r="AC74" s="36">
        <f>AC70/(EE!$D$4+EE!$D$5)</f>
        <v>0.33863753703403071</v>
      </c>
    </row>
    <row r="75" spans="8:38" x14ac:dyDescent="0.25">
      <c r="H75" s="25" t="s">
        <v>58</v>
      </c>
      <c r="I75" s="37">
        <f>I52+I59</f>
        <v>1266.5439024390244</v>
      </c>
      <c r="J75" s="37">
        <f>I75+I75*$M$68</f>
        <v>1557.8489999999999</v>
      </c>
      <c r="K75" s="37">
        <f>J75/(EE!M17+EE!M20)</f>
        <v>0.77892450000000002</v>
      </c>
      <c r="L75" s="37">
        <f>K52+K59</f>
        <v>2705.1775203252027</v>
      </c>
      <c r="M75" s="37">
        <f>L75+L75*$M$68</f>
        <v>3327.3683499999993</v>
      </c>
      <c r="N75" s="37">
        <f>M75/(EE!N17+EE!N20)</f>
        <v>1.2099521272727269</v>
      </c>
      <c r="P75" s="22" t="s">
        <v>272</v>
      </c>
      <c r="T75" s="22">
        <f>V14*V15</f>
        <v>1550.0094912297791</v>
      </c>
      <c r="AC75" s="36">
        <f>AC71/(EE!$D$4+EE!$D$5)</f>
        <v>0.33282796102519618</v>
      </c>
    </row>
    <row r="76" spans="8:38" x14ac:dyDescent="0.25">
      <c r="H76" s="25" t="s">
        <v>59</v>
      </c>
      <c r="I76" s="37">
        <f>I53+I60</f>
        <v>1223.1764227642277</v>
      </c>
      <c r="J76" s="37">
        <f>I76+I76*$M$68</f>
        <v>1504.5070000000001</v>
      </c>
      <c r="K76" s="37">
        <f>J76/(EE!M24+EE!M27)</f>
        <v>0.75225350000000002</v>
      </c>
      <c r="L76" s="37">
        <f>K53+K60</f>
        <v>2649.9092276422762</v>
      </c>
      <c r="M76" s="37">
        <f>L76+L76*$M$68</f>
        <v>3259.3883499999997</v>
      </c>
      <c r="N76" s="37">
        <f>M76/(EE!N24+EE!N27)</f>
        <v>1.1852321272727271</v>
      </c>
    </row>
    <row r="77" spans="8:38" x14ac:dyDescent="0.25">
      <c r="P77" s="22" t="s">
        <v>273</v>
      </c>
      <c r="T77" s="22">
        <f>V23*V24+V27*V28+V31*V32+V33*V24+V34*V35+V36*V37+V38*V39+V40*V41</f>
        <v>760.00569914841481</v>
      </c>
    </row>
    <row r="78" spans="8:38" x14ac:dyDescent="0.25">
      <c r="P78" s="22" t="s">
        <v>274</v>
      </c>
      <c r="T78" s="22">
        <f>V23*V24+V29*V30+V31*V32+V33*V24+V34*V35+V36*V37+V38*V39+V40*V41</f>
        <v>461.22405863294046</v>
      </c>
    </row>
    <row r="80" spans="8:38" x14ac:dyDescent="0.25">
      <c r="P80" s="22" t="s">
        <v>275</v>
      </c>
      <c r="T80" s="22">
        <f>(T74+T77)/U15</f>
        <v>1.3240460292910612</v>
      </c>
      <c r="U80" s="22">
        <f>T80*1.23</f>
        <v>1.6285766160280053</v>
      </c>
    </row>
    <row r="81" spans="16:21" x14ac:dyDescent="0.25">
      <c r="P81" s="22" t="s">
        <v>276</v>
      </c>
      <c r="T81" s="22">
        <f>(T75+T78)/V15</f>
        <v>0.89921052609105911</v>
      </c>
      <c r="U81" s="22">
        <f>T81*1.23</f>
        <v>1.1060289470920026</v>
      </c>
    </row>
  </sheetData>
  <mergeCells count="50">
    <mergeCell ref="X5:AD5"/>
    <mergeCell ref="AF5:AL5"/>
    <mergeCell ref="B5:K5"/>
    <mergeCell ref="B7:C7"/>
    <mergeCell ref="H7:J7"/>
    <mergeCell ref="L7:N7"/>
    <mergeCell ref="P7:R7"/>
    <mergeCell ref="P5:V5"/>
    <mergeCell ref="H46:N46"/>
    <mergeCell ref="X7:Z7"/>
    <mergeCell ref="AB7:AD7"/>
    <mergeCell ref="AF7:AH7"/>
    <mergeCell ref="AJ7:AL7"/>
    <mergeCell ref="H9:J9"/>
    <mergeCell ref="L9:N9"/>
    <mergeCell ref="P9:R9"/>
    <mergeCell ref="T9:V9"/>
    <mergeCell ref="X9:Z9"/>
    <mergeCell ref="AB9:AD9"/>
    <mergeCell ref="T7:V7"/>
    <mergeCell ref="B19:N19"/>
    <mergeCell ref="H21:J21"/>
    <mergeCell ref="L21:N21"/>
    <mergeCell ref="P21:R21"/>
    <mergeCell ref="T21:V21"/>
    <mergeCell ref="P48:V48"/>
    <mergeCell ref="X48:AD48"/>
    <mergeCell ref="AF48:AL48"/>
    <mergeCell ref="AF9:AH9"/>
    <mergeCell ref="AJ9:AL9"/>
    <mergeCell ref="X21:Z21"/>
    <mergeCell ref="AB21:AD21"/>
    <mergeCell ref="AF21:AH21"/>
    <mergeCell ref="AJ21:AL21"/>
    <mergeCell ref="P46:V46"/>
    <mergeCell ref="X46:AD46"/>
    <mergeCell ref="AF46:AL46"/>
    <mergeCell ref="H48:N48"/>
    <mergeCell ref="H66:N66"/>
    <mergeCell ref="P66:V66"/>
    <mergeCell ref="X66:AD66"/>
    <mergeCell ref="AF66:AL66"/>
    <mergeCell ref="H55:N55"/>
    <mergeCell ref="P55:V55"/>
    <mergeCell ref="X55:AD55"/>
    <mergeCell ref="AF55:AL55"/>
    <mergeCell ref="H62:N62"/>
    <mergeCell ref="P62:V62"/>
    <mergeCell ref="X62:AD62"/>
    <mergeCell ref="AF62:AL6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CB504-5895-4C76-9FF3-2811A283E1C5}">
  <dimension ref="B1:O82"/>
  <sheetViews>
    <sheetView zoomScale="55" zoomScaleNormal="55" workbookViewId="0">
      <selection activeCell="J74" sqref="J74"/>
    </sheetView>
  </sheetViews>
  <sheetFormatPr defaultRowHeight="14.4" x14ac:dyDescent="0.3"/>
  <cols>
    <col min="4" max="4" width="9.33203125" customWidth="1"/>
    <col min="5" max="5" width="13.6640625" bestFit="1" customWidth="1"/>
    <col min="6" max="6" width="16.21875" customWidth="1"/>
    <col min="7" max="7" width="12.5546875" customWidth="1"/>
    <col min="8" max="8" width="10.6640625" bestFit="1" customWidth="1"/>
    <col min="9" max="9" width="8.21875" bestFit="1" customWidth="1"/>
  </cols>
  <sheetData>
    <row r="1" spans="2:13" s="22" customFormat="1" ht="12" x14ac:dyDescent="0.25"/>
    <row r="2" spans="2:13" s="22" customFormat="1" ht="12" x14ac:dyDescent="0.25">
      <c r="C2" s="28" t="s">
        <v>83</v>
      </c>
      <c r="D2" s="30">
        <v>44927</v>
      </c>
      <c r="F2" s="29" t="s">
        <v>134</v>
      </c>
      <c r="H2" s="22" t="s">
        <v>63</v>
      </c>
      <c r="I2" s="51" t="s">
        <v>135</v>
      </c>
    </row>
    <row r="3" spans="2:13" s="22" customFormat="1" ht="12" x14ac:dyDescent="0.25">
      <c r="C3" s="29" t="s">
        <v>161</v>
      </c>
      <c r="H3" s="22" t="s">
        <v>62</v>
      </c>
      <c r="I3" s="51" t="s">
        <v>135</v>
      </c>
    </row>
    <row r="4" spans="2:13" s="22" customFormat="1" ht="12" x14ac:dyDescent="0.25">
      <c r="C4" s="29"/>
      <c r="M4" s="23"/>
    </row>
    <row r="5" spans="2:13" s="22" customFormat="1" ht="12" x14ac:dyDescent="0.25">
      <c r="B5" s="342" t="s">
        <v>155</v>
      </c>
      <c r="C5" s="342"/>
      <c r="D5" s="342"/>
      <c r="E5" s="342"/>
      <c r="F5" s="342"/>
      <c r="G5" s="342"/>
      <c r="H5" s="342"/>
      <c r="I5" s="342"/>
      <c r="M5" s="23"/>
    </row>
    <row r="6" spans="2:13" s="22" customFormat="1" ht="12" x14ac:dyDescent="0.25"/>
    <row r="7" spans="2:13" s="23" customFormat="1" ht="12" x14ac:dyDescent="0.25">
      <c r="B7" s="343" t="s">
        <v>74</v>
      </c>
      <c r="C7" s="344"/>
      <c r="E7" s="137" t="s">
        <v>162</v>
      </c>
      <c r="F7" s="34" t="s">
        <v>165</v>
      </c>
      <c r="H7" s="341" t="s">
        <v>156</v>
      </c>
      <c r="I7" s="341"/>
    </row>
    <row r="8" spans="2:13" s="23" customFormat="1" ht="12" x14ac:dyDescent="0.25">
      <c r="H8" s="34" t="s">
        <v>157</v>
      </c>
      <c r="I8" s="34" t="s">
        <v>55</v>
      </c>
    </row>
    <row r="9" spans="2:13" s="23" customFormat="1" ht="12" x14ac:dyDescent="0.25">
      <c r="E9" s="26" t="s">
        <v>163</v>
      </c>
      <c r="F9" s="26" t="s">
        <v>166</v>
      </c>
      <c r="H9" s="26" t="s">
        <v>80</v>
      </c>
      <c r="I9" s="26" t="s">
        <v>158</v>
      </c>
    </row>
    <row r="10" spans="2:13" s="23" customFormat="1" ht="12" customHeight="1" x14ac:dyDescent="0.25">
      <c r="B10" s="26" t="s">
        <v>150</v>
      </c>
      <c r="E10" s="26" t="s">
        <v>164</v>
      </c>
      <c r="F10" s="26">
        <v>1</v>
      </c>
      <c r="H10" s="136">
        <v>0.20016999999999999</v>
      </c>
      <c r="I10" s="134">
        <v>3.3</v>
      </c>
    </row>
    <row r="11" spans="2:13" s="23" customFormat="1" ht="12" x14ac:dyDescent="0.25">
      <c r="B11" s="26" t="s">
        <v>151</v>
      </c>
      <c r="E11" s="140" t="s">
        <v>164</v>
      </c>
      <c r="F11" s="26">
        <v>2</v>
      </c>
      <c r="H11" s="136">
        <v>0.20016999999999999</v>
      </c>
      <c r="I11" s="134">
        <v>4.22</v>
      </c>
    </row>
    <row r="12" spans="2:13" s="23" customFormat="1" ht="12" x14ac:dyDescent="0.25">
      <c r="B12" s="26" t="s">
        <v>152</v>
      </c>
      <c r="E12" s="140" t="s">
        <v>167</v>
      </c>
      <c r="F12" s="26">
        <v>1</v>
      </c>
      <c r="H12" s="136">
        <v>0.20016999999999999</v>
      </c>
      <c r="I12" s="134">
        <v>5.4</v>
      </c>
    </row>
    <row r="13" spans="2:13" s="23" customFormat="1" ht="12" x14ac:dyDescent="0.25">
      <c r="B13" s="26" t="s">
        <v>153</v>
      </c>
      <c r="E13" s="140" t="s">
        <v>167</v>
      </c>
      <c r="F13" s="26">
        <v>2</v>
      </c>
      <c r="H13" s="136">
        <v>0.20016999999999999</v>
      </c>
      <c r="I13" s="134">
        <v>6.2</v>
      </c>
    </row>
    <row r="14" spans="2:13" s="22" customFormat="1" ht="12" x14ac:dyDescent="0.25">
      <c r="B14" s="26" t="s">
        <v>53</v>
      </c>
      <c r="C14" s="23"/>
      <c r="D14" s="23"/>
      <c r="E14" s="140" t="s">
        <v>168</v>
      </c>
      <c r="F14" s="26">
        <v>6</v>
      </c>
      <c r="H14" s="136">
        <v>0.20016999999999999</v>
      </c>
      <c r="I14" s="134">
        <v>6.3</v>
      </c>
    </row>
    <row r="15" spans="2:13" s="22" customFormat="1" ht="12" x14ac:dyDescent="0.25">
      <c r="B15" s="26" t="s">
        <v>154</v>
      </c>
      <c r="E15" s="140" t="s">
        <v>168</v>
      </c>
      <c r="F15" s="26">
        <v>9</v>
      </c>
      <c r="H15" s="136">
        <v>0.20016999999999999</v>
      </c>
      <c r="I15" s="134">
        <v>7.89</v>
      </c>
    </row>
    <row r="16" spans="2:13" s="22" customFormat="1" ht="12" x14ac:dyDescent="0.25">
      <c r="B16" s="26" t="s">
        <v>54</v>
      </c>
      <c r="E16" s="140" t="s">
        <v>169</v>
      </c>
      <c r="F16" s="26">
        <v>12</v>
      </c>
      <c r="H16" s="136">
        <v>0.20016999999999999</v>
      </c>
      <c r="I16" s="134">
        <v>15.85</v>
      </c>
    </row>
    <row r="17" spans="2:10" s="22" customFormat="1" ht="12" x14ac:dyDescent="0.25"/>
    <row r="18" spans="2:10" s="22" customFormat="1" ht="12" x14ac:dyDescent="0.25">
      <c r="B18" s="342" t="s">
        <v>117</v>
      </c>
      <c r="C18" s="342"/>
      <c r="D18" s="342"/>
      <c r="E18" s="342"/>
      <c r="F18" s="342"/>
      <c r="G18" s="342"/>
      <c r="H18" s="342"/>
      <c r="I18" s="342"/>
    </row>
    <row r="19" spans="2:10" s="22" customFormat="1" ht="12" x14ac:dyDescent="0.25"/>
    <row r="20" spans="2:10" s="22" customFormat="1" ht="26.4" x14ac:dyDescent="0.35">
      <c r="B20" s="343" t="s">
        <v>74</v>
      </c>
      <c r="C20" s="344"/>
      <c r="E20" s="341" t="s">
        <v>156</v>
      </c>
      <c r="F20" s="341"/>
      <c r="H20" s="269" t="s">
        <v>257</v>
      </c>
    </row>
    <row r="21" spans="2:10" s="22" customFormat="1" ht="12" x14ac:dyDescent="0.25">
      <c r="C21" s="46"/>
      <c r="D21" s="46"/>
      <c r="E21" s="135" t="s">
        <v>159</v>
      </c>
      <c r="F21" s="135" t="s">
        <v>160</v>
      </c>
      <c r="H21" s="34" t="s">
        <v>171</v>
      </c>
    </row>
    <row r="22" spans="2:10" s="22" customFormat="1" ht="12" x14ac:dyDescent="0.25">
      <c r="C22" s="46"/>
      <c r="D22" s="46"/>
      <c r="E22" s="34" t="s">
        <v>158</v>
      </c>
      <c r="F22" s="34" t="s">
        <v>76</v>
      </c>
      <c r="H22" s="44" t="s">
        <v>170</v>
      </c>
    </row>
    <row r="23" spans="2:10" s="22" customFormat="1" ht="12" customHeight="1" x14ac:dyDescent="0.25">
      <c r="B23" s="26" t="s">
        <v>150</v>
      </c>
      <c r="C23" s="46"/>
      <c r="D23" s="46"/>
      <c r="E23" s="44">
        <v>5.63</v>
      </c>
      <c r="F23" s="142">
        <f>5.503/100</f>
        <v>5.5030000000000003E-2</v>
      </c>
      <c r="G23" s="41"/>
      <c r="H23" s="44">
        <v>11.175000000000001</v>
      </c>
      <c r="J23" s="55"/>
    </row>
    <row r="24" spans="2:10" s="22" customFormat="1" ht="12" customHeight="1" x14ac:dyDescent="0.25">
      <c r="B24" s="26" t="s">
        <v>151</v>
      </c>
      <c r="C24" s="46"/>
      <c r="D24" s="46"/>
      <c r="E24" s="44">
        <v>6.61</v>
      </c>
      <c r="F24" s="142">
        <f>5.503/100</f>
        <v>5.5030000000000003E-2</v>
      </c>
      <c r="G24" s="41"/>
      <c r="H24" s="22" t="s">
        <v>255</v>
      </c>
    </row>
    <row r="25" spans="2:10" s="22" customFormat="1" ht="12" customHeight="1" x14ac:dyDescent="0.25">
      <c r="B25" s="26" t="s">
        <v>152</v>
      </c>
      <c r="C25" s="46"/>
      <c r="D25" s="46"/>
      <c r="E25" s="44">
        <v>12.22</v>
      </c>
      <c r="F25" s="142">
        <f>4.586/100</f>
        <v>4.5860000000000005E-2</v>
      </c>
      <c r="H25" s="280" t="s">
        <v>256</v>
      </c>
    </row>
    <row r="26" spans="2:10" s="22" customFormat="1" ht="12" customHeight="1" x14ac:dyDescent="0.25">
      <c r="B26" s="26" t="s">
        <v>153</v>
      </c>
      <c r="C26" s="46"/>
      <c r="D26" s="46"/>
      <c r="E26" s="44">
        <v>13.98</v>
      </c>
      <c r="F26" s="142">
        <f>4.586/100</f>
        <v>4.5860000000000005E-2</v>
      </c>
    </row>
    <row r="27" spans="2:10" ht="12" customHeight="1" x14ac:dyDescent="0.3">
      <c r="B27" s="26" t="s">
        <v>53</v>
      </c>
      <c r="E27" s="44">
        <v>39.75</v>
      </c>
      <c r="F27" s="142">
        <f>4.262/100</f>
        <v>4.2619999999999998E-2</v>
      </c>
    </row>
    <row r="28" spans="2:10" ht="12" customHeight="1" x14ac:dyDescent="0.3">
      <c r="B28" s="26" t="s">
        <v>154</v>
      </c>
      <c r="E28" s="44">
        <v>42.75</v>
      </c>
      <c r="F28" s="142">
        <f>4.262/100</f>
        <v>4.2619999999999998E-2</v>
      </c>
    </row>
    <row r="29" spans="2:10" ht="12" customHeight="1" x14ac:dyDescent="0.3">
      <c r="B29" s="26" t="s">
        <v>54</v>
      </c>
      <c r="E29" s="44">
        <v>191.92</v>
      </c>
      <c r="F29" s="142">
        <f>4.25/100</f>
        <v>4.2500000000000003E-2</v>
      </c>
    </row>
    <row r="32" spans="2:10" ht="12" customHeight="1" x14ac:dyDescent="0.3">
      <c r="B32" s="333" t="s">
        <v>145</v>
      </c>
      <c r="C32" s="333"/>
      <c r="D32" s="333"/>
      <c r="E32" s="333"/>
      <c r="F32" s="333"/>
      <c r="G32" s="333"/>
      <c r="H32" s="333"/>
    </row>
    <row r="33" spans="2:14" ht="12" customHeight="1" x14ac:dyDescent="0.3"/>
    <row r="34" spans="2:14" ht="12" customHeight="1" x14ac:dyDescent="0.3">
      <c r="B34" s="138" t="s">
        <v>74</v>
      </c>
      <c r="C34" s="139"/>
      <c r="E34" s="343" t="s">
        <v>193</v>
      </c>
      <c r="F34" s="344"/>
    </row>
    <row r="35" spans="2:14" ht="12" customHeight="1" x14ac:dyDescent="0.3">
      <c r="B35" s="26" t="str">
        <f>IF(E41&lt;300,"W-1.2",IF(E41&lt;1200,"W-2.2",IF(E41&lt;8000,"W-3.6","W-4")))</f>
        <v>W-3.6</v>
      </c>
      <c r="C35" s="22" t="s">
        <v>289</v>
      </c>
      <c r="E35" s="22">
        <f>EE!D4</f>
        <v>10320</v>
      </c>
      <c r="F35" s="22">
        <f>EE!D5</f>
        <v>3345.1976249999998</v>
      </c>
    </row>
    <row r="36" spans="2:14" ht="12" customHeight="1" x14ac:dyDescent="0.3">
      <c r="B36" s="281" t="str">
        <f>IF(E81&lt;300,"W-1.2",IF(E81&lt;1200,"W-2.2",IF(E81&lt;8000,"W-3.6","W-4")))</f>
        <v>W-2.2</v>
      </c>
      <c r="C36" s="22" t="s">
        <v>290</v>
      </c>
    </row>
    <row r="37" spans="2:14" ht="12" customHeight="1" x14ac:dyDescent="0.3">
      <c r="C37" s="46"/>
    </row>
    <row r="38" spans="2:14" ht="12" customHeight="1" x14ac:dyDescent="0.3">
      <c r="B38" s="45"/>
      <c r="C38" s="46"/>
      <c r="E38" s="36"/>
      <c r="F38" s="36"/>
    </row>
    <row r="39" spans="2:14" ht="12" customHeight="1" x14ac:dyDescent="0.3">
      <c r="E39" s="138" t="s">
        <v>60</v>
      </c>
      <c r="F39" s="138" t="s">
        <v>194</v>
      </c>
      <c r="G39" s="138" t="s">
        <v>60</v>
      </c>
      <c r="H39" s="138" t="s">
        <v>194</v>
      </c>
      <c r="I39" s="34" t="s">
        <v>157</v>
      </c>
      <c r="J39" s="34" t="s">
        <v>62</v>
      </c>
      <c r="K39" s="141" t="s">
        <v>173</v>
      </c>
      <c r="L39" s="141" t="s">
        <v>3</v>
      </c>
      <c r="M39" s="282" t="s">
        <v>264</v>
      </c>
      <c r="N39" s="272" t="s">
        <v>265</v>
      </c>
    </row>
    <row r="40" spans="2:14" ht="12" customHeight="1" x14ac:dyDescent="0.3">
      <c r="E40" s="159" t="s">
        <v>56</v>
      </c>
      <c r="F40" s="159" t="s">
        <v>56</v>
      </c>
      <c r="G40" s="159" t="s">
        <v>0</v>
      </c>
      <c r="H40" s="159" t="s">
        <v>0</v>
      </c>
      <c r="I40" s="34" t="s">
        <v>172</v>
      </c>
      <c r="J40" s="34" t="s">
        <v>172</v>
      </c>
      <c r="K40" s="141">
        <v>0.23</v>
      </c>
      <c r="L40" s="141"/>
      <c r="M40" s="282">
        <v>0</v>
      </c>
    </row>
    <row r="41" spans="2:14" ht="12" customHeight="1" x14ac:dyDescent="0.3">
      <c r="B41" s="37" t="s">
        <v>33</v>
      </c>
      <c r="C41" s="160"/>
      <c r="D41" s="161">
        <f>'Koszty 2023'!F47/100</f>
        <v>0.86</v>
      </c>
      <c r="E41" s="59">
        <f>(E35+F35)/H23</f>
        <v>1222.8364765100671</v>
      </c>
      <c r="F41" s="59">
        <f>E41/D41</f>
        <v>1421.9028796628688</v>
      </c>
      <c r="G41" s="162">
        <f>E41*H23</f>
        <v>13665.197625000001</v>
      </c>
      <c r="H41" s="162">
        <f>F41*H23</f>
        <v>15889.76468023256</v>
      </c>
      <c r="I41" s="133">
        <f>VLOOKUP(B35,B10:I16,7,0)*$H$41+VLOOKUP(B35,B10:I16,8,0)*12</f>
        <v>3256.2541960421513</v>
      </c>
      <c r="J41" s="133">
        <f>VLOOKUP(B35,B23:F29,4,0)*VLOOKUP(B35,B10:I16,5,0)+VLOOKUP(B35,B23:F29,5,)*H41</f>
        <v>915.72177067151165</v>
      </c>
      <c r="K41" s="133">
        <f>(J41+I41)*K40+(J41+I41)</f>
        <v>5131.5304390578058</v>
      </c>
      <c r="L41" s="133">
        <f>K41/F41</f>
        <v>3.6089176781711592</v>
      </c>
      <c r="M41" s="283">
        <f>(J41+I41)*M40+(J41+I41)</f>
        <v>4171.9759667136632</v>
      </c>
      <c r="N41" s="133">
        <f>K41-M41</f>
        <v>959.5544723441426</v>
      </c>
    </row>
    <row r="42" spans="2:14" ht="12" customHeight="1" x14ac:dyDescent="0.3">
      <c r="B42" s="37" t="s">
        <v>34</v>
      </c>
      <c r="C42" s="43"/>
      <c r="D42" s="161">
        <f>'Koszty 2023'!F49/100</f>
        <v>0.92</v>
      </c>
      <c r="E42" s="59">
        <f>(E35+F35)/H23</f>
        <v>1222.8364765100671</v>
      </c>
      <c r="F42" s="59">
        <f>E41/D42</f>
        <v>1329.1700831631163</v>
      </c>
      <c r="G42" s="162">
        <f>E42*H23</f>
        <v>13665.197625000001</v>
      </c>
      <c r="H42" s="162">
        <f>F42*H23</f>
        <v>14853.475679347825</v>
      </c>
      <c r="I42" s="133">
        <f>VLOOKUP(B35,B10:I16,7,0)*$H$42+VLOOKUP(B35,B10:I16,8,0)*12</f>
        <v>3048.8202267350539</v>
      </c>
      <c r="J42" s="133">
        <f>VLOOKUP(B35,B23:F29,4,0)*VLOOKUP(B35,B10:I16,5,0)+VLOOKUP(B35,B23:F29,5,)*H42</f>
        <v>871.55513345380427</v>
      </c>
      <c r="K42" s="133">
        <f>(J42+I42)*K40+(J42+I42)</f>
        <v>4822.0616930322958</v>
      </c>
      <c r="L42" s="133">
        <f>K42/F42</f>
        <v>3.6278740803110074</v>
      </c>
      <c r="M42" s="283">
        <f>(J42+I42)*M40+(J42+I42)</f>
        <v>3920.3753601888584</v>
      </c>
      <c r="N42" s="133">
        <f>K42-M42</f>
        <v>901.68633284343741</v>
      </c>
    </row>
    <row r="43" spans="2:14" ht="12" customHeight="1" x14ac:dyDescent="0.3">
      <c r="E43" s="36"/>
      <c r="F43" s="36"/>
    </row>
    <row r="44" spans="2:14" ht="12" customHeight="1" x14ac:dyDescent="0.3"/>
    <row r="45" spans="2:14" ht="12" customHeight="1" x14ac:dyDescent="0.3"/>
    <row r="46" spans="2:14" ht="12" customHeight="1" x14ac:dyDescent="0.3"/>
    <row r="62" spans="2:9" x14ac:dyDescent="0.3">
      <c r="B62" s="275" t="s">
        <v>266</v>
      </c>
      <c r="C62" s="274"/>
      <c r="D62" s="274"/>
      <c r="E62" s="274"/>
      <c r="F62" s="274"/>
      <c r="G62" s="274"/>
      <c r="H62" s="274"/>
      <c r="I62" s="274"/>
    </row>
    <row r="63" spans="2:9" x14ac:dyDescent="0.3">
      <c r="B63" t="s">
        <v>268</v>
      </c>
      <c r="H63" s="276">
        <v>310</v>
      </c>
      <c r="I63" t="s">
        <v>269</v>
      </c>
    </row>
    <row r="64" spans="2:9" x14ac:dyDescent="0.3">
      <c r="B64" s="268" t="s">
        <v>267</v>
      </c>
      <c r="H64" s="277">
        <f>H63/1000</f>
        <v>0.31</v>
      </c>
      <c r="I64" s="277" t="s">
        <v>1</v>
      </c>
    </row>
    <row r="66" spans="2:15" x14ac:dyDescent="0.3">
      <c r="G66" s="277" t="s">
        <v>270</v>
      </c>
      <c r="H66" s="278">
        <f>H10</f>
        <v>0.20016999999999999</v>
      </c>
      <c r="I66" s="277" t="s">
        <v>1</v>
      </c>
    </row>
    <row r="67" spans="2:15" x14ac:dyDescent="0.3">
      <c r="H67" s="279"/>
    </row>
    <row r="71" spans="2:15" x14ac:dyDescent="0.3">
      <c r="B71" s="275" t="s">
        <v>286</v>
      </c>
      <c r="C71" s="275"/>
      <c r="D71" s="275"/>
      <c r="E71" s="275"/>
      <c r="F71" s="275"/>
      <c r="G71" s="275"/>
      <c r="H71" s="275"/>
      <c r="I71" s="275"/>
    </row>
    <row r="72" spans="2:15" x14ac:dyDescent="0.3">
      <c r="B72" t="s">
        <v>281</v>
      </c>
      <c r="G72">
        <f>2.3*2</f>
        <v>4.5999999999999996</v>
      </c>
      <c r="H72" t="s">
        <v>282</v>
      </c>
    </row>
    <row r="73" spans="2:15" x14ac:dyDescent="0.3">
      <c r="B73" t="s">
        <v>283</v>
      </c>
      <c r="G73">
        <v>525</v>
      </c>
      <c r="H73" t="s">
        <v>284</v>
      </c>
      <c r="J73" t="s">
        <v>293</v>
      </c>
    </row>
    <row r="74" spans="2:15" x14ac:dyDescent="0.3">
      <c r="B74" t="s">
        <v>285</v>
      </c>
      <c r="G74">
        <f>G73*G72</f>
        <v>2415</v>
      </c>
      <c r="H74" t="s">
        <v>0</v>
      </c>
      <c r="J74">
        <f>IF(F35*0.6&gt;G74,G74,F35*0.6)</f>
        <v>2007.1185749999997</v>
      </c>
      <c r="K74" t="s">
        <v>0</v>
      </c>
    </row>
    <row r="75" spans="2:15" x14ac:dyDescent="0.3">
      <c r="B75" t="s">
        <v>287</v>
      </c>
      <c r="G75">
        <f>G74/$H$23</f>
        <v>216.10738255033556</v>
      </c>
      <c r="H75" t="s">
        <v>56</v>
      </c>
      <c r="J75">
        <f>J74/$H$23</f>
        <v>179.60792617449661</v>
      </c>
      <c r="K75" t="s">
        <v>56</v>
      </c>
    </row>
    <row r="76" spans="2:15" x14ac:dyDescent="0.3">
      <c r="B76" t="s">
        <v>288</v>
      </c>
    </row>
    <row r="79" spans="2:15" x14ac:dyDescent="0.3">
      <c r="E79" s="138" t="s">
        <v>60</v>
      </c>
      <c r="F79" s="138" t="s">
        <v>194</v>
      </c>
      <c r="G79" s="138" t="s">
        <v>60</v>
      </c>
      <c r="H79" s="138" t="s">
        <v>194</v>
      </c>
      <c r="I79" s="34" t="s">
        <v>157</v>
      </c>
      <c r="J79" s="34" t="s">
        <v>62</v>
      </c>
      <c r="K79" s="141" t="s">
        <v>173</v>
      </c>
      <c r="L79" s="141" t="s">
        <v>3</v>
      </c>
      <c r="M79" s="282" t="s">
        <v>264</v>
      </c>
      <c r="N79" s="272" t="s">
        <v>265</v>
      </c>
      <c r="O79" s="272" t="s">
        <v>291</v>
      </c>
    </row>
    <row r="80" spans="2:15" x14ac:dyDescent="0.3">
      <c r="E80" s="159" t="s">
        <v>56</v>
      </c>
      <c r="F80" s="159" t="s">
        <v>56</v>
      </c>
      <c r="G80" s="159" t="s">
        <v>0</v>
      </c>
      <c r="H80" s="159" t="s">
        <v>0</v>
      </c>
      <c r="I80" s="34" t="s">
        <v>172</v>
      </c>
      <c r="J80" s="34" t="s">
        <v>172</v>
      </c>
      <c r="K80" s="141">
        <v>0.23</v>
      </c>
      <c r="L80" s="141"/>
      <c r="M80" s="282">
        <v>0</v>
      </c>
    </row>
    <row r="81" spans="2:15" x14ac:dyDescent="0.3">
      <c r="B81" s="37" t="s">
        <v>33</v>
      </c>
      <c r="C81" s="160"/>
      <c r="D81" s="161">
        <f>D41</f>
        <v>0.86</v>
      </c>
      <c r="E81" s="59">
        <f>E41-J75</f>
        <v>1043.2285503355704</v>
      </c>
      <c r="F81" s="59">
        <f>E81/D81</f>
        <v>1213.0564538785702</v>
      </c>
      <c r="G81" s="162">
        <f>E81*H23</f>
        <v>11658.07905</v>
      </c>
      <c r="H81" s="162">
        <f>F81*H23</f>
        <v>13555.905872093022</v>
      </c>
      <c r="I81" s="133">
        <f>VLOOKUP(B36,B10:I16,7,0)*$H$81+VLOOKUP(B36,B10:I16,8,0)*12</f>
        <v>2787.8856784168602</v>
      </c>
      <c r="J81" s="133">
        <f>VLOOKUP(B36,B23:F29,4,0)*VLOOKUP(B36,B10:I16,5,0)+VLOOKUP(B36,B23:F29,5,)*H81</f>
        <v>649.63384329418614</v>
      </c>
      <c r="K81" s="133">
        <f>(J81+I81)*K80+(J81+I81)</f>
        <v>4228.1490117045869</v>
      </c>
      <c r="L81" s="133">
        <f>K81/F81</f>
        <v>3.4855335859973375</v>
      </c>
      <c r="M81" s="283">
        <f>(J81+I81)*M80+(J81+I81)</f>
        <v>3437.5195217110463</v>
      </c>
      <c r="N81" s="133">
        <f>K81-M81</f>
        <v>790.62948999354057</v>
      </c>
      <c r="O81" s="133">
        <f>M41-M81</f>
        <v>734.45644500261687</v>
      </c>
    </row>
    <row r="82" spans="2:15" x14ac:dyDescent="0.3">
      <c r="B82" s="37" t="s">
        <v>34</v>
      </c>
      <c r="C82" s="43"/>
      <c r="D82" s="161">
        <f>D42</f>
        <v>0.92</v>
      </c>
      <c r="E82" s="59">
        <f>E42-J75</f>
        <v>1043.2285503355704</v>
      </c>
      <c r="F82" s="59">
        <f>E81/D82</f>
        <v>1133.9440764517069</v>
      </c>
      <c r="G82" s="162">
        <f>E82*H23</f>
        <v>11658.07905</v>
      </c>
      <c r="H82" s="162">
        <f>F82*H23</f>
        <v>12671.825054347826</v>
      </c>
      <c r="I82" s="133">
        <f>VLOOKUP(B36,B10:I16,7,0)*$H$82+VLOOKUP(B36,B10:I16,8,0)*12</f>
        <v>2610.9192211288041</v>
      </c>
      <c r="J82" s="133">
        <f>VLOOKUP(B36,B23:F29,4,0)*VLOOKUP(B36,B10:I16,5,0)+VLOOKUP(B36,B23:F29,5,)*H82</f>
        <v>609.08989699239146</v>
      </c>
      <c r="K82" s="133">
        <f>(J82+I82)*K80+(J82+I82)</f>
        <v>3960.6112152890705</v>
      </c>
      <c r="L82" s="133">
        <f>K82/F82</f>
        <v>3.4927747298459892</v>
      </c>
      <c r="M82" s="283">
        <f>(J82+I82)*M80+(J82+I82)</f>
        <v>3220.0091181211956</v>
      </c>
      <c r="N82" s="133">
        <f>K82-M82</f>
        <v>740.60209716787494</v>
      </c>
      <c r="O82" s="133">
        <f>M42-M82</f>
        <v>700.36624206766282</v>
      </c>
    </row>
  </sheetData>
  <sheetProtection algorithmName="SHA-512" hashValue="Hj7+nyqcrHAoqhCcFs1UQamzU+EuLdAICCaWkNQljuGQMCBQ1looGf2gVMyFsn92S404rqezSI4ogKadzF/Jzw==" saltValue="Dg02GVObzxlh5qQ7NjZzIg==" spinCount="100000" sheet="1" objects="1" scenarios="1"/>
  <mergeCells count="8">
    <mergeCell ref="B32:H32"/>
    <mergeCell ref="E34:F34"/>
    <mergeCell ref="B5:I5"/>
    <mergeCell ref="B7:C7"/>
    <mergeCell ref="H7:I7"/>
    <mergeCell ref="B18:I18"/>
    <mergeCell ref="E20:F20"/>
    <mergeCell ref="B20:C20"/>
  </mergeCells>
  <hyperlinks>
    <hyperlink ref="H25" r:id="rId1" xr:uid="{328667DB-1FD1-4E9C-8581-65C7A6F229A6}"/>
    <hyperlink ref="B64" r:id="rId2" xr:uid="{68424664-0091-4897-84AF-99C96AD16CF5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Koszty 2023</vt:lpstr>
      <vt:lpstr>Sources</vt:lpstr>
      <vt:lpstr>EE</vt:lpstr>
      <vt:lpstr>Enea</vt:lpstr>
      <vt:lpstr>Tauron</vt:lpstr>
      <vt:lpstr>PGNiG</vt:lpstr>
      <vt:lpstr>'Koszty 2023'!Obszar_wydruku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Dawid_Pantera</dc:creator>
  <cp:lastModifiedBy>Dawid_Pantera</cp:lastModifiedBy>
  <cp:lastPrinted>2023-01-16T16:02:16Z</cp:lastPrinted>
  <dcterms:created xsi:type="dcterms:W3CDTF">2020-03-13T23:07:16Z</dcterms:created>
  <dcterms:modified xsi:type="dcterms:W3CDTF">2023-05-11T20:10:12Z</dcterms:modified>
</cp:coreProperties>
</file>