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!PanD\Prezentacje\DVD dla DH\Kalkulatory doborowe\"/>
    </mc:Choice>
  </mc:AlternateContent>
  <xr:revisionPtr revIDLastSave="0" documentId="13_ncr:1_{F8AB1D72-0E31-4216-8CAC-EA4AA5EDC62F}" xr6:coauthVersionLast="44" xr6:coauthVersionMax="44" xr10:uidLastSave="{00000000-0000-0000-0000-000000000000}"/>
  <bookViews>
    <workbookView xWindow="57480" yWindow="-120" windowWidth="19440" windowHeight="15150" tabRatio="744" xr2:uid="{00000000-000D-0000-FFFF-FFFF00000000}"/>
  </bookViews>
  <sheets>
    <sheet name="Dobór" sheetId="4" r:id="rId1"/>
    <sheet name="Dane dla CO" sheetId="3" state="hidden" r:id="rId2"/>
    <sheet name="Dane dla CWU" sheetId="9" state="hidden" r:id="rId3"/>
    <sheet name="SCOP 221.A26" sheetId="6" state="hidden" r:id="rId4"/>
    <sheet name="SCOP 221.A26 ver 2" sheetId="13" state="hidden" r:id="rId5"/>
    <sheet name="Energia 221.A26" sheetId="12" state="hidden" r:id="rId6"/>
    <sheet name="SCOP 221.A29" sheetId="10" state="hidden" r:id="rId7"/>
    <sheet name="SCOP 221.A29 ver 2" sheetId="15" state="hidden" r:id="rId8"/>
    <sheet name="Energia 221.A29" sheetId="14" state="hidden" r:id="rId9"/>
    <sheet name="Wykresy" sheetId="5" state="hidden" r:id="rId10"/>
  </sheets>
  <definedNames>
    <definedName name="budynek">'Dane dla CO'!$B$36:$B$39</definedName>
    <definedName name="drugie_zrodlo_ciepla">'Dane dla CO'!$E$59:$E$62</definedName>
    <definedName name="krakow">'Dane dla CO'!$B$69</definedName>
    <definedName name="_xlnm.Print_Area" localSheetId="0">Dobór!$B$2:$U$104</definedName>
    <definedName name="ogrzew">'Dane dla CO'!$B$31:$B$33</definedName>
    <definedName name="ogrzew2">'Dane dla CO'!$B$31:$B$32</definedName>
    <definedName name="ogrzewanie">'Dane dla CO'!$B$31,'Dane dla CO'!$B$32,'Dane dla CO'!$B$33</definedName>
    <definedName name="paliwo">'Dane dla CO'!$E$60:$E$61</definedName>
    <definedName name="rodzaj_ogrzew">'Dane dla CO'!$H$37:$H$41</definedName>
    <definedName name="strefy">'Dane dla CO'!$B$67:$B$71</definedName>
    <definedName name="system">'Dane dla CO'!$C$115:$C$117</definedName>
    <definedName name="wielkosc_pompy">'Dane dla CO'!$B$34:$B$34</definedName>
    <definedName name="wyposażenie">'Dane dla CO'!$B$42:$B$47</definedName>
    <definedName name="zrodlo">'Dane dla CO'!$B$50:$B$53</definedName>
  </definedNames>
  <calcPr calcId="191029"/>
  <customWorkbookViews>
    <customWorkbookView name="Dawid Pantera - Widok osobisty" guid="{88E46702-3914-4504-BC03-37FCE1AAFB05}" mergeInterval="0" personalView="1" maximized="1" xWindow="22" yWindow="37" windowWidth="1556" windowHeight="66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3" l="1"/>
  <c r="G54" i="9" l="1"/>
  <c r="G54" i="3" l="1"/>
  <c r="FG6" i="15" l="1"/>
  <c r="V19" i="3"/>
  <c r="V23" i="3"/>
  <c r="V7" i="3"/>
  <c r="V20" i="3"/>
  <c r="V24" i="3"/>
  <c r="V21" i="3"/>
  <c r="V25" i="3"/>
  <c r="V22" i="3"/>
  <c r="V18" i="3"/>
  <c r="EJ56" i="15"/>
  <c r="EJ57" i="15" s="1"/>
  <c r="EJ58" i="15" s="1"/>
  <c r="EJ59" i="15" s="1"/>
  <c r="EJ60" i="15" s="1"/>
  <c r="EJ61" i="15" s="1"/>
  <c r="EJ62" i="15" s="1"/>
  <c r="EJ63" i="15" s="1"/>
  <c r="EJ64" i="15" s="1"/>
  <c r="EJ65" i="15" s="1"/>
  <c r="EJ66" i="15" s="1"/>
  <c r="EJ67" i="15" s="1"/>
  <c r="EJ68" i="15" s="1"/>
  <c r="EJ69" i="15" s="1"/>
  <c r="EJ70" i="15" s="1"/>
  <c r="EJ71" i="15" s="1"/>
  <c r="EJ72" i="15" s="1"/>
  <c r="EJ73" i="15" s="1"/>
  <c r="EJ74" i="15" s="1"/>
  <c r="EJ75" i="15" s="1"/>
  <c r="EJ76" i="15" s="1"/>
  <c r="EJ77" i="15" s="1"/>
  <c r="EJ78" i="15" s="1"/>
  <c r="EJ79" i="15" s="1"/>
  <c r="EJ80" i="15" s="1"/>
  <c r="EJ81" i="15" s="1"/>
  <c r="EJ82" i="15" s="1"/>
  <c r="EJ83" i="15" s="1"/>
  <c r="EJ84" i="15" s="1"/>
  <c r="EJ85" i="15" s="1"/>
  <c r="EJ86" i="15" s="1"/>
  <c r="EJ87" i="15" s="1"/>
  <c r="EJ88" i="15" s="1"/>
  <c r="EJ89" i="15" s="1"/>
  <c r="EJ90" i="15" s="1"/>
  <c r="EJ91" i="15" s="1"/>
  <c r="EJ92" i="15" s="1"/>
  <c r="EJ93" i="15" s="1"/>
  <c r="EJ94" i="15" s="1"/>
  <c r="EJ95" i="15" s="1"/>
  <c r="EJ96" i="15" s="1"/>
  <c r="EJ97" i="15" s="1"/>
  <c r="EJ98" i="15" s="1"/>
  <c r="EJ99" i="15" s="1"/>
  <c r="EJ100" i="15" s="1"/>
  <c r="EJ101" i="15" s="1"/>
  <c r="EJ102" i="15" s="1"/>
  <c r="EJ103" i="15" s="1"/>
  <c r="EJ104" i="15" s="1"/>
  <c r="EJ105" i="15" s="1"/>
  <c r="EJ106" i="15" s="1"/>
  <c r="DT55" i="15"/>
  <c r="EL54" i="15"/>
  <c r="EP53" i="15"/>
  <c r="EO53" i="15"/>
  <c r="EP52" i="15"/>
  <c r="EP51" i="15"/>
  <c r="I51" i="15"/>
  <c r="EP50" i="15"/>
  <c r="I50" i="15"/>
  <c r="EP49" i="15"/>
  <c r="I49" i="15"/>
  <c r="EP48" i="15"/>
  <c r="I48" i="15"/>
  <c r="EP47" i="15"/>
  <c r="EP46" i="15"/>
  <c r="EM46" i="15"/>
  <c r="ET45" i="15"/>
  <c r="EN46" i="15" s="1"/>
  <c r="EN47" i="15" s="1"/>
  <c r="EN48" i="15" s="1"/>
  <c r="EN49" i="15" s="1"/>
  <c r="EN50" i="15" s="1"/>
  <c r="EN51" i="15" s="1"/>
  <c r="EN52" i="15" s="1"/>
  <c r="ES45" i="15"/>
  <c r="EP45" i="15"/>
  <c r="EO45" i="15"/>
  <c r="EP44" i="15"/>
  <c r="EP43" i="15"/>
  <c r="EP42" i="15"/>
  <c r="DT42" i="15"/>
  <c r="EP41" i="15"/>
  <c r="EP40" i="15"/>
  <c r="EE40" i="15"/>
  <c r="EB40" i="15"/>
  <c r="DY40" i="15"/>
  <c r="EA40" i="15" s="1"/>
  <c r="DW40" i="15"/>
  <c r="DV40" i="15"/>
  <c r="EP39" i="15"/>
  <c r="EE39" i="15"/>
  <c r="EB39" i="15"/>
  <c r="DY39" i="15"/>
  <c r="EA39" i="15" s="1"/>
  <c r="DW39" i="15"/>
  <c r="DV39" i="15"/>
  <c r="EP38" i="15"/>
  <c r="EE38" i="15"/>
  <c r="EB38" i="15"/>
  <c r="DY38" i="15"/>
  <c r="EA38" i="15" s="1"/>
  <c r="DW38" i="15"/>
  <c r="DV38" i="15"/>
  <c r="EP37" i="15"/>
  <c r="EE37" i="15"/>
  <c r="EB37" i="15"/>
  <c r="DY37" i="15"/>
  <c r="EA37" i="15" s="1"/>
  <c r="DW37" i="15"/>
  <c r="DV37" i="15"/>
  <c r="EP36" i="15"/>
  <c r="EE36" i="15"/>
  <c r="EB36" i="15"/>
  <c r="DY36" i="15"/>
  <c r="EA36" i="15" s="1"/>
  <c r="DW36" i="15"/>
  <c r="DV36" i="15"/>
  <c r="DX36" i="15" s="1"/>
  <c r="ET35" i="15"/>
  <c r="EN36" i="15" s="1"/>
  <c r="ES35" i="15"/>
  <c r="EM36" i="15" s="1"/>
  <c r="EM37" i="15" s="1"/>
  <c r="EP35" i="15"/>
  <c r="EO35" i="15"/>
  <c r="EE35" i="15"/>
  <c r="EB35" i="15"/>
  <c r="EA35" i="15"/>
  <c r="DX35" i="15"/>
  <c r="ES86" i="15" s="1"/>
  <c r="EP34" i="15"/>
  <c r="EE34" i="15"/>
  <c r="EB34" i="15"/>
  <c r="DZ34" i="15"/>
  <c r="DY34" i="15"/>
  <c r="EA34" i="15" s="1"/>
  <c r="EP33" i="15"/>
  <c r="EE33" i="15"/>
  <c r="EB33" i="15"/>
  <c r="DZ33" i="15"/>
  <c r="DY33" i="15"/>
  <c r="ET32" i="15"/>
  <c r="EN33" i="15" s="1"/>
  <c r="EN34" i="15" s="1"/>
  <c r="ES32" i="15"/>
  <c r="EM33" i="15" s="1"/>
  <c r="EP32" i="15"/>
  <c r="EO32" i="15"/>
  <c r="EE32" i="15"/>
  <c r="EB32" i="15"/>
  <c r="EA32" i="15"/>
  <c r="DW32" i="15"/>
  <c r="DV32" i="15"/>
  <c r="DV29" i="15" s="1"/>
  <c r="EP31" i="15"/>
  <c r="EE31" i="15"/>
  <c r="EB31" i="15"/>
  <c r="DZ31" i="15"/>
  <c r="DY31" i="15"/>
  <c r="DV31" i="15"/>
  <c r="EP30" i="15"/>
  <c r="EE30" i="15"/>
  <c r="EB30" i="15"/>
  <c r="DZ30" i="15"/>
  <c r="DY30" i="15"/>
  <c r="DV30" i="15"/>
  <c r="EP29" i="15"/>
  <c r="EE29" i="15"/>
  <c r="EB29" i="15"/>
  <c r="DZ29" i="15"/>
  <c r="DY29" i="15"/>
  <c r="EA29" i="15" s="1"/>
  <c r="DW29" i="15"/>
  <c r="DX29" i="15" s="1"/>
  <c r="EP28" i="15"/>
  <c r="EM28" i="15"/>
  <c r="EE28" i="15"/>
  <c r="EB28" i="15"/>
  <c r="DZ28" i="15"/>
  <c r="DY28" i="15"/>
  <c r="DV28" i="15"/>
  <c r="ET27" i="15"/>
  <c r="EN28" i="15" s="1"/>
  <c r="EN29" i="15" s="1"/>
  <c r="EN30" i="15" s="1"/>
  <c r="EN31" i="15" s="1"/>
  <c r="ES27" i="15"/>
  <c r="EP27" i="15"/>
  <c r="EO27" i="15"/>
  <c r="EE27" i="15"/>
  <c r="EB27" i="15"/>
  <c r="EA27" i="15"/>
  <c r="DX27" i="15"/>
  <c r="EP26" i="15"/>
  <c r="EE26" i="15"/>
  <c r="EB26" i="15"/>
  <c r="DZ26" i="15"/>
  <c r="DY26" i="15"/>
  <c r="EA26" i="15" s="1"/>
  <c r="EF26" i="15" s="1"/>
  <c r="EP25" i="15"/>
  <c r="EE25" i="15"/>
  <c r="EB25" i="15"/>
  <c r="DZ25" i="15"/>
  <c r="DY25" i="15"/>
  <c r="EP24" i="15"/>
  <c r="EE24" i="15"/>
  <c r="EB24" i="15"/>
  <c r="DZ24" i="15"/>
  <c r="DY24" i="15"/>
  <c r="EA24" i="15" s="1"/>
  <c r="EP23" i="15"/>
  <c r="EE23" i="15"/>
  <c r="EB23" i="15"/>
  <c r="DZ23" i="15"/>
  <c r="DY23" i="15"/>
  <c r="EP22" i="15"/>
  <c r="EE22" i="15"/>
  <c r="EB22" i="15"/>
  <c r="DZ22" i="15"/>
  <c r="DY22" i="15"/>
  <c r="EA22" i="15" s="1"/>
  <c r="EF22" i="15" s="1"/>
  <c r="EP21" i="15"/>
  <c r="EE21" i="15"/>
  <c r="EB21" i="15"/>
  <c r="DZ21" i="15"/>
  <c r="DY21" i="15"/>
  <c r="EP20" i="15"/>
  <c r="EE20" i="15"/>
  <c r="EB20" i="15"/>
  <c r="DZ20" i="15"/>
  <c r="DY20" i="15"/>
  <c r="EA20" i="15" s="1"/>
  <c r="EP19" i="15"/>
  <c r="EE19" i="15"/>
  <c r="EB19" i="15"/>
  <c r="DZ19" i="15"/>
  <c r="DY19" i="15"/>
  <c r="EA19" i="15" s="1"/>
  <c r="ET18" i="15"/>
  <c r="EN19" i="15" s="1"/>
  <c r="EN20" i="15" s="1"/>
  <c r="EN21" i="15" s="1"/>
  <c r="EN22" i="15" s="1"/>
  <c r="EN23" i="15" s="1"/>
  <c r="EN24" i="15" s="1"/>
  <c r="EN25" i="15" s="1"/>
  <c r="EN26" i="15" s="1"/>
  <c r="ES18" i="15"/>
  <c r="EM19" i="15" s="1"/>
  <c r="EP18" i="15"/>
  <c r="EO18" i="15"/>
  <c r="EF18" i="15"/>
  <c r="EE18" i="15"/>
  <c r="EB18" i="15"/>
  <c r="EA18" i="15"/>
  <c r="DW18" i="15"/>
  <c r="DV18" i="15"/>
  <c r="EP17" i="15"/>
  <c r="EE17" i="15"/>
  <c r="EB17" i="15"/>
  <c r="DY17" i="15"/>
  <c r="EA17" i="15" s="1"/>
  <c r="EP16" i="15"/>
  <c r="EE16" i="15"/>
  <c r="EB16" i="15"/>
  <c r="DY16" i="15"/>
  <c r="EA16" i="15" s="1"/>
  <c r="EP15" i="15"/>
  <c r="EE15" i="15"/>
  <c r="EB15" i="15"/>
  <c r="EA15" i="15"/>
  <c r="DX15" i="15"/>
  <c r="EP14" i="15"/>
  <c r="EE14" i="15"/>
  <c r="EB14" i="15"/>
  <c r="DY14" i="15"/>
  <c r="EA14" i="15" s="1"/>
  <c r="DV14" i="15"/>
  <c r="DX14" i="15" s="1"/>
  <c r="EP13" i="15"/>
  <c r="EE13" i="15"/>
  <c r="EB13" i="15"/>
  <c r="DY13" i="15"/>
  <c r="EA13" i="15" s="1"/>
  <c r="DV13" i="15"/>
  <c r="DX13" i="15" s="1"/>
  <c r="EP12" i="15"/>
  <c r="EE12" i="15"/>
  <c r="EB12" i="15"/>
  <c r="DY12" i="15"/>
  <c r="EA12" i="15" s="1"/>
  <c r="DV12" i="15"/>
  <c r="DX12" i="15" s="1"/>
  <c r="ES63" i="15" s="1"/>
  <c r="EP11" i="15"/>
  <c r="EE11" i="15"/>
  <c r="EB11" i="15"/>
  <c r="DY11" i="15"/>
  <c r="EA11" i="15" s="1"/>
  <c r="DV11" i="15"/>
  <c r="DX11" i="15" s="1"/>
  <c r="ET10" i="15"/>
  <c r="EN11" i="15" s="1"/>
  <c r="EN12" i="15" s="1"/>
  <c r="EN13" i="15" s="1"/>
  <c r="EN14" i="15" s="1"/>
  <c r="EN15" i="15" s="1"/>
  <c r="EN16" i="15" s="1"/>
  <c r="EN17" i="15" s="1"/>
  <c r="ES10" i="15"/>
  <c r="EM11" i="15" s="1"/>
  <c r="EM12" i="15" s="1"/>
  <c r="EP10" i="15"/>
  <c r="EO10" i="15"/>
  <c r="EE10" i="15"/>
  <c r="EB10" i="15"/>
  <c r="EA10" i="15"/>
  <c r="DX10" i="15"/>
  <c r="ES61" i="15" s="1"/>
  <c r="EP9" i="15"/>
  <c r="EE9" i="15"/>
  <c r="EB9" i="15"/>
  <c r="DZ9" i="15"/>
  <c r="DY9" i="15"/>
  <c r="DW9" i="15"/>
  <c r="DV9" i="15"/>
  <c r="EP8" i="15"/>
  <c r="EE8" i="15"/>
  <c r="EB8" i="15"/>
  <c r="DZ8" i="15"/>
  <c r="DY8" i="15"/>
  <c r="DW8" i="15"/>
  <c r="DV8" i="15"/>
  <c r="DX8" i="15" s="1"/>
  <c r="EP7" i="15"/>
  <c r="EE7" i="15"/>
  <c r="EB7" i="15"/>
  <c r="DZ7" i="15"/>
  <c r="DY7" i="15"/>
  <c r="DW7" i="15"/>
  <c r="DV7" i="15"/>
  <c r="DX7" i="15" s="1"/>
  <c r="EP6" i="15"/>
  <c r="EJ6" i="15"/>
  <c r="EJ7" i="15" s="1"/>
  <c r="EJ8" i="15" s="1"/>
  <c r="EJ9" i="15" s="1"/>
  <c r="EJ10" i="15" s="1"/>
  <c r="EJ11" i="15" s="1"/>
  <c r="EE6" i="15"/>
  <c r="EB6" i="15"/>
  <c r="DZ6" i="15"/>
  <c r="DY6" i="15"/>
  <c r="DW6" i="15"/>
  <c r="DV6" i="15"/>
  <c r="ET5" i="15"/>
  <c r="EN6" i="15" s="1"/>
  <c r="EN7" i="15" s="1"/>
  <c r="EN8" i="15" s="1"/>
  <c r="EN9" i="15" s="1"/>
  <c r="ES5" i="15"/>
  <c r="EM6" i="15" s="1"/>
  <c r="EM7" i="15" s="1"/>
  <c r="EP5" i="15"/>
  <c r="EO5" i="15"/>
  <c r="EE5" i="15"/>
  <c r="EB5" i="15"/>
  <c r="EA5" i="15"/>
  <c r="DX5" i="15"/>
  <c r="ES56" i="15" s="1"/>
  <c r="F37" i="14"/>
  <c r="DX38" i="15" l="1"/>
  <c r="ES89" i="15" s="1"/>
  <c r="EA9" i="15"/>
  <c r="EF12" i="15"/>
  <c r="EA6" i="15"/>
  <c r="EF6" i="15" s="1"/>
  <c r="EA8" i="15"/>
  <c r="ES62" i="15"/>
  <c r="ES66" i="15"/>
  <c r="EF34" i="15"/>
  <c r="EF14" i="15"/>
  <c r="EQ18" i="15"/>
  <c r="EF27" i="15"/>
  <c r="ES87" i="15"/>
  <c r="ES80" i="15"/>
  <c r="EA7" i="15"/>
  <c r="ES58" i="15" s="1"/>
  <c r="EF35" i="15"/>
  <c r="EF15" i="15"/>
  <c r="EA21" i="15"/>
  <c r="EF21" i="15" s="1"/>
  <c r="EF32" i="15"/>
  <c r="ES78" i="15"/>
  <c r="EC8" i="15"/>
  <c r="ES59" i="15"/>
  <c r="EC13" i="15"/>
  <c r="ES64" i="15"/>
  <c r="EF19" i="15"/>
  <c r="EC14" i="15"/>
  <c r="ES65" i="15"/>
  <c r="EC5" i="15"/>
  <c r="EF5" i="15"/>
  <c r="EO6" i="15"/>
  <c r="EQ6" i="15" s="1"/>
  <c r="EC11" i="15"/>
  <c r="EC15" i="15"/>
  <c r="DW34" i="15"/>
  <c r="DX34" i="15" s="1"/>
  <c r="DX32" i="15"/>
  <c r="ES83" i="15" s="1"/>
  <c r="DW31" i="15"/>
  <c r="DW28" i="15"/>
  <c r="DX39" i="15"/>
  <c r="DX6" i="15"/>
  <c r="DX9" i="15"/>
  <c r="ES60" i="15" s="1"/>
  <c r="EF11" i="15"/>
  <c r="EA23" i="15"/>
  <c r="EF23" i="15" s="1"/>
  <c r="EQ32" i="15"/>
  <c r="DV34" i="15"/>
  <c r="EO36" i="15"/>
  <c r="EQ36" i="15" s="1"/>
  <c r="EF40" i="15"/>
  <c r="EF10" i="15"/>
  <c r="EF20" i="15"/>
  <c r="EQ27" i="15"/>
  <c r="EA28" i="15"/>
  <c r="EQ35" i="15"/>
  <c r="DX37" i="15"/>
  <c r="ES88" i="15" s="1"/>
  <c r="EF37" i="15"/>
  <c r="EQ5" i="15"/>
  <c r="EF24" i="15"/>
  <c r="EF29" i="15"/>
  <c r="EC36" i="15"/>
  <c r="EN37" i="15"/>
  <c r="EN38" i="15" s="1"/>
  <c r="EN39" i="15" s="1"/>
  <c r="EN40" i="15" s="1"/>
  <c r="EN41" i="15" s="1"/>
  <c r="EN42" i="15" s="1"/>
  <c r="EN43" i="15" s="1"/>
  <c r="EN44" i="15" s="1"/>
  <c r="EO7" i="15"/>
  <c r="EQ7" i="15" s="1"/>
  <c r="EM8" i="15"/>
  <c r="EJ12" i="15"/>
  <c r="EJ13" i="15" s="1"/>
  <c r="EJ14" i="15" s="1"/>
  <c r="EJ15" i="15" s="1"/>
  <c r="EJ16" i="15" s="1"/>
  <c r="EJ17" i="15" s="1"/>
  <c r="EJ18" i="15" s="1"/>
  <c r="EJ19" i="15" s="1"/>
  <c r="EJ20" i="15" s="1"/>
  <c r="EJ21" i="15" s="1"/>
  <c r="EJ22" i="15" s="1"/>
  <c r="EJ23" i="15" s="1"/>
  <c r="EJ24" i="15" s="1"/>
  <c r="EJ25" i="15" s="1"/>
  <c r="EJ26" i="15" s="1"/>
  <c r="EJ27" i="15" s="1"/>
  <c r="EJ28" i="15" s="1"/>
  <c r="EF9" i="15"/>
  <c r="EC7" i="15"/>
  <c r="EF8" i="15"/>
  <c r="DW25" i="15"/>
  <c r="DW24" i="15"/>
  <c r="DW23" i="15"/>
  <c r="DW26" i="15"/>
  <c r="DW22" i="15"/>
  <c r="DW21" i="15"/>
  <c r="DW20" i="15"/>
  <c r="DW19" i="15"/>
  <c r="EF7" i="15"/>
  <c r="EC9" i="15"/>
  <c r="EO11" i="15"/>
  <c r="EQ11" i="15"/>
  <c r="EO12" i="15"/>
  <c r="EQ12" i="15" s="1"/>
  <c r="EF13" i="15"/>
  <c r="EQ10" i="15"/>
  <c r="DV26" i="15"/>
  <c r="DX26" i="15" s="1"/>
  <c r="DV19" i="15"/>
  <c r="DX19" i="15" s="1"/>
  <c r="DV17" i="15"/>
  <c r="DX17" i="15" s="1"/>
  <c r="DV16" i="15"/>
  <c r="DX16" i="15" s="1"/>
  <c r="DV24" i="15"/>
  <c r="DV23" i="15"/>
  <c r="DV22" i="15"/>
  <c r="DV21" i="15"/>
  <c r="DV20" i="15"/>
  <c r="DV25" i="15"/>
  <c r="EM20" i="15"/>
  <c r="EO19" i="15"/>
  <c r="EQ19" i="15" s="1"/>
  <c r="EM29" i="15"/>
  <c r="EO28" i="15"/>
  <c r="EC10" i="15"/>
  <c r="EC12" i="15"/>
  <c r="EM13" i="15"/>
  <c r="EF16" i="15"/>
  <c r="EF17" i="15"/>
  <c r="DX18" i="15"/>
  <c r="EQ28" i="15"/>
  <c r="EA31" i="15"/>
  <c r="EF31" i="15" s="1"/>
  <c r="EC38" i="15"/>
  <c r="EA25" i="15"/>
  <c r="EF25" i="15" s="1"/>
  <c r="EC27" i="15"/>
  <c r="EC29" i="15"/>
  <c r="DX28" i="15"/>
  <c r="EF28" i="15"/>
  <c r="EA33" i="15"/>
  <c r="EF33" i="15" s="1"/>
  <c r="EM38" i="15"/>
  <c r="EC37" i="15"/>
  <c r="EM47" i="15"/>
  <c r="EO46" i="15"/>
  <c r="EQ46" i="15" s="1"/>
  <c r="EQ53" i="15"/>
  <c r="EA30" i="15"/>
  <c r="EF30" i="15" s="1"/>
  <c r="DX31" i="15"/>
  <c r="EM34" i="15"/>
  <c r="EO34" i="15" s="1"/>
  <c r="EQ34" i="15" s="1"/>
  <c r="EO33" i="15"/>
  <c r="EQ33" i="15" s="1"/>
  <c r="DV33" i="15"/>
  <c r="EC35" i="15"/>
  <c r="EF36" i="15"/>
  <c r="EF38" i="15"/>
  <c r="EQ45" i="15"/>
  <c r="DW30" i="15"/>
  <c r="DX30" i="15" s="1"/>
  <c r="DW33" i="15"/>
  <c r="EF39" i="15"/>
  <c r="DX40" i="15"/>
  <c r="H37" i="14"/>
  <c r="EJ56" i="13"/>
  <c r="EJ57" i="13" s="1"/>
  <c r="EJ58" i="13" s="1"/>
  <c r="EJ59" i="13" s="1"/>
  <c r="EJ60" i="13" s="1"/>
  <c r="EJ61" i="13" s="1"/>
  <c r="EJ62" i="13" s="1"/>
  <c r="EJ63" i="13" s="1"/>
  <c r="EJ64" i="13" s="1"/>
  <c r="EJ65" i="13" s="1"/>
  <c r="EJ66" i="13" s="1"/>
  <c r="EJ67" i="13" s="1"/>
  <c r="EJ68" i="13" s="1"/>
  <c r="EJ69" i="13" s="1"/>
  <c r="EJ70" i="13" s="1"/>
  <c r="EJ71" i="13" s="1"/>
  <c r="EJ72" i="13" s="1"/>
  <c r="EJ73" i="13" s="1"/>
  <c r="EJ74" i="13" s="1"/>
  <c r="EJ75" i="13" s="1"/>
  <c r="EJ76" i="13" s="1"/>
  <c r="EJ77" i="13" s="1"/>
  <c r="EJ78" i="13" s="1"/>
  <c r="EJ79" i="13" s="1"/>
  <c r="EJ80" i="13" s="1"/>
  <c r="EJ81" i="13" s="1"/>
  <c r="EJ82" i="13" s="1"/>
  <c r="EJ83" i="13" s="1"/>
  <c r="EJ84" i="13" s="1"/>
  <c r="EJ85" i="13" s="1"/>
  <c r="EJ86" i="13" s="1"/>
  <c r="EJ87" i="13" s="1"/>
  <c r="EJ88" i="13" s="1"/>
  <c r="EJ89" i="13" s="1"/>
  <c r="EJ90" i="13" s="1"/>
  <c r="EJ91" i="13" s="1"/>
  <c r="EJ92" i="13" s="1"/>
  <c r="EJ93" i="13" s="1"/>
  <c r="EJ94" i="13" s="1"/>
  <c r="EJ95" i="13" s="1"/>
  <c r="EJ96" i="13" s="1"/>
  <c r="EJ97" i="13" s="1"/>
  <c r="EJ98" i="13" s="1"/>
  <c r="EJ99" i="13" s="1"/>
  <c r="EJ100" i="13" s="1"/>
  <c r="EJ101" i="13" s="1"/>
  <c r="EJ102" i="13" s="1"/>
  <c r="EJ103" i="13" s="1"/>
  <c r="EJ104" i="13" s="1"/>
  <c r="EJ105" i="13" s="1"/>
  <c r="EJ106" i="13" s="1"/>
  <c r="DT55" i="13"/>
  <c r="EL54" i="13"/>
  <c r="EP53" i="13"/>
  <c r="EO53" i="13"/>
  <c r="M50" i="12" s="1"/>
  <c r="EP52" i="13"/>
  <c r="EP51" i="13"/>
  <c r="I51" i="13"/>
  <c r="EP50" i="13"/>
  <c r="I50" i="13"/>
  <c r="EP49" i="13"/>
  <c r="I49" i="13"/>
  <c r="EP48" i="13"/>
  <c r="I48" i="13"/>
  <c r="EP47" i="13"/>
  <c r="EP46" i="13"/>
  <c r="EM46" i="13"/>
  <c r="EM47" i="13" s="1"/>
  <c r="ET45" i="13"/>
  <c r="EN46" i="13" s="1"/>
  <c r="EN47" i="13" s="1"/>
  <c r="EN48" i="13" s="1"/>
  <c r="EN49" i="13" s="1"/>
  <c r="EN50" i="13" s="1"/>
  <c r="EN51" i="13" s="1"/>
  <c r="EN52" i="13" s="1"/>
  <c r="ES45" i="13"/>
  <c r="EP45" i="13"/>
  <c r="EO45" i="13"/>
  <c r="M42" i="12" s="1"/>
  <c r="EP44" i="13"/>
  <c r="EP43" i="13"/>
  <c r="EP42" i="13"/>
  <c r="DT42" i="13"/>
  <c r="EP41" i="13"/>
  <c r="EP40" i="13"/>
  <c r="EE40" i="13"/>
  <c r="EB40" i="13"/>
  <c r="DY40" i="13"/>
  <c r="EA40" i="13" s="1"/>
  <c r="DW40" i="13"/>
  <c r="DV40" i="13"/>
  <c r="EP39" i="13"/>
  <c r="EE39" i="13"/>
  <c r="EB39" i="13"/>
  <c r="DY39" i="13"/>
  <c r="EA39" i="13" s="1"/>
  <c r="DW39" i="13"/>
  <c r="DV39" i="13"/>
  <c r="EP38" i="13"/>
  <c r="EE38" i="13"/>
  <c r="EB38" i="13"/>
  <c r="EA38" i="13"/>
  <c r="DY38" i="13"/>
  <c r="DW38" i="13"/>
  <c r="DV38" i="13"/>
  <c r="DX38" i="13" s="1"/>
  <c r="ES89" i="13" s="1"/>
  <c r="EP37" i="13"/>
  <c r="EE37" i="13"/>
  <c r="EB37" i="13"/>
  <c r="DY37" i="13"/>
  <c r="EA37" i="13" s="1"/>
  <c r="L34" i="12" s="1"/>
  <c r="DW37" i="13"/>
  <c r="DV37" i="13"/>
  <c r="EP36" i="13"/>
  <c r="EE36" i="13"/>
  <c r="EB36" i="13"/>
  <c r="DY36" i="13"/>
  <c r="EA36" i="13" s="1"/>
  <c r="DW36" i="13"/>
  <c r="DV36" i="13"/>
  <c r="ET35" i="13"/>
  <c r="EN36" i="13" s="1"/>
  <c r="EN37" i="13" s="1"/>
  <c r="EN38" i="13" s="1"/>
  <c r="EN39" i="13" s="1"/>
  <c r="EN40" i="13" s="1"/>
  <c r="EN41" i="13" s="1"/>
  <c r="EN42" i="13" s="1"/>
  <c r="EN43" i="13" s="1"/>
  <c r="EN44" i="13" s="1"/>
  <c r="ES35" i="13"/>
  <c r="EM36" i="13" s="1"/>
  <c r="EP35" i="13"/>
  <c r="EO35" i="13"/>
  <c r="M32" i="12" s="1"/>
  <c r="EE35" i="13"/>
  <c r="EB35" i="13"/>
  <c r="EA35" i="13"/>
  <c r="L32" i="12" s="1"/>
  <c r="DX35" i="13"/>
  <c r="EP34" i="13"/>
  <c r="EE34" i="13"/>
  <c r="EB34" i="13"/>
  <c r="EA34" i="13"/>
  <c r="DZ34" i="13"/>
  <c r="DY34" i="13"/>
  <c r="EP33" i="13"/>
  <c r="EN33" i="13"/>
  <c r="EN34" i="13" s="1"/>
  <c r="EE33" i="13"/>
  <c r="EB33" i="13"/>
  <c r="DZ33" i="13"/>
  <c r="DY33" i="13"/>
  <c r="ET32" i="13"/>
  <c r="ES32" i="13"/>
  <c r="EM33" i="13" s="1"/>
  <c r="EP32" i="13"/>
  <c r="EO32" i="13"/>
  <c r="M29" i="12" s="1"/>
  <c r="EE32" i="13"/>
  <c r="EB32" i="13"/>
  <c r="EA32" i="13"/>
  <c r="DW32" i="13"/>
  <c r="DW34" i="13" s="1"/>
  <c r="DV32" i="13"/>
  <c r="DV33" i="13" s="1"/>
  <c r="EP31" i="13"/>
  <c r="EE31" i="13"/>
  <c r="EB31" i="13"/>
  <c r="DZ31" i="13"/>
  <c r="DY31" i="13"/>
  <c r="EP30" i="13"/>
  <c r="EE30" i="13"/>
  <c r="EB30" i="13"/>
  <c r="DZ30" i="13"/>
  <c r="DY30" i="13"/>
  <c r="EA30" i="13" s="1"/>
  <c r="EF30" i="13" s="1"/>
  <c r="EP29" i="13"/>
  <c r="EE29" i="13"/>
  <c r="EB29" i="13"/>
  <c r="DZ29" i="13"/>
  <c r="DY29" i="13"/>
  <c r="EP28" i="13"/>
  <c r="EE28" i="13"/>
  <c r="EB28" i="13"/>
  <c r="DZ28" i="13"/>
  <c r="DY28" i="13"/>
  <c r="EA28" i="13" s="1"/>
  <c r="L25" i="12" s="1"/>
  <c r="ET27" i="13"/>
  <c r="EN28" i="13" s="1"/>
  <c r="EN29" i="13" s="1"/>
  <c r="EN30" i="13" s="1"/>
  <c r="EN31" i="13" s="1"/>
  <c r="ES27" i="13"/>
  <c r="EM28" i="13" s="1"/>
  <c r="EM29" i="13" s="1"/>
  <c r="EM30" i="13" s="1"/>
  <c r="EP27" i="13"/>
  <c r="EQ27" i="13" s="1"/>
  <c r="EO27" i="13"/>
  <c r="M24" i="12" s="1"/>
  <c r="EE27" i="13"/>
  <c r="EB27" i="13"/>
  <c r="EA27" i="13"/>
  <c r="L24" i="12" s="1"/>
  <c r="DX27" i="13"/>
  <c r="EP26" i="13"/>
  <c r="EE26" i="13"/>
  <c r="EB26" i="13"/>
  <c r="DZ26" i="13"/>
  <c r="DY26" i="13"/>
  <c r="DW26" i="13"/>
  <c r="DV26" i="13"/>
  <c r="EP25" i="13"/>
  <c r="EE25" i="13"/>
  <c r="EB25" i="13"/>
  <c r="DZ25" i="13"/>
  <c r="DY25" i="13"/>
  <c r="DW25" i="13"/>
  <c r="DV25" i="13"/>
  <c r="EP24" i="13"/>
  <c r="EE24" i="13"/>
  <c r="EB24" i="13"/>
  <c r="DZ24" i="13"/>
  <c r="DY24" i="13"/>
  <c r="EA24" i="13" s="1"/>
  <c r="DW24" i="13"/>
  <c r="DV24" i="13"/>
  <c r="DX24" i="13" s="1"/>
  <c r="ES75" i="13" s="1"/>
  <c r="EP23" i="13"/>
  <c r="EE23" i="13"/>
  <c r="EB23" i="13"/>
  <c r="DZ23" i="13"/>
  <c r="DY23" i="13"/>
  <c r="EA23" i="13" s="1"/>
  <c r="DW23" i="13"/>
  <c r="DV23" i="13"/>
  <c r="EP22" i="13"/>
  <c r="EE22" i="13"/>
  <c r="EB22" i="13"/>
  <c r="DZ22" i="13"/>
  <c r="DY22" i="13"/>
  <c r="EA22" i="13" s="1"/>
  <c r="DW22" i="13"/>
  <c r="DV22" i="13"/>
  <c r="EP21" i="13"/>
  <c r="EE21" i="13"/>
  <c r="EB21" i="13"/>
  <c r="EA21" i="13"/>
  <c r="EF21" i="13" s="1"/>
  <c r="DZ21" i="13"/>
  <c r="DY21" i="13"/>
  <c r="DW21" i="13"/>
  <c r="DV21" i="13"/>
  <c r="EP20" i="13"/>
  <c r="EE20" i="13"/>
  <c r="EB20" i="13"/>
  <c r="DZ20" i="13"/>
  <c r="DY20" i="13"/>
  <c r="DW20" i="13"/>
  <c r="DV20" i="13"/>
  <c r="DX20" i="13" s="1"/>
  <c r="EP19" i="13"/>
  <c r="EE19" i="13"/>
  <c r="EB19" i="13"/>
  <c r="DZ19" i="13"/>
  <c r="EA19" i="13" s="1"/>
  <c r="EF19" i="13" s="1"/>
  <c r="DY19" i="13"/>
  <c r="DW19" i="13"/>
  <c r="DV19" i="13"/>
  <c r="ET18" i="13"/>
  <c r="EN19" i="13" s="1"/>
  <c r="EN20" i="13" s="1"/>
  <c r="EN21" i="13" s="1"/>
  <c r="EN22" i="13" s="1"/>
  <c r="EN23" i="13" s="1"/>
  <c r="EN24" i="13" s="1"/>
  <c r="EN25" i="13" s="1"/>
  <c r="EN26" i="13" s="1"/>
  <c r="ES18" i="13"/>
  <c r="EM19" i="13" s="1"/>
  <c r="EP18" i="13"/>
  <c r="EO18" i="13"/>
  <c r="M15" i="12" s="1"/>
  <c r="EE18" i="13"/>
  <c r="EF18" i="13" s="1"/>
  <c r="EB18" i="13"/>
  <c r="EA18" i="13"/>
  <c r="L15" i="12" s="1"/>
  <c r="DX18" i="13"/>
  <c r="ES69" i="13" s="1"/>
  <c r="EP17" i="13"/>
  <c r="EE17" i="13"/>
  <c r="EB17" i="13"/>
  <c r="DY17" i="13"/>
  <c r="EA17" i="13" s="1"/>
  <c r="DV17" i="13"/>
  <c r="DX17" i="13" s="1"/>
  <c r="EP16" i="13"/>
  <c r="EE16" i="13"/>
  <c r="EB16" i="13"/>
  <c r="EA16" i="13"/>
  <c r="L13" i="12" s="1"/>
  <c r="DY16" i="13"/>
  <c r="DV16" i="13"/>
  <c r="DX16" i="13" s="1"/>
  <c r="K13" i="12" s="1"/>
  <c r="EP15" i="13"/>
  <c r="EE15" i="13"/>
  <c r="EB15" i="13"/>
  <c r="EA15" i="13"/>
  <c r="L12" i="12" s="1"/>
  <c r="DX15" i="13"/>
  <c r="EP14" i="13"/>
  <c r="EE14" i="13"/>
  <c r="EB14" i="13"/>
  <c r="DY14" i="13"/>
  <c r="EA14" i="13" s="1"/>
  <c r="L11" i="12" s="1"/>
  <c r="DX14" i="13"/>
  <c r="K11" i="12" s="1"/>
  <c r="DV14" i="13"/>
  <c r="EP13" i="13"/>
  <c r="EE13" i="13"/>
  <c r="EB13" i="13"/>
  <c r="DY13" i="13"/>
  <c r="EA13" i="13" s="1"/>
  <c r="DV13" i="13"/>
  <c r="DX13" i="13" s="1"/>
  <c r="EP12" i="13"/>
  <c r="EE12" i="13"/>
  <c r="EB12" i="13"/>
  <c r="DY12" i="13"/>
  <c r="EA12" i="13" s="1"/>
  <c r="L9" i="12" s="1"/>
  <c r="DV12" i="13"/>
  <c r="DX12" i="13" s="1"/>
  <c r="EP11" i="13"/>
  <c r="EE11" i="13"/>
  <c r="EB11" i="13"/>
  <c r="DY11" i="13"/>
  <c r="EA11" i="13" s="1"/>
  <c r="L8" i="12" s="1"/>
  <c r="DV11" i="13"/>
  <c r="DX11" i="13" s="1"/>
  <c r="ES62" i="13" s="1"/>
  <c r="ET10" i="13"/>
  <c r="EN11" i="13" s="1"/>
  <c r="EN12" i="13" s="1"/>
  <c r="EN13" i="13" s="1"/>
  <c r="EN14" i="13" s="1"/>
  <c r="EN15" i="13" s="1"/>
  <c r="EN16" i="13" s="1"/>
  <c r="EN17" i="13" s="1"/>
  <c r="ES10" i="13"/>
  <c r="EM11" i="13" s="1"/>
  <c r="EP10" i="13"/>
  <c r="EO10" i="13"/>
  <c r="M7" i="12" s="1"/>
  <c r="EE10" i="13"/>
  <c r="EB10" i="13"/>
  <c r="EA10" i="13"/>
  <c r="L7" i="12" s="1"/>
  <c r="DX10" i="13"/>
  <c r="ES61" i="13" s="1"/>
  <c r="EJ6" i="13"/>
  <c r="EJ7" i="13" s="1"/>
  <c r="EJ8" i="13" s="1"/>
  <c r="EJ9" i="13" s="1"/>
  <c r="EJ10" i="13" s="1"/>
  <c r="EJ11" i="13" s="1"/>
  <c r="EJ12" i="13" s="1"/>
  <c r="EJ13" i="13" s="1"/>
  <c r="EJ14" i="13" s="1"/>
  <c r="EJ15" i="13" s="1"/>
  <c r="EJ16" i="13" s="1"/>
  <c r="EJ17" i="13" s="1"/>
  <c r="EJ18" i="13" s="1"/>
  <c r="EJ19" i="13" s="1"/>
  <c r="EJ20" i="13" s="1"/>
  <c r="EJ21" i="13" s="1"/>
  <c r="EJ22" i="13" s="1"/>
  <c r="EJ23" i="13" s="1"/>
  <c r="EJ24" i="13" s="1"/>
  <c r="EJ25" i="13" s="1"/>
  <c r="EJ26" i="13" s="1"/>
  <c r="EJ27" i="13" s="1"/>
  <c r="EJ28" i="13" s="1"/>
  <c r="EJ29" i="13" s="1"/>
  <c r="EJ30" i="13" s="1"/>
  <c r="EJ31" i="13" s="1"/>
  <c r="EJ32" i="13" s="1"/>
  <c r="F37" i="12"/>
  <c r="H37" i="12" s="1"/>
  <c r="EQ35" i="13" l="1"/>
  <c r="EO37" i="15"/>
  <c r="EQ37" i="15" s="1"/>
  <c r="DX24" i="15"/>
  <c r="EF23" i="13"/>
  <c r="DW29" i="13"/>
  <c r="DW31" i="13"/>
  <c r="EF27" i="13"/>
  <c r="DX37" i="13"/>
  <c r="EC37" i="13" s="1"/>
  <c r="DX21" i="15"/>
  <c r="EQ10" i="13"/>
  <c r="EF13" i="13"/>
  <c r="DW28" i="13"/>
  <c r="DW30" i="13"/>
  <c r="ES71" i="13"/>
  <c r="K17" i="12"/>
  <c r="ES64" i="13"/>
  <c r="EC10" i="13"/>
  <c r="DV30" i="13"/>
  <c r="DX32" i="13"/>
  <c r="EA33" i="13"/>
  <c r="EF33" i="13" s="1"/>
  <c r="ES63" i="13"/>
  <c r="ES68" i="13"/>
  <c r="EA20" i="13"/>
  <c r="DX25" i="13"/>
  <c r="EC25" i="13" s="1"/>
  <c r="DV29" i="13"/>
  <c r="EF32" i="13"/>
  <c r="EQ32" i="13"/>
  <c r="EF34" i="13"/>
  <c r="ES86" i="13"/>
  <c r="EF38" i="13"/>
  <c r="L16" i="12"/>
  <c r="DV34" i="13"/>
  <c r="DX34" i="13" s="1"/>
  <c r="K9" i="12"/>
  <c r="EC12" i="13"/>
  <c r="ES67" i="13"/>
  <c r="EQ18" i="13"/>
  <c r="DX19" i="13"/>
  <c r="ES70" i="13" s="1"/>
  <c r="DX22" i="13"/>
  <c r="ES73" i="13" s="1"/>
  <c r="EA25" i="13"/>
  <c r="EF25" i="13" s="1"/>
  <c r="ES78" i="13"/>
  <c r="EQ45" i="13"/>
  <c r="EF22" i="13"/>
  <c r="L19" i="12"/>
  <c r="EF17" i="13"/>
  <c r="L14" i="12"/>
  <c r="EF39" i="13"/>
  <c r="L36" i="12"/>
  <c r="EF24" i="13"/>
  <c r="L21" i="12"/>
  <c r="EF20" i="13"/>
  <c r="L17" i="12"/>
  <c r="K22" i="12"/>
  <c r="EC40" i="15"/>
  <c r="ES91" i="15"/>
  <c r="EC26" i="15"/>
  <c r="ES77" i="15"/>
  <c r="EF12" i="13"/>
  <c r="EF15" i="13"/>
  <c r="EA31" i="13"/>
  <c r="L28" i="12" s="1"/>
  <c r="DW33" i="13"/>
  <c r="DX33" i="13" s="1"/>
  <c r="EF36" i="13"/>
  <c r="EF40" i="13"/>
  <c r="K35" i="12"/>
  <c r="K19" i="12"/>
  <c r="K15" i="12"/>
  <c r="L22" i="12"/>
  <c r="L18" i="12"/>
  <c r="L10" i="12"/>
  <c r="DX22" i="15"/>
  <c r="EC17" i="15"/>
  <c r="ES68" i="15"/>
  <c r="EO46" i="13"/>
  <c r="M43" i="12" s="1"/>
  <c r="L20" i="12"/>
  <c r="EC34" i="15"/>
  <c r="ES85" i="15"/>
  <c r="EC14" i="13"/>
  <c r="ES65" i="13"/>
  <c r="EF14" i="13"/>
  <c r="EC15" i="13"/>
  <c r="ES66" i="13"/>
  <c r="EF16" i="13"/>
  <c r="EC18" i="13"/>
  <c r="DX26" i="13"/>
  <c r="EC27" i="13"/>
  <c r="EA29" i="13"/>
  <c r="L26" i="12" s="1"/>
  <c r="EO29" i="13"/>
  <c r="M26" i="12" s="1"/>
  <c r="DX30" i="13"/>
  <c r="DX39" i="13"/>
  <c r="K7" i="12"/>
  <c r="K34" i="12"/>
  <c r="K14" i="12"/>
  <c r="K10" i="12"/>
  <c r="L37" i="12"/>
  <c r="L33" i="12"/>
  <c r="L29" i="12"/>
  <c r="EC30" i="15"/>
  <c r="ES81" i="15"/>
  <c r="EC32" i="15"/>
  <c r="EC28" i="15"/>
  <c r="ES79" i="15"/>
  <c r="DX25" i="15"/>
  <c r="EC19" i="15"/>
  <c r="ES70" i="15"/>
  <c r="K21" i="12"/>
  <c r="EC18" i="15"/>
  <c r="ES69" i="15"/>
  <c r="EC6" i="15"/>
  <c r="ES57" i="15"/>
  <c r="EF10" i="13"/>
  <c r="DX21" i="13"/>
  <c r="DX23" i="13"/>
  <c r="EF28" i="13"/>
  <c r="EO28" i="13"/>
  <c r="M25" i="12" s="1"/>
  <c r="EF31" i="13"/>
  <c r="EF35" i="13"/>
  <c r="DX36" i="13"/>
  <c r="EF37" i="13"/>
  <c r="DX40" i="13"/>
  <c r="EQ53" i="13"/>
  <c r="K32" i="12"/>
  <c r="K24" i="12"/>
  <c r="K16" i="12"/>
  <c r="K12" i="12"/>
  <c r="K8" i="12"/>
  <c r="L35" i="12"/>
  <c r="L31" i="12"/>
  <c r="L27" i="12"/>
  <c r="EC31" i="15"/>
  <c r="ES82" i="15"/>
  <c r="EC21" i="15"/>
  <c r="ES72" i="15"/>
  <c r="EC16" i="15"/>
  <c r="ES67" i="15"/>
  <c r="EC39" i="15"/>
  <c r="ES90" i="15"/>
  <c r="EM21" i="15"/>
  <c r="EO20" i="15"/>
  <c r="EQ20" i="15" s="1"/>
  <c r="DX20" i="15"/>
  <c r="EM9" i="15"/>
  <c r="EO9" i="15" s="1"/>
  <c r="EQ9" i="15" s="1"/>
  <c r="EO8" i="15"/>
  <c r="EQ8" i="15" s="1"/>
  <c r="EO47" i="15"/>
  <c r="EQ47" i="15" s="1"/>
  <c r="EM48" i="15"/>
  <c r="EM39" i="15"/>
  <c r="EO38" i="15"/>
  <c r="EQ38" i="15" s="1"/>
  <c r="EM30" i="15"/>
  <c r="EO29" i="15"/>
  <c r="EQ29" i="15" s="1"/>
  <c r="DX33" i="15"/>
  <c r="EM14" i="15"/>
  <c r="EO13" i="15"/>
  <c r="EQ13" i="15" s="1"/>
  <c r="DX23" i="15"/>
  <c r="EJ29" i="15"/>
  <c r="EJ30" i="15" s="1"/>
  <c r="EJ31" i="15" s="1"/>
  <c r="EJ32" i="15" s="1"/>
  <c r="EJ33" i="15" s="1"/>
  <c r="EJ34" i="15" s="1"/>
  <c r="EJ35" i="15" s="1"/>
  <c r="EJ36" i="15" s="1"/>
  <c r="EJ37" i="15" s="1"/>
  <c r="EJ38" i="15" s="1"/>
  <c r="EJ39" i="15" s="1"/>
  <c r="EJ40" i="15" s="1"/>
  <c r="EJ41" i="15" s="1"/>
  <c r="EJ42" i="15" s="1"/>
  <c r="EJ43" i="15" s="1"/>
  <c r="EJ44" i="15" s="1"/>
  <c r="EJ45" i="15" s="1"/>
  <c r="EJ46" i="15" s="1"/>
  <c r="EJ47" i="15" s="1"/>
  <c r="EJ48" i="15" s="1"/>
  <c r="EJ49" i="15" s="1"/>
  <c r="EJ50" i="15" s="1"/>
  <c r="EJ51" i="15" s="1"/>
  <c r="EJ52" i="15" s="1"/>
  <c r="EJ53" i="15" s="1"/>
  <c r="Q37" i="12"/>
  <c r="R37" i="12" s="1"/>
  <c r="EF11" i="13"/>
  <c r="EJ33" i="13"/>
  <c r="EJ34" i="13" s="1"/>
  <c r="EJ35" i="13" s="1"/>
  <c r="EJ36" i="13" s="1"/>
  <c r="EJ37" i="13" s="1"/>
  <c r="EJ38" i="13" s="1"/>
  <c r="EJ39" i="13" s="1"/>
  <c r="EJ40" i="13" s="1"/>
  <c r="EJ41" i="13" s="1"/>
  <c r="EJ42" i="13" s="1"/>
  <c r="EJ43" i="13" s="1"/>
  <c r="EJ44" i="13" s="1"/>
  <c r="EJ45" i="13" s="1"/>
  <c r="EJ46" i="13" s="1"/>
  <c r="EJ47" i="13" s="1"/>
  <c r="EJ48" i="13" s="1"/>
  <c r="EJ49" i="13" s="1"/>
  <c r="EJ50" i="13" s="1"/>
  <c r="EJ51" i="13" s="1"/>
  <c r="EJ52" i="13" s="1"/>
  <c r="EJ53" i="13" s="1"/>
  <c r="EC13" i="13"/>
  <c r="EO19" i="13"/>
  <c r="EM20" i="13"/>
  <c r="EC20" i="13"/>
  <c r="EO33" i="13"/>
  <c r="EM34" i="13"/>
  <c r="EO34" i="13" s="1"/>
  <c r="EC16" i="13"/>
  <c r="EC24" i="13"/>
  <c r="EM12" i="13"/>
  <c r="EO11" i="13"/>
  <c r="EC26" i="13"/>
  <c r="EC17" i="13"/>
  <c r="EC22" i="13"/>
  <c r="EC38" i="13"/>
  <c r="EC19" i="13"/>
  <c r="EC11" i="13"/>
  <c r="EC21" i="13"/>
  <c r="EO36" i="13"/>
  <c r="M33" i="12" s="1"/>
  <c r="EM37" i="13"/>
  <c r="EC23" i="13"/>
  <c r="EM48" i="13"/>
  <c r="EO47" i="13"/>
  <c r="M44" i="12" s="1"/>
  <c r="EO30" i="13"/>
  <c r="DX29" i="13"/>
  <c r="EC30" i="13"/>
  <c r="EM31" i="13"/>
  <c r="EO31" i="13" s="1"/>
  <c r="DV31" i="13"/>
  <c r="DX31" i="13" s="1"/>
  <c r="DV28" i="13"/>
  <c r="EC32" i="13"/>
  <c r="EA26" i="13"/>
  <c r="EC35" i="13"/>
  <c r="EQ36" i="13"/>
  <c r="I51" i="10"/>
  <c r="I50" i="10"/>
  <c r="I49" i="10"/>
  <c r="I48" i="10"/>
  <c r="E53" i="3"/>
  <c r="E52" i="3"/>
  <c r="E50" i="3"/>
  <c r="E51" i="3"/>
  <c r="I48" i="6"/>
  <c r="I49" i="6"/>
  <c r="I50" i="6"/>
  <c r="I51" i="6"/>
  <c r="DX28" i="13" l="1"/>
  <c r="ES76" i="13"/>
  <c r="L30" i="12"/>
  <c r="ES75" i="15"/>
  <c r="EC24" i="15"/>
  <c r="EQ28" i="13"/>
  <c r="EQ29" i="13"/>
  <c r="ES88" i="13"/>
  <c r="EQ47" i="13"/>
  <c r="ES83" i="13"/>
  <c r="K29" i="12"/>
  <c r="EC33" i="15"/>
  <c r="ES84" i="15"/>
  <c r="ES84" i="13"/>
  <c r="K30" i="12"/>
  <c r="EC33" i="13"/>
  <c r="EQ33" i="13"/>
  <c r="M30" i="12"/>
  <c r="EC36" i="13"/>
  <c r="ES87" i="13"/>
  <c r="K33" i="12"/>
  <c r="ES76" i="15"/>
  <c r="EC25" i="15"/>
  <c r="EC22" i="15"/>
  <c r="ES73" i="15"/>
  <c r="ES90" i="13"/>
  <c r="K36" i="12"/>
  <c r="EC31" i="13"/>
  <c r="ES82" i="13"/>
  <c r="K28" i="12"/>
  <c r="EC39" i="13"/>
  <c r="EC23" i="15"/>
  <c r="ES74" i="15"/>
  <c r="EC20" i="15"/>
  <c r="ES71" i="15"/>
  <c r="EC40" i="13"/>
  <c r="ES91" i="13"/>
  <c r="K37" i="12"/>
  <c r="N37" i="12" s="1"/>
  <c r="O37" i="12" s="1"/>
  <c r="ES72" i="13"/>
  <c r="K18" i="12"/>
  <c r="ES81" i="13"/>
  <c r="K27" i="12"/>
  <c r="ES77" i="13"/>
  <c r="K23" i="12"/>
  <c r="EF26" i="13"/>
  <c r="L23" i="12"/>
  <c r="EC28" i="13"/>
  <c r="ES79" i="13"/>
  <c r="K25" i="12"/>
  <c r="EC29" i="13"/>
  <c r="ES80" i="13"/>
  <c r="K26" i="12"/>
  <c r="ES74" i="13"/>
  <c r="K20" i="12"/>
  <c r="ES85" i="13"/>
  <c r="K31" i="12"/>
  <c r="EQ46" i="13"/>
  <c r="EC34" i="13"/>
  <c r="EQ31" i="13"/>
  <c r="M28" i="12"/>
  <c r="EQ30" i="13"/>
  <c r="M27" i="12"/>
  <c r="EQ11" i="13"/>
  <c r="M8" i="12"/>
  <c r="EQ34" i="13"/>
  <c r="M31" i="12"/>
  <c r="EQ19" i="13"/>
  <c r="M16" i="12"/>
  <c r="EF29" i="13"/>
  <c r="EO30" i="15"/>
  <c r="EQ30" i="15" s="1"/>
  <c r="EM31" i="15"/>
  <c r="EO31" i="15" s="1"/>
  <c r="EQ31" i="15" s="1"/>
  <c r="EO48" i="15"/>
  <c r="EQ48" i="15" s="1"/>
  <c r="EM49" i="15"/>
  <c r="EM15" i="15"/>
  <c r="EO14" i="15"/>
  <c r="EQ14" i="15" s="1"/>
  <c r="EO39" i="15"/>
  <c r="EQ39" i="15" s="1"/>
  <c r="EM40" i="15"/>
  <c r="EM22" i="15"/>
  <c r="EO21" i="15"/>
  <c r="EQ21" i="15" s="1"/>
  <c r="EM49" i="13"/>
  <c r="EO48" i="13"/>
  <c r="EO12" i="13"/>
  <c r="EM13" i="13"/>
  <c r="EM38" i="13"/>
  <c r="EO37" i="13"/>
  <c r="EO20" i="13"/>
  <c r="EM21" i="13"/>
  <c r="P76" i="3"/>
  <c r="EQ20" i="13" l="1"/>
  <c r="M17" i="12"/>
  <c r="EQ12" i="13"/>
  <c r="M9" i="12"/>
  <c r="EQ37" i="13"/>
  <c r="M34" i="12"/>
  <c r="EQ48" i="13"/>
  <c r="M45" i="12"/>
  <c r="EM50" i="15"/>
  <c r="EO49" i="15"/>
  <c r="EQ49" i="15" s="1"/>
  <c r="EO40" i="15"/>
  <c r="EQ40" i="15" s="1"/>
  <c r="EM41" i="15"/>
  <c r="EM23" i="15"/>
  <c r="EO22" i="15"/>
  <c r="EQ22" i="15" s="1"/>
  <c r="EO15" i="15"/>
  <c r="EQ15" i="15" s="1"/>
  <c r="EM16" i="15"/>
  <c r="EO21" i="13"/>
  <c r="EM22" i="13"/>
  <c r="EM50" i="13"/>
  <c r="EO49" i="13"/>
  <c r="EO38" i="13"/>
  <c r="EM39" i="13"/>
  <c r="EM14" i="13"/>
  <c r="EO13" i="13"/>
  <c r="M23" i="3"/>
  <c r="L21" i="3"/>
  <c r="M21" i="3"/>
  <c r="M19" i="3"/>
  <c r="M18" i="3"/>
  <c r="L23" i="3"/>
  <c r="L19" i="3"/>
  <c r="L18" i="3"/>
  <c r="EQ13" i="13" l="1"/>
  <c r="M10" i="12"/>
  <c r="EQ49" i="13"/>
  <c r="M46" i="12"/>
  <c r="EQ38" i="13"/>
  <c r="M35" i="12"/>
  <c r="EQ21" i="13"/>
  <c r="M18" i="12"/>
  <c r="EM24" i="15"/>
  <c r="EO23" i="15"/>
  <c r="EQ23" i="15" s="1"/>
  <c r="EM51" i="15"/>
  <c r="EO50" i="15"/>
  <c r="EQ50" i="15" s="1"/>
  <c r="EO16" i="15"/>
  <c r="EQ16" i="15" s="1"/>
  <c r="EM17" i="15"/>
  <c r="EO17" i="15" s="1"/>
  <c r="EQ17" i="15" s="1"/>
  <c r="EO41" i="15"/>
  <c r="EQ41" i="15" s="1"/>
  <c r="EM42" i="15"/>
  <c r="EM51" i="13"/>
  <c r="EO50" i="13"/>
  <c r="EO22" i="13"/>
  <c r="EM23" i="13"/>
  <c r="EM15" i="13"/>
  <c r="EO14" i="13"/>
  <c r="EM40" i="13"/>
  <c r="EO39" i="13"/>
  <c r="DT42" i="10"/>
  <c r="EP5" i="10"/>
  <c r="EP6" i="10"/>
  <c r="EP7" i="10"/>
  <c r="EP8" i="10"/>
  <c r="EP9" i="10"/>
  <c r="EP10" i="10"/>
  <c r="EP11" i="10"/>
  <c r="EO5" i="10"/>
  <c r="M2" i="14" s="1"/>
  <c r="ET5" i="10"/>
  <c r="EN6" i="10" s="1"/>
  <c r="ES5" i="10"/>
  <c r="EM6" i="10" s="1"/>
  <c r="EM7" i="10" s="1"/>
  <c r="EE5" i="10"/>
  <c r="EE6" i="10"/>
  <c r="EE7" i="10"/>
  <c r="EE8" i="10"/>
  <c r="EE9" i="10"/>
  <c r="EE10" i="10"/>
  <c r="EB5" i="10"/>
  <c r="EB6" i="10"/>
  <c r="EB7" i="10"/>
  <c r="EB8" i="10"/>
  <c r="EB9" i="10"/>
  <c r="EB10" i="10"/>
  <c r="DZ9" i="10"/>
  <c r="DZ8" i="10"/>
  <c r="DZ7" i="10"/>
  <c r="DY9" i="10"/>
  <c r="DY8" i="10"/>
  <c r="DY7" i="10"/>
  <c r="DY6" i="10"/>
  <c r="DZ6" i="10"/>
  <c r="EA5" i="10"/>
  <c r="L2" i="14" s="1"/>
  <c r="DW32" i="10"/>
  <c r="M22" i="3" s="1"/>
  <c r="DV32" i="10"/>
  <c r="L22" i="3" s="1"/>
  <c r="DW18" i="10"/>
  <c r="M20" i="3" s="1"/>
  <c r="DV18" i="10"/>
  <c r="L20" i="3" s="1"/>
  <c r="DW9" i="10"/>
  <c r="DW8" i="10"/>
  <c r="DW7" i="10"/>
  <c r="DW6" i="10"/>
  <c r="DV9" i="10"/>
  <c r="DX9" i="10" s="1"/>
  <c r="K6" i="14" s="1"/>
  <c r="DV8" i="10"/>
  <c r="DX8" i="10" s="1"/>
  <c r="K5" i="14" s="1"/>
  <c r="DV7" i="10"/>
  <c r="DX7" i="10" s="1"/>
  <c r="DV6" i="10"/>
  <c r="DX6" i="10" s="1"/>
  <c r="K3" i="14" s="1"/>
  <c r="DX5" i="10"/>
  <c r="K2" i="14" s="1"/>
  <c r="EJ56" i="10"/>
  <c r="EJ57" i="10" s="1"/>
  <c r="EJ58" i="10" s="1"/>
  <c r="EJ59" i="10" s="1"/>
  <c r="EJ60" i="10" s="1"/>
  <c r="EJ61" i="10" s="1"/>
  <c r="EJ62" i="10" s="1"/>
  <c r="EJ63" i="10" s="1"/>
  <c r="EJ64" i="10" s="1"/>
  <c r="EJ65" i="10" s="1"/>
  <c r="EJ66" i="10" s="1"/>
  <c r="EJ67" i="10" s="1"/>
  <c r="EJ68" i="10" s="1"/>
  <c r="EJ69" i="10" s="1"/>
  <c r="EJ70" i="10" s="1"/>
  <c r="EJ71" i="10" s="1"/>
  <c r="EJ72" i="10" s="1"/>
  <c r="EJ73" i="10" s="1"/>
  <c r="EJ74" i="10" s="1"/>
  <c r="EJ75" i="10" s="1"/>
  <c r="EJ76" i="10" s="1"/>
  <c r="EJ77" i="10" s="1"/>
  <c r="EJ78" i="10" s="1"/>
  <c r="EJ79" i="10" s="1"/>
  <c r="EJ80" i="10" s="1"/>
  <c r="EJ81" i="10" s="1"/>
  <c r="EJ82" i="10" s="1"/>
  <c r="EJ83" i="10" s="1"/>
  <c r="EJ84" i="10" s="1"/>
  <c r="EJ85" i="10" s="1"/>
  <c r="EJ86" i="10" s="1"/>
  <c r="EJ87" i="10" s="1"/>
  <c r="EJ88" i="10" s="1"/>
  <c r="EJ89" i="10" s="1"/>
  <c r="EJ90" i="10" s="1"/>
  <c r="EJ91" i="10" s="1"/>
  <c r="EJ92" i="10" s="1"/>
  <c r="EJ93" i="10" s="1"/>
  <c r="EJ94" i="10" s="1"/>
  <c r="EJ95" i="10" s="1"/>
  <c r="EJ96" i="10" s="1"/>
  <c r="EJ97" i="10" s="1"/>
  <c r="EJ98" i="10" s="1"/>
  <c r="EJ99" i="10" s="1"/>
  <c r="EJ100" i="10" s="1"/>
  <c r="EJ101" i="10" s="1"/>
  <c r="EJ102" i="10" s="1"/>
  <c r="EJ103" i="10" s="1"/>
  <c r="EJ104" i="10" s="1"/>
  <c r="EJ105" i="10" s="1"/>
  <c r="EJ106" i="10" s="1"/>
  <c r="DT55" i="10"/>
  <c r="EL54" i="10"/>
  <c r="EP53" i="10"/>
  <c r="EO53" i="10"/>
  <c r="EP52" i="10"/>
  <c r="EP51" i="10"/>
  <c r="EP50" i="10"/>
  <c r="EP49" i="10"/>
  <c r="EP48" i="10"/>
  <c r="EP47" i="10"/>
  <c r="EP46" i="10"/>
  <c r="ET45" i="10"/>
  <c r="EN46" i="10" s="1"/>
  <c r="EN47" i="10" s="1"/>
  <c r="EN48" i="10" s="1"/>
  <c r="EN49" i="10" s="1"/>
  <c r="EN50" i="10" s="1"/>
  <c r="EN51" i="10" s="1"/>
  <c r="EN52" i="10" s="1"/>
  <c r="ES45" i="10"/>
  <c r="EM46" i="10" s="1"/>
  <c r="EP45" i="10"/>
  <c r="EO45" i="10"/>
  <c r="M42" i="14" s="1"/>
  <c r="EP44" i="10"/>
  <c r="EP43" i="10"/>
  <c r="EP42" i="10"/>
  <c r="EP41" i="10"/>
  <c r="EP40" i="10"/>
  <c r="EE40" i="10"/>
  <c r="EB40" i="10"/>
  <c r="DY40" i="10"/>
  <c r="EA40" i="10" s="1"/>
  <c r="L37" i="14" s="1"/>
  <c r="Q37" i="14" s="1"/>
  <c r="R37" i="14" s="1"/>
  <c r="DW40" i="10"/>
  <c r="M25" i="3" s="1"/>
  <c r="DV40" i="10"/>
  <c r="EP39" i="10"/>
  <c r="EE39" i="10"/>
  <c r="EB39" i="10"/>
  <c r="DY39" i="10"/>
  <c r="EA39" i="10" s="1"/>
  <c r="L36" i="14" s="1"/>
  <c r="DW39" i="10"/>
  <c r="DV39" i="10"/>
  <c r="EP38" i="10"/>
  <c r="EE38" i="10"/>
  <c r="EB38" i="10"/>
  <c r="DY38" i="10"/>
  <c r="EA38" i="10" s="1"/>
  <c r="L35" i="14" s="1"/>
  <c r="DW38" i="10"/>
  <c r="DV38" i="10"/>
  <c r="EP37" i="10"/>
  <c r="EE37" i="10"/>
  <c r="EB37" i="10"/>
  <c r="DY37" i="10"/>
  <c r="EA37" i="10" s="1"/>
  <c r="L34" i="14" s="1"/>
  <c r="DW37" i="10"/>
  <c r="DV37" i="10"/>
  <c r="L24" i="3" s="1"/>
  <c r="EP36" i="10"/>
  <c r="EE36" i="10"/>
  <c r="EB36" i="10"/>
  <c r="DY36" i="10"/>
  <c r="EA36" i="10" s="1"/>
  <c r="L33" i="14" s="1"/>
  <c r="DW36" i="10"/>
  <c r="DV36" i="10"/>
  <c r="ET35" i="10"/>
  <c r="EN36" i="10" s="1"/>
  <c r="EN37" i="10" s="1"/>
  <c r="EN38" i="10" s="1"/>
  <c r="EN39" i="10" s="1"/>
  <c r="EN40" i="10" s="1"/>
  <c r="EN41" i="10" s="1"/>
  <c r="EN42" i="10" s="1"/>
  <c r="EN43" i="10" s="1"/>
  <c r="EN44" i="10" s="1"/>
  <c r="ES35" i="10"/>
  <c r="EM36" i="10" s="1"/>
  <c r="EP35" i="10"/>
  <c r="EO35" i="10"/>
  <c r="EE35" i="10"/>
  <c r="EB35" i="10"/>
  <c r="EA35" i="10"/>
  <c r="L32" i="14" s="1"/>
  <c r="DX35" i="10"/>
  <c r="EP34" i="10"/>
  <c r="EE34" i="10"/>
  <c r="EB34" i="10"/>
  <c r="DZ34" i="10"/>
  <c r="DY34" i="10"/>
  <c r="EP33" i="10"/>
  <c r="EE33" i="10"/>
  <c r="EB33" i="10"/>
  <c r="DZ33" i="10"/>
  <c r="DY33" i="10"/>
  <c r="DW33" i="10"/>
  <c r="ET32" i="10"/>
  <c r="EN33" i="10" s="1"/>
  <c r="EN34" i="10" s="1"/>
  <c r="ES32" i="10"/>
  <c r="EM33" i="10" s="1"/>
  <c r="EP32" i="10"/>
  <c r="EO32" i="10"/>
  <c r="M29" i="14" s="1"/>
  <c r="EE32" i="10"/>
  <c r="EB32" i="10"/>
  <c r="EA32" i="10"/>
  <c r="DW30" i="10"/>
  <c r="EP31" i="10"/>
  <c r="EE31" i="10"/>
  <c r="EB31" i="10"/>
  <c r="DZ31" i="10"/>
  <c r="DY31" i="10"/>
  <c r="EP30" i="10"/>
  <c r="EE30" i="10"/>
  <c r="EB30" i="10"/>
  <c r="DZ30" i="10"/>
  <c r="DY30" i="10"/>
  <c r="EA30" i="10" s="1"/>
  <c r="EP29" i="10"/>
  <c r="EM29" i="10"/>
  <c r="EE29" i="10"/>
  <c r="EB29" i="10"/>
  <c r="DZ29" i="10"/>
  <c r="DY29" i="10"/>
  <c r="EA29" i="10" s="1"/>
  <c r="L26" i="14" s="1"/>
  <c r="EP28" i="10"/>
  <c r="EE28" i="10"/>
  <c r="EB28" i="10"/>
  <c r="DZ28" i="10"/>
  <c r="DY28" i="10"/>
  <c r="ET27" i="10"/>
  <c r="EN28" i="10" s="1"/>
  <c r="EN29" i="10" s="1"/>
  <c r="EN30" i="10" s="1"/>
  <c r="EN31" i="10" s="1"/>
  <c r="ES27" i="10"/>
  <c r="EM28" i="10" s="1"/>
  <c r="EP27" i="10"/>
  <c r="EQ27" i="10" s="1"/>
  <c r="EO27" i="10"/>
  <c r="M24" i="14" s="1"/>
  <c r="EE27" i="10"/>
  <c r="EB27" i="10"/>
  <c r="EA27" i="10"/>
  <c r="L24" i="14" s="1"/>
  <c r="DX27" i="10"/>
  <c r="K24" i="14" s="1"/>
  <c r="EP26" i="10"/>
  <c r="EE26" i="10"/>
  <c r="EB26" i="10"/>
  <c r="DZ26" i="10"/>
  <c r="DY26" i="10"/>
  <c r="DW26" i="10"/>
  <c r="EP25" i="10"/>
  <c r="EE25" i="10"/>
  <c r="EB25" i="10"/>
  <c r="DZ25" i="10"/>
  <c r="DY25" i="10"/>
  <c r="DV25" i="10"/>
  <c r="EP24" i="10"/>
  <c r="EE24" i="10"/>
  <c r="EB24" i="10"/>
  <c r="DZ24" i="10"/>
  <c r="DY24" i="10"/>
  <c r="EP23" i="10"/>
  <c r="EE23" i="10"/>
  <c r="EB23" i="10"/>
  <c r="DZ23" i="10"/>
  <c r="DY23" i="10"/>
  <c r="DV23" i="10"/>
  <c r="EP22" i="10"/>
  <c r="EE22" i="10"/>
  <c r="EB22" i="10"/>
  <c r="DZ22" i="10"/>
  <c r="DY22" i="10"/>
  <c r="DW22" i="10"/>
  <c r="EP21" i="10"/>
  <c r="EE21" i="10"/>
  <c r="EB21" i="10"/>
  <c r="DZ21" i="10"/>
  <c r="DY21" i="10"/>
  <c r="EP20" i="10"/>
  <c r="EE20" i="10"/>
  <c r="EB20" i="10"/>
  <c r="DZ20" i="10"/>
  <c r="DY20" i="10"/>
  <c r="EP19" i="10"/>
  <c r="EE19" i="10"/>
  <c r="EB19" i="10"/>
  <c r="DZ19" i="10"/>
  <c r="DY19" i="10"/>
  <c r="ET18" i="10"/>
  <c r="EN19" i="10" s="1"/>
  <c r="EN20" i="10" s="1"/>
  <c r="EN21" i="10" s="1"/>
  <c r="EN22" i="10" s="1"/>
  <c r="EN23" i="10" s="1"/>
  <c r="EN24" i="10" s="1"/>
  <c r="EN25" i="10" s="1"/>
  <c r="EN26" i="10" s="1"/>
  <c r="ES18" i="10"/>
  <c r="EM19" i="10" s="1"/>
  <c r="EP18" i="10"/>
  <c r="EO18" i="10"/>
  <c r="EE18" i="10"/>
  <c r="EB18" i="10"/>
  <c r="EA18" i="10"/>
  <c r="L15" i="14" s="1"/>
  <c r="EP17" i="10"/>
  <c r="EE17" i="10"/>
  <c r="EB17" i="10"/>
  <c r="DY17" i="10"/>
  <c r="EA17" i="10" s="1"/>
  <c r="EP16" i="10"/>
  <c r="EE16" i="10"/>
  <c r="EB16" i="10"/>
  <c r="DY16" i="10"/>
  <c r="EA16" i="10" s="1"/>
  <c r="EP15" i="10"/>
  <c r="EE15" i="10"/>
  <c r="EB15" i="10"/>
  <c r="EA15" i="10"/>
  <c r="L12" i="14" s="1"/>
  <c r="DX15" i="10"/>
  <c r="K12" i="14" s="1"/>
  <c r="EP14" i="10"/>
  <c r="EE14" i="10"/>
  <c r="EB14" i="10"/>
  <c r="DY14" i="10"/>
  <c r="EA14" i="10" s="1"/>
  <c r="L11" i="14" s="1"/>
  <c r="DV14" i="10"/>
  <c r="DX14" i="10" s="1"/>
  <c r="K11" i="14" s="1"/>
  <c r="EP13" i="10"/>
  <c r="EE13" i="10"/>
  <c r="EB13" i="10"/>
  <c r="DY13" i="10"/>
  <c r="EA13" i="10" s="1"/>
  <c r="L10" i="14" s="1"/>
  <c r="DV13" i="10"/>
  <c r="DX13" i="10" s="1"/>
  <c r="K10" i="14" s="1"/>
  <c r="EP12" i="10"/>
  <c r="EE12" i="10"/>
  <c r="EB12" i="10"/>
  <c r="DY12" i="10"/>
  <c r="EA12" i="10" s="1"/>
  <c r="L9" i="14" s="1"/>
  <c r="DV12" i="10"/>
  <c r="DX12" i="10" s="1"/>
  <c r="EE11" i="10"/>
  <c r="EB11" i="10"/>
  <c r="DY11" i="10"/>
  <c r="EA11" i="10" s="1"/>
  <c r="DV11" i="10"/>
  <c r="DX11" i="10" s="1"/>
  <c r="K8" i="14" s="1"/>
  <c r="ET10" i="10"/>
  <c r="EN11" i="10" s="1"/>
  <c r="EN12" i="10" s="1"/>
  <c r="EN13" i="10" s="1"/>
  <c r="EN14" i="10" s="1"/>
  <c r="EN15" i="10" s="1"/>
  <c r="EN16" i="10" s="1"/>
  <c r="EN17" i="10" s="1"/>
  <c r="ES10" i="10"/>
  <c r="EM11" i="10" s="1"/>
  <c r="EO10" i="10"/>
  <c r="M7" i="14" s="1"/>
  <c r="EA10" i="10"/>
  <c r="DX10" i="10"/>
  <c r="K7" i="14" s="1"/>
  <c r="EJ6" i="10"/>
  <c r="EJ7" i="10" s="1"/>
  <c r="EJ8" i="10" s="1"/>
  <c r="EJ9" i="10" s="1"/>
  <c r="EJ10" i="10" s="1"/>
  <c r="EJ11" i="10" s="1"/>
  <c r="EJ12" i="10" s="1"/>
  <c r="EJ13" i="10" s="1"/>
  <c r="EJ14" i="10" s="1"/>
  <c r="EJ15" i="10" s="1"/>
  <c r="EJ16" i="10" s="1"/>
  <c r="EJ17" i="10" s="1"/>
  <c r="EJ18" i="10" s="1"/>
  <c r="EJ19" i="10" s="1"/>
  <c r="EJ20" i="10" s="1"/>
  <c r="EJ21" i="10" s="1"/>
  <c r="EJ22" i="10" s="1"/>
  <c r="EJ23" i="10" s="1"/>
  <c r="EJ24" i="10" s="1"/>
  <c r="EJ25" i="10" s="1"/>
  <c r="EJ26" i="10" s="1"/>
  <c r="EJ27" i="10" s="1"/>
  <c r="EJ28" i="10" s="1"/>
  <c r="EJ29" i="10" s="1"/>
  <c r="EJ30" i="10" s="1"/>
  <c r="EJ31" i="10" s="1"/>
  <c r="EJ32" i="10" s="1"/>
  <c r="EJ33" i="10" s="1"/>
  <c r="EJ34" i="10" s="1"/>
  <c r="EJ35" i="10" s="1"/>
  <c r="EJ36" i="10" s="1"/>
  <c r="EJ37" i="10" s="1"/>
  <c r="EJ38" i="10" s="1"/>
  <c r="EJ39" i="10" s="1"/>
  <c r="EJ40" i="10" s="1"/>
  <c r="EJ41" i="10" s="1"/>
  <c r="EJ42" i="10" s="1"/>
  <c r="EJ43" i="10" s="1"/>
  <c r="EJ44" i="10" s="1"/>
  <c r="EJ45" i="10" s="1"/>
  <c r="EJ46" i="10" s="1"/>
  <c r="EJ47" i="10" s="1"/>
  <c r="EJ48" i="10" s="1"/>
  <c r="EJ49" i="10" s="1"/>
  <c r="EJ50" i="10" s="1"/>
  <c r="EJ51" i="10" s="1"/>
  <c r="EJ52" i="10" s="1"/>
  <c r="EJ53" i="10" s="1"/>
  <c r="DV24" i="10" l="1"/>
  <c r="DV26" i="10"/>
  <c r="EA7" i="10"/>
  <c r="L4" i="14" s="1"/>
  <c r="DV16" i="10"/>
  <c r="DX16" i="10" s="1"/>
  <c r="EC16" i="10" s="1"/>
  <c r="EQ10" i="10"/>
  <c r="EQ5" i="10"/>
  <c r="EF11" i="10"/>
  <c r="L8" i="14"/>
  <c r="EF15" i="10"/>
  <c r="EF17" i="10"/>
  <c r="L14" i="14"/>
  <c r="EF16" i="10"/>
  <c r="L13" i="14"/>
  <c r="EQ18" i="10"/>
  <c r="M15" i="14"/>
  <c r="EA22" i="10"/>
  <c r="L19" i="14" s="1"/>
  <c r="EA31" i="10"/>
  <c r="L28" i="14" s="1"/>
  <c r="EF32" i="10"/>
  <c r="L29" i="14"/>
  <c r="EC35" i="10"/>
  <c r="K32" i="14"/>
  <c r="EQ35" i="10"/>
  <c r="M32" i="14"/>
  <c r="EC8" i="10"/>
  <c r="EQ39" i="13"/>
  <c r="M36" i="12"/>
  <c r="EF30" i="10"/>
  <c r="L27" i="14"/>
  <c r="EF5" i="10"/>
  <c r="EQ22" i="13"/>
  <c r="M19" i="12"/>
  <c r="EF10" i="10"/>
  <c r="L7" i="14"/>
  <c r="EC12" i="10"/>
  <c r="K9" i="14"/>
  <c r="EC15" i="10"/>
  <c r="DV17" i="10"/>
  <c r="DX17" i="10" s="1"/>
  <c r="K14" i="14" s="1"/>
  <c r="DV19" i="10"/>
  <c r="DV20" i="10"/>
  <c r="DV21" i="10"/>
  <c r="DV22" i="10"/>
  <c r="DX22" i="10" s="1"/>
  <c r="EC7" i="10"/>
  <c r="K4" i="14"/>
  <c r="EC6" i="10"/>
  <c r="EQ14" i="13"/>
  <c r="M11" i="12"/>
  <c r="EQ50" i="13"/>
  <c r="M47" i="12"/>
  <c r="EF35" i="10"/>
  <c r="EQ53" i="10"/>
  <c r="ER53" i="10" s="1"/>
  <c r="M50" i="14"/>
  <c r="EC9" i="10"/>
  <c r="EC5" i="10"/>
  <c r="EM43" i="15"/>
  <c r="EO42" i="15"/>
  <c r="EQ42" i="15" s="1"/>
  <c r="EM25" i="15"/>
  <c r="EO24" i="15"/>
  <c r="EQ24" i="15" s="1"/>
  <c r="EO51" i="15"/>
  <c r="EQ51" i="15" s="1"/>
  <c r="EM52" i="15"/>
  <c r="EO52" i="15" s="1"/>
  <c r="EQ52" i="15" s="1"/>
  <c r="EM16" i="13"/>
  <c r="EO15" i="13"/>
  <c r="EO23" i="13"/>
  <c r="EM24" i="13"/>
  <c r="EM52" i="13"/>
  <c r="EO52" i="13" s="1"/>
  <c r="EO51" i="13"/>
  <c r="EM41" i="13"/>
  <c r="EO40" i="13"/>
  <c r="EN7" i="10"/>
  <c r="EN8" i="10" s="1"/>
  <c r="EN9" i="10" s="1"/>
  <c r="EO6" i="10"/>
  <c r="EM8" i="10"/>
  <c r="DX37" i="10"/>
  <c r="M24" i="3"/>
  <c r="R24" i="3" s="1"/>
  <c r="DW19" i="10"/>
  <c r="DX19" i="10" s="1"/>
  <c r="DW23" i="10"/>
  <c r="DX23" i="10" s="1"/>
  <c r="EF14" i="10"/>
  <c r="DX18" i="10"/>
  <c r="DW20" i="10"/>
  <c r="DW24" i="10"/>
  <c r="DX24" i="10" s="1"/>
  <c r="EC27" i="10"/>
  <c r="EF33" i="10"/>
  <c r="EF13" i="10"/>
  <c r="EA20" i="10"/>
  <c r="DW21" i="10"/>
  <c r="EA24" i="10"/>
  <c r="L21" i="14" s="1"/>
  <c r="DW25" i="10"/>
  <c r="DX25" i="10" s="1"/>
  <c r="DX26" i="10"/>
  <c r="DW28" i="10"/>
  <c r="DW29" i="10"/>
  <c r="DW31" i="10"/>
  <c r="DV34" i="10"/>
  <c r="EA33" i="10"/>
  <c r="L30" i="14" s="1"/>
  <c r="EA34" i="10"/>
  <c r="DX40" i="10"/>
  <c r="L25" i="3"/>
  <c r="EQ45" i="10"/>
  <c r="EQ32" i="10"/>
  <c r="EO19" i="10"/>
  <c r="EF38" i="10"/>
  <c r="EF36" i="10"/>
  <c r="EF40" i="10"/>
  <c r="EG40" i="10" s="1"/>
  <c r="EA19" i="10"/>
  <c r="EA28" i="10"/>
  <c r="EF29" i="10"/>
  <c r="EF27" i="10"/>
  <c r="EF22" i="10"/>
  <c r="EA23" i="10"/>
  <c r="EF12" i="10"/>
  <c r="EA8" i="10"/>
  <c r="L5" i="14" s="1"/>
  <c r="EA9" i="10"/>
  <c r="EA6" i="10"/>
  <c r="DX39" i="10"/>
  <c r="DX36" i="10"/>
  <c r="DX38" i="10"/>
  <c r="DX21" i="10"/>
  <c r="EC13" i="10"/>
  <c r="EC14" i="10"/>
  <c r="EC10" i="10"/>
  <c r="EM12" i="10"/>
  <c r="EO11" i="10"/>
  <c r="EC11" i="10"/>
  <c r="DX32" i="10"/>
  <c r="EM37" i="10"/>
  <c r="EO36" i="10"/>
  <c r="EF18" i="10"/>
  <c r="EA25" i="10"/>
  <c r="EM34" i="10"/>
  <c r="EO34" i="10" s="1"/>
  <c r="EO33" i="10"/>
  <c r="EM47" i="10"/>
  <c r="EO46" i="10"/>
  <c r="EM20" i="10"/>
  <c r="DV33" i="10"/>
  <c r="DX33" i="10" s="1"/>
  <c r="DV31" i="10"/>
  <c r="DV29" i="10"/>
  <c r="DX29" i="10" s="1"/>
  <c r="DV28" i="10"/>
  <c r="EA21" i="10"/>
  <c r="EM30" i="10"/>
  <c r="EO29" i="10"/>
  <c r="DV30" i="10"/>
  <c r="DX30" i="10" s="1"/>
  <c r="EA26" i="10"/>
  <c r="EO28" i="10"/>
  <c r="EF37" i="10"/>
  <c r="EF39" i="10"/>
  <c r="DW34" i="10"/>
  <c r="AB12" i="5"/>
  <c r="AB13" i="5" s="1"/>
  <c r="AE32" i="5" s="1"/>
  <c r="V12" i="5"/>
  <c r="EJ56" i="6"/>
  <c r="EJ57" i="6" s="1"/>
  <c r="EJ58" i="6" s="1"/>
  <c r="EJ59" i="6" s="1"/>
  <c r="EJ60" i="6" s="1"/>
  <c r="EJ61" i="6" s="1"/>
  <c r="EJ62" i="6" s="1"/>
  <c r="EJ63" i="6" s="1"/>
  <c r="EJ64" i="6" s="1"/>
  <c r="EJ65" i="6" s="1"/>
  <c r="EJ66" i="6" s="1"/>
  <c r="EJ67" i="6" s="1"/>
  <c r="EJ68" i="6" s="1"/>
  <c r="EJ69" i="6" s="1"/>
  <c r="EJ70" i="6" s="1"/>
  <c r="EJ71" i="6" s="1"/>
  <c r="EJ72" i="6" s="1"/>
  <c r="EJ73" i="6" s="1"/>
  <c r="EJ74" i="6" s="1"/>
  <c r="EJ75" i="6" s="1"/>
  <c r="EJ76" i="6" s="1"/>
  <c r="EJ77" i="6" s="1"/>
  <c r="EJ78" i="6" s="1"/>
  <c r="EJ79" i="6" s="1"/>
  <c r="EJ80" i="6" s="1"/>
  <c r="EJ81" i="6" s="1"/>
  <c r="EJ82" i="6" s="1"/>
  <c r="EJ83" i="6" s="1"/>
  <c r="EJ84" i="6" s="1"/>
  <c r="EJ85" i="6" s="1"/>
  <c r="EJ86" i="6" s="1"/>
  <c r="EJ87" i="6" s="1"/>
  <c r="EJ88" i="6" s="1"/>
  <c r="EJ89" i="6" s="1"/>
  <c r="EJ90" i="6" s="1"/>
  <c r="EJ91" i="6" s="1"/>
  <c r="EJ92" i="6" s="1"/>
  <c r="EJ93" i="6" s="1"/>
  <c r="EJ94" i="6" s="1"/>
  <c r="EJ95" i="6" s="1"/>
  <c r="EJ96" i="6" s="1"/>
  <c r="EJ97" i="6" s="1"/>
  <c r="EJ98" i="6" s="1"/>
  <c r="EJ99" i="6" s="1"/>
  <c r="EJ100" i="6" s="1"/>
  <c r="EJ101" i="6" s="1"/>
  <c r="EJ102" i="6" s="1"/>
  <c r="EJ103" i="6" s="1"/>
  <c r="EJ104" i="6" s="1"/>
  <c r="EJ105" i="6" s="1"/>
  <c r="EJ106" i="6" s="1"/>
  <c r="DT55" i="6"/>
  <c r="EL54" i="6"/>
  <c r="EP53" i="6"/>
  <c r="EO53" i="6"/>
  <c r="EP52" i="6"/>
  <c r="EP51" i="6"/>
  <c r="EP50" i="6"/>
  <c r="EP49" i="6"/>
  <c r="EP48" i="6"/>
  <c r="EP47" i="6"/>
  <c r="EP46" i="6"/>
  <c r="ET45" i="6"/>
  <c r="EN46" i="6" s="1"/>
  <c r="EN47" i="6" s="1"/>
  <c r="EN48" i="6" s="1"/>
  <c r="EN49" i="6" s="1"/>
  <c r="EN50" i="6" s="1"/>
  <c r="EN51" i="6" s="1"/>
  <c r="EN52" i="6" s="1"/>
  <c r="ES45" i="6"/>
  <c r="EM46" i="6" s="1"/>
  <c r="EM47" i="6" s="1"/>
  <c r="EP45" i="6"/>
  <c r="EO45" i="6"/>
  <c r="EP44" i="6"/>
  <c r="EP43" i="6"/>
  <c r="EP42" i="6"/>
  <c r="DT42" i="6"/>
  <c r="EP41" i="6"/>
  <c r="EP40" i="6"/>
  <c r="EE40" i="6"/>
  <c r="EB40" i="6"/>
  <c r="DY40" i="6"/>
  <c r="EA40" i="6" s="1"/>
  <c r="DW40" i="6"/>
  <c r="M13" i="3" s="1"/>
  <c r="DV40" i="6"/>
  <c r="EP39" i="6"/>
  <c r="EE39" i="6"/>
  <c r="EB39" i="6"/>
  <c r="DY39" i="6"/>
  <c r="EA39" i="6" s="1"/>
  <c r="DW39" i="6"/>
  <c r="DV39" i="6"/>
  <c r="EP38" i="6"/>
  <c r="EE38" i="6"/>
  <c r="EB38" i="6"/>
  <c r="DY38" i="6"/>
  <c r="EA38" i="6" s="1"/>
  <c r="DW38" i="6"/>
  <c r="DV38" i="6"/>
  <c r="EP37" i="6"/>
  <c r="EE37" i="6"/>
  <c r="EB37" i="6"/>
  <c r="DY37" i="6"/>
  <c r="EA37" i="6" s="1"/>
  <c r="DW37" i="6"/>
  <c r="M12" i="3" s="1"/>
  <c r="DV37" i="6"/>
  <c r="L12" i="3" s="1"/>
  <c r="EP36" i="6"/>
  <c r="EE36" i="6"/>
  <c r="EB36" i="6"/>
  <c r="DY36" i="6"/>
  <c r="EA36" i="6" s="1"/>
  <c r="DW36" i="6"/>
  <c r="DX36" i="6" s="1"/>
  <c r="DV36" i="6"/>
  <c r="ET35" i="6"/>
  <c r="EN36" i="6" s="1"/>
  <c r="EN37" i="6" s="1"/>
  <c r="EN38" i="6" s="1"/>
  <c r="EN39" i="6" s="1"/>
  <c r="ES35" i="6"/>
  <c r="EM36" i="6" s="1"/>
  <c r="EM37" i="6" s="1"/>
  <c r="EM38" i="6" s="1"/>
  <c r="EM39" i="6" s="1"/>
  <c r="EM40" i="6" s="1"/>
  <c r="EM41" i="6" s="1"/>
  <c r="EP35" i="6"/>
  <c r="EO35" i="6"/>
  <c r="EE35" i="6"/>
  <c r="EB35" i="6"/>
  <c r="EA35" i="6"/>
  <c r="DX35" i="6"/>
  <c r="EP34" i="6"/>
  <c r="EE34" i="6"/>
  <c r="EB34" i="6"/>
  <c r="DZ34" i="6"/>
  <c r="DY34" i="6"/>
  <c r="EA34" i="6" s="1"/>
  <c r="EP33" i="6"/>
  <c r="EE33" i="6"/>
  <c r="EB33" i="6"/>
  <c r="DZ33" i="6"/>
  <c r="DY33" i="6"/>
  <c r="ET32" i="6"/>
  <c r="EN33" i="6" s="1"/>
  <c r="EN34" i="6" s="1"/>
  <c r="ES32" i="6"/>
  <c r="EM33" i="6" s="1"/>
  <c r="EP32" i="6"/>
  <c r="EO32" i="6"/>
  <c r="EE32" i="6"/>
  <c r="EB32" i="6"/>
  <c r="EA32" i="6"/>
  <c r="DW32" i="6"/>
  <c r="M10" i="3" s="1"/>
  <c r="DV32" i="6"/>
  <c r="DV33" i="6" s="1"/>
  <c r="EP31" i="6"/>
  <c r="EE31" i="6"/>
  <c r="EB31" i="6"/>
  <c r="DZ31" i="6"/>
  <c r="DY31" i="6"/>
  <c r="EP30" i="6"/>
  <c r="EE30" i="6"/>
  <c r="EB30" i="6"/>
  <c r="DZ30" i="6"/>
  <c r="DY30" i="6"/>
  <c r="EP29" i="6"/>
  <c r="EE29" i="6"/>
  <c r="EB29" i="6"/>
  <c r="DZ29" i="6"/>
  <c r="DY29" i="6"/>
  <c r="EP28" i="6"/>
  <c r="EM28" i="6"/>
  <c r="EM29" i="6" s="1"/>
  <c r="EE28" i="6"/>
  <c r="EB28" i="6"/>
  <c r="DZ28" i="6"/>
  <c r="DY28" i="6"/>
  <c r="DW28" i="6"/>
  <c r="ET27" i="6"/>
  <c r="EN28" i="6" s="1"/>
  <c r="EN29" i="6" s="1"/>
  <c r="EN30" i="6" s="1"/>
  <c r="EN31" i="6" s="1"/>
  <c r="ES27" i="6"/>
  <c r="EP27" i="6"/>
  <c r="EO27" i="6"/>
  <c r="EE27" i="6"/>
  <c r="EB27" i="6"/>
  <c r="EA27" i="6"/>
  <c r="DX27" i="6"/>
  <c r="EP26" i="6"/>
  <c r="EE26" i="6"/>
  <c r="EB26" i="6"/>
  <c r="DZ26" i="6"/>
  <c r="DY26" i="6"/>
  <c r="EA26" i="6" s="1"/>
  <c r="DW26" i="6"/>
  <c r="DV26" i="6"/>
  <c r="EP25" i="6"/>
  <c r="EE25" i="6"/>
  <c r="EB25" i="6"/>
  <c r="DZ25" i="6"/>
  <c r="DY25" i="6"/>
  <c r="DW25" i="6"/>
  <c r="DV25" i="6"/>
  <c r="EP24" i="6"/>
  <c r="EE24" i="6"/>
  <c r="EB24" i="6"/>
  <c r="DZ24" i="6"/>
  <c r="DY24" i="6"/>
  <c r="DW24" i="6"/>
  <c r="DV24" i="6"/>
  <c r="DX24" i="6" s="1"/>
  <c r="EP23" i="6"/>
  <c r="EE23" i="6"/>
  <c r="EB23" i="6"/>
  <c r="DZ23" i="6"/>
  <c r="DY23" i="6"/>
  <c r="DW23" i="6"/>
  <c r="DV23" i="6"/>
  <c r="EP22" i="6"/>
  <c r="EE22" i="6"/>
  <c r="EB22" i="6"/>
  <c r="DZ22" i="6"/>
  <c r="DY22" i="6"/>
  <c r="DW22" i="6"/>
  <c r="DV22" i="6"/>
  <c r="DX22" i="6" s="1"/>
  <c r="EP21" i="6"/>
  <c r="EE21" i="6"/>
  <c r="EB21" i="6"/>
  <c r="DZ21" i="6"/>
  <c r="DY21" i="6"/>
  <c r="DW21" i="6"/>
  <c r="DX21" i="6" s="1"/>
  <c r="DV21" i="6"/>
  <c r="EP20" i="6"/>
  <c r="EE20" i="6"/>
  <c r="EB20" i="6"/>
  <c r="DZ20" i="6"/>
  <c r="DY20" i="6"/>
  <c r="DW20" i="6"/>
  <c r="DV20" i="6"/>
  <c r="DX20" i="6" s="1"/>
  <c r="EP19" i="6"/>
  <c r="EE19" i="6"/>
  <c r="EB19" i="6"/>
  <c r="DZ19" i="6"/>
  <c r="DY19" i="6"/>
  <c r="DW19" i="6"/>
  <c r="DV19" i="6"/>
  <c r="ET18" i="6"/>
  <c r="EN19" i="6" s="1"/>
  <c r="EN20" i="6" s="1"/>
  <c r="ES18" i="6"/>
  <c r="EM19" i="6" s="1"/>
  <c r="EM20" i="6" s="1"/>
  <c r="EM21" i="6" s="1"/>
  <c r="EM22" i="6" s="1"/>
  <c r="EP18" i="6"/>
  <c r="EO18" i="6"/>
  <c r="EE18" i="6"/>
  <c r="EB18" i="6"/>
  <c r="EA18" i="6"/>
  <c r="DX18" i="6"/>
  <c r="EP17" i="6"/>
  <c r="EE17" i="6"/>
  <c r="EB17" i="6"/>
  <c r="DY17" i="6"/>
  <c r="EA17" i="6" s="1"/>
  <c r="DV17" i="6"/>
  <c r="DX17" i="6" s="1"/>
  <c r="EP16" i="6"/>
  <c r="EE16" i="6"/>
  <c r="EB16" i="6"/>
  <c r="DY16" i="6"/>
  <c r="EA16" i="6" s="1"/>
  <c r="DV16" i="6"/>
  <c r="DX16" i="6" s="1"/>
  <c r="EP15" i="6"/>
  <c r="EE15" i="6"/>
  <c r="EB15" i="6"/>
  <c r="EA15" i="6"/>
  <c r="DX15" i="6"/>
  <c r="EP14" i="6"/>
  <c r="EE14" i="6"/>
  <c r="EB14" i="6"/>
  <c r="DY14" i="6"/>
  <c r="EA14" i="6" s="1"/>
  <c r="DV14" i="6"/>
  <c r="DX14" i="6" s="1"/>
  <c r="EP13" i="6"/>
  <c r="EE13" i="6"/>
  <c r="EB13" i="6"/>
  <c r="DY13" i="6"/>
  <c r="EA13" i="6" s="1"/>
  <c r="DV13" i="6"/>
  <c r="DX13" i="6" s="1"/>
  <c r="EP12" i="6"/>
  <c r="EE12" i="6"/>
  <c r="EB12" i="6"/>
  <c r="DY12" i="6"/>
  <c r="EA12" i="6" s="1"/>
  <c r="DV12" i="6"/>
  <c r="DX12" i="6" s="1"/>
  <c r="EP11" i="6"/>
  <c r="EE11" i="6"/>
  <c r="EB11" i="6"/>
  <c r="DY11" i="6"/>
  <c r="EA11" i="6" s="1"/>
  <c r="DV11" i="6"/>
  <c r="DX11" i="6" s="1"/>
  <c r="ET10" i="6"/>
  <c r="EN11" i="6" s="1"/>
  <c r="EN12" i="6" s="1"/>
  <c r="EN13" i="6" s="1"/>
  <c r="EN14" i="6" s="1"/>
  <c r="EN15" i="6" s="1"/>
  <c r="EN16" i="6" s="1"/>
  <c r="EN17" i="6" s="1"/>
  <c r="ES10" i="6"/>
  <c r="EM11" i="6" s="1"/>
  <c r="EM12" i="6" s="1"/>
  <c r="EP10" i="6"/>
  <c r="EO10" i="6"/>
  <c r="EE10" i="6"/>
  <c r="EB10" i="6"/>
  <c r="EA10" i="6"/>
  <c r="DX10" i="6"/>
  <c r="EJ6" i="6"/>
  <c r="EJ7" i="6" s="1"/>
  <c r="EJ8" i="6" s="1"/>
  <c r="EJ9" i="6" s="1"/>
  <c r="EJ10" i="6" s="1"/>
  <c r="EJ11" i="6" s="1"/>
  <c r="EJ12" i="6" s="1"/>
  <c r="EJ13" i="6" s="1"/>
  <c r="EJ14" i="6" s="1"/>
  <c r="EJ15" i="6" s="1"/>
  <c r="EJ16" i="6" s="1"/>
  <c r="EJ17" i="6" s="1"/>
  <c r="EJ18" i="6" s="1"/>
  <c r="EJ19" i="6" s="1"/>
  <c r="EJ20" i="6" s="1"/>
  <c r="EJ21" i="6" s="1"/>
  <c r="EJ22" i="6" s="1"/>
  <c r="EJ23" i="6" s="1"/>
  <c r="EJ24" i="6" s="1"/>
  <c r="EJ25" i="6" s="1"/>
  <c r="EJ26" i="6" s="1"/>
  <c r="EJ27" i="6" s="1"/>
  <c r="EJ28" i="6" s="1"/>
  <c r="EJ29" i="6" s="1"/>
  <c r="EJ30" i="6" s="1"/>
  <c r="EJ31" i="6" s="1"/>
  <c r="EJ32" i="6" s="1"/>
  <c r="EJ33" i="6" s="1"/>
  <c r="EJ34" i="6" s="1"/>
  <c r="EJ35" i="6" s="1"/>
  <c r="EJ36" i="6" s="1"/>
  <c r="EJ37" i="6" s="1"/>
  <c r="EJ38" i="6" s="1"/>
  <c r="EJ39" i="6" s="1"/>
  <c r="EJ40" i="6" s="1"/>
  <c r="EJ41" i="6" s="1"/>
  <c r="EJ42" i="6" s="1"/>
  <c r="EJ43" i="6" s="1"/>
  <c r="EJ44" i="6" s="1"/>
  <c r="EJ45" i="6" s="1"/>
  <c r="EJ46" i="6" s="1"/>
  <c r="EJ47" i="6" s="1"/>
  <c r="EJ48" i="6" s="1"/>
  <c r="EJ49" i="6" s="1"/>
  <c r="EJ50" i="6" s="1"/>
  <c r="EJ51" i="6" s="1"/>
  <c r="EJ52" i="6" s="1"/>
  <c r="EJ53" i="6" s="1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J63" i="9"/>
  <c r="I63" i="9"/>
  <c r="L63" i="9" s="1"/>
  <c r="J62" i="9"/>
  <c r="L62" i="9" s="1"/>
  <c r="I62" i="9"/>
  <c r="E53" i="9"/>
  <c r="E51" i="9"/>
  <c r="G50" i="9"/>
  <c r="V44" i="9"/>
  <c r="K43" i="9"/>
  <c r="K42" i="9"/>
  <c r="H39" i="9"/>
  <c r="E47" i="9" s="1"/>
  <c r="H38" i="9"/>
  <c r="H32" i="9"/>
  <c r="H31" i="9"/>
  <c r="R27" i="9"/>
  <c r="Q27" i="9"/>
  <c r="N27" i="9"/>
  <c r="S27" i="9" s="1"/>
  <c r="J27" i="9"/>
  <c r="F27" i="9"/>
  <c r="R26" i="9"/>
  <c r="Q26" i="9"/>
  <c r="N26" i="9"/>
  <c r="S26" i="9" s="1"/>
  <c r="J26" i="9"/>
  <c r="F26" i="9"/>
  <c r="R25" i="9"/>
  <c r="L25" i="9"/>
  <c r="N25" i="9" s="1"/>
  <c r="S25" i="9" s="1"/>
  <c r="T25" i="9" s="1"/>
  <c r="N64" i="9" s="1"/>
  <c r="H25" i="9"/>
  <c r="J25" i="9" s="1"/>
  <c r="D25" i="9"/>
  <c r="F25" i="9" s="1"/>
  <c r="M24" i="9"/>
  <c r="R24" i="9" s="1"/>
  <c r="L24" i="9"/>
  <c r="Q24" i="9" s="1"/>
  <c r="N50" i="9" s="1"/>
  <c r="I24" i="9"/>
  <c r="H24" i="9"/>
  <c r="J24" i="9" s="1"/>
  <c r="D24" i="9"/>
  <c r="F24" i="9" s="1"/>
  <c r="R23" i="9"/>
  <c r="Q23" i="9"/>
  <c r="N49" i="9" s="1"/>
  <c r="N23" i="9"/>
  <c r="S23" i="9" s="1"/>
  <c r="T23" i="9" s="1"/>
  <c r="N62" i="9" s="1"/>
  <c r="J23" i="9"/>
  <c r="F23" i="9"/>
  <c r="R22" i="9"/>
  <c r="Q22" i="9"/>
  <c r="N48" i="9" s="1"/>
  <c r="N22" i="9"/>
  <c r="S22" i="9" s="1"/>
  <c r="T22" i="9" s="1"/>
  <c r="N61" i="9" s="1"/>
  <c r="J22" i="9"/>
  <c r="F22" i="9"/>
  <c r="R21" i="9"/>
  <c r="Q21" i="9"/>
  <c r="N47" i="9" s="1"/>
  <c r="N21" i="9"/>
  <c r="S21" i="9" s="1"/>
  <c r="T21" i="9" s="1"/>
  <c r="N60" i="9" s="1"/>
  <c r="J21" i="9"/>
  <c r="F21" i="9"/>
  <c r="T20" i="9"/>
  <c r="N59" i="9" s="1"/>
  <c r="R20" i="9"/>
  <c r="Q20" i="9"/>
  <c r="N46" i="9" s="1"/>
  <c r="N20" i="9"/>
  <c r="S20" i="9" s="1"/>
  <c r="J20" i="9"/>
  <c r="F20" i="9"/>
  <c r="R19" i="9"/>
  <c r="Q19" i="9"/>
  <c r="N45" i="9" s="1"/>
  <c r="N19" i="9"/>
  <c r="S19" i="9" s="1"/>
  <c r="T19" i="9" s="1"/>
  <c r="N58" i="9" s="1"/>
  <c r="P58" i="9" s="1"/>
  <c r="J19" i="9"/>
  <c r="F19" i="9"/>
  <c r="T18" i="9"/>
  <c r="N57" i="9" s="1"/>
  <c r="R18" i="9"/>
  <c r="Q18" i="9"/>
  <c r="N44" i="9" s="1"/>
  <c r="N18" i="9"/>
  <c r="S18" i="9" s="1"/>
  <c r="J18" i="9"/>
  <c r="F18" i="9"/>
  <c r="R15" i="9"/>
  <c r="Q15" i="9"/>
  <c r="N15" i="9"/>
  <c r="S15" i="9" s="1"/>
  <c r="J15" i="9"/>
  <c r="F15" i="9"/>
  <c r="R14" i="9"/>
  <c r="Q14" i="9"/>
  <c r="N14" i="9"/>
  <c r="S14" i="9" s="1"/>
  <c r="J14" i="9"/>
  <c r="F14" i="9"/>
  <c r="R13" i="9"/>
  <c r="Q13" i="9"/>
  <c r="V51" i="9" s="1"/>
  <c r="N13" i="9"/>
  <c r="S13" i="9" s="1"/>
  <c r="T13" i="9" s="1"/>
  <c r="V64" i="9" s="1"/>
  <c r="L13" i="9"/>
  <c r="H13" i="9"/>
  <c r="J13" i="9" s="1"/>
  <c r="D13" i="9"/>
  <c r="F13" i="9" s="1"/>
  <c r="R12" i="9"/>
  <c r="L12" i="9"/>
  <c r="N12" i="9" s="1"/>
  <c r="S12" i="9" s="1"/>
  <c r="T12" i="9" s="1"/>
  <c r="V63" i="9" s="1"/>
  <c r="H12" i="9"/>
  <c r="J12" i="9" s="1"/>
  <c r="D12" i="9"/>
  <c r="F12" i="9" s="1"/>
  <c r="R11" i="9"/>
  <c r="Q11" i="9"/>
  <c r="V49" i="9" s="1"/>
  <c r="N11" i="9"/>
  <c r="S11" i="9" s="1"/>
  <c r="T11" i="9" s="1"/>
  <c r="V62" i="9" s="1"/>
  <c r="J11" i="9"/>
  <c r="F11" i="9"/>
  <c r="R10" i="9"/>
  <c r="Q10" i="9"/>
  <c r="V48" i="9" s="1"/>
  <c r="N10" i="9"/>
  <c r="S10" i="9" s="1"/>
  <c r="T10" i="9" s="1"/>
  <c r="V61" i="9" s="1"/>
  <c r="J10" i="9"/>
  <c r="F10" i="9"/>
  <c r="R9" i="9"/>
  <c r="Q9" i="9"/>
  <c r="V47" i="9" s="1"/>
  <c r="N9" i="9"/>
  <c r="S9" i="9" s="1"/>
  <c r="T9" i="9" s="1"/>
  <c r="V60" i="9" s="1"/>
  <c r="J9" i="9"/>
  <c r="F9" i="9"/>
  <c r="R8" i="9"/>
  <c r="Q8" i="9"/>
  <c r="V46" i="9" s="1"/>
  <c r="N8" i="9"/>
  <c r="S8" i="9" s="1"/>
  <c r="T8" i="9" s="1"/>
  <c r="V59" i="9" s="1"/>
  <c r="J8" i="9"/>
  <c r="F8" i="9"/>
  <c r="R7" i="9"/>
  <c r="Q7" i="9"/>
  <c r="V45" i="9" s="1"/>
  <c r="X45" i="9" s="1"/>
  <c r="N7" i="9"/>
  <c r="S7" i="9" s="1"/>
  <c r="T7" i="9" s="1"/>
  <c r="V58" i="9" s="1"/>
  <c r="J7" i="9"/>
  <c r="F7" i="9"/>
  <c r="N6" i="9"/>
  <c r="J6" i="9"/>
  <c r="F6" i="9"/>
  <c r="G50" i="3"/>
  <c r="V44" i="3"/>
  <c r="K43" i="3"/>
  <c r="K42" i="3"/>
  <c r="H39" i="3"/>
  <c r="E43" i="3" s="1"/>
  <c r="H38" i="3"/>
  <c r="H32" i="3"/>
  <c r="J27" i="3"/>
  <c r="F27" i="3"/>
  <c r="J26" i="3"/>
  <c r="F26" i="3"/>
  <c r="R25" i="3"/>
  <c r="Q25" i="3"/>
  <c r="N51" i="3" s="1"/>
  <c r="H25" i="3"/>
  <c r="J25" i="3" s="1"/>
  <c r="D25" i="3"/>
  <c r="F25" i="3" s="1"/>
  <c r="N24" i="3"/>
  <c r="I24" i="3"/>
  <c r="H24" i="3"/>
  <c r="D24" i="3"/>
  <c r="Q24" i="3" s="1"/>
  <c r="N50" i="3" s="1"/>
  <c r="R23" i="3"/>
  <c r="Q23" i="3"/>
  <c r="N49" i="3" s="1"/>
  <c r="N23" i="3"/>
  <c r="S23" i="3" s="1"/>
  <c r="T23" i="3" s="1"/>
  <c r="N62" i="3" s="1"/>
  <c r="J23" i="3"/>
  <c r="F23" i="3"/>
  <c r="R22" i="3"/>
  <c r="Q22" i="3"/>
  <c r="N48" i="3" s="1"/>
  <c r="N22" i="3"/>
  <c r="S22" i="3" s="1"/>
  <c r="T22" i="3" s="1"/>
  <c r="N61" i="3" s="1"/>
  <c r="J22" i="3"/>
  <c r="F22" i="3"/>
  <c r="R21" i="3"/>
  <c r="Q21" i="3"/>
  <c r="N47" i="3" s="1"/>
  <c r="N21" i="3"/>
  <c r="J21" i="3"/>
  <c r="F21" i="3"/>
  <c r="R20" i="3"/>
  <c r="Q20" i="3"/>
  <c r="N46" i="3" s="1"/>
  <c r="N20" i="3"/>
  <c r="J20" i="3"/>
  <c r="F20" i="3"/>
  <c r="R19" i="3"/>
  <c r="Q19" i="3"/>
  <c r="N45" i="3" s="1"/>
  <c r="N19" i="3"/>
  <c r="S19" i="3" s="1"/>
  <c r="T19" i="3" s="1"/>
  <c r="N58" i="3" s="1"/>
  <c r="J19" i="3"/>
  <c r="F19" i="3"/>
  <c r="R18" i="3"/>
  <c r="Q18" i="3"/>
  <c r="N44" i="3" s="1"/>
  <c r="N18" i="3"/>
  <c r="S18" i="3" s="1"/>
  <c r="T18" i="3" s="1"/>
  <c r="N57" i="3" s="1"/>
  <c r="J18" i="3"/>
  <c r="F18" i="3"/>
  <c r="H13" i="3"/>
  <c r="J13" i="3" s="1"/>
  <c r="E13" i="3"/>
  <c r="H12" i="3"/>
  <c r="J12" i="3" s="1"/>
  <c r="E12" i="3"/>
  <c r="M11" i="3"/>
  <c r="L11" i="3"/>
  <c r="J11" i="3"/>
  <c r="E11" i="3"/>
  <c r="D11" i="3"/>
  <c r="J10" i="3"/>
  <c r="E10" i="3"/>
  <c r="D10" i="3"/>
  <c r="M9" i="3"/>
  <c r="L9" i="3"/>
  <c r="J9" i="3"/>
  <c r="E9" i="3"/>
  <c r="D9" i="3"/>
  <c r="M8" i="3"/>
  <c r="L8" i="3"/>
  <c r="J8" i="3"/>
  <c r="E8" i="3"/>
  <c r="D8" i="3"/>
  <c r="M7" i="3"/>
  <c r="L7" i="3"/>
  <c r="J7" i="3"/>
  <c r="E7" i="3"/>
  <c r="D7" i="3"/>
  <c r="N26" i="4"/>
  <c r="H40" i="9" s="1"/>
  <c r="K13" i="14" l="1"/>
  <c r="X48" i="9"/>
  <c r="AE18" i="5"/>
  <c r="EC17" i="10"/>
  <c r="EF31" i="10"/>
  <c r="EC11" i="6"/>
  <c r="DV31" i="6"/>
  <c r="EF24" i="10"/>
  <c r="X46" i="9"/>
  <c r="X64" i="9"/>
  <c r="P60" i="9"/>
  <c r="P49" i="9"/>
  <c r="Q49" i="9" s="1"/>
  <c r="O49" i="9" s="1"/>
  <c r="EF7" i="10"/>
  <c r="F24" i="3"/>
  <c r="S24" i="3" s="1"/>
  <c r="T24" i="3" s="1"/>
  <c r="N63" i="3" s="1"/>
  <c r="P63" i="3" s="1"/>
  <c r="P45" i="9"/>
  <c r="P47" i="9"/>
  <c r="Q47" i="9" s="1"/>
  <c r="O47" i="9" s="1"/>
  <c r="S20" i="3"/>
  <c r="T20" i="3" s="1"/>
  <c r="N59" i="3" s="1"/>
  <c r="P59" i="3" s="1"/>
  <c r="Q59" i="3" s="1"/>
  <c r="AE8" i="5"/>
  <c r="DU10" i="10" s="1"/>
  <c r="S21" i="3"/>
  <c r="T21" i="3" s="1"/>
  <c r="N60" i="3" s="1"/>
  <c r="P61" i="3" s="1"/>
  <c r="Q61" i="3" s="1"/>
  <c r="J24" i="3"/>
  <c r="EA29" i="6"/>
  <c r="EF8" i="10"/>
  <c r="X62" i="9"/>
  <c r="X58" i="9"/>
  <c r="Y60" i="9"/>
  <c r="X59" i="9"/>
  <c r="X61" i="9"/>
  <c r="X63" i="9"/>
  <c r="Y63" i="9" s="1"/>
  <c r="Y64" i="9"/>
  <c r="W64" i="9" s="1"/>
  <c r="Y61" i="9"/>
  <c r="X60" i="9"/>
  <c r="X51" i="9"/>
  <c r="DU34" i="15"/>
  <c r="DU34" i="13"/>
  <c r="DU34" i="10"/>
  <c r="DU34" i="6"/>
  <c r="Q60" i="9"/>
  <c r="O60" i="9" s="1"/>
  <c r="DU10" i="13"/>
  <c r="AE26" i="5"/>
  <c r="EF9" i="10"/>
  <c r="L6" i="14"/>
  <c r="EF28" i="10"/>
  <c r="L25" i="14"/>
  <c r="EC23" i="10"/>
  <c r="K20" i="14"/>
  <c r="EQ40" i="13"/>
  <c r="M37" i="12"/>
  <c r="Y48" i="9"/>
  <c r="W48" i="9" s="1"/>
  <c r="N24" i="9"/>
  <c r="S24" i="9" s="1"/>
  <c r="T24" i="9" s="1"/>
  <c r="N63" i="9" s="1"/>
  <c r="P59" i="9"/>
  <c r="P61" i="9"/>
  <c r="AE6" i="5"/>
  <c r="AE16" i="5"/>
  <c r="AE24" i="5"/>
  <c r="Q58" i="9"/>
  <c r="O58" i="9" s="1"/>
  <c r="AE37" i="5"/>
  <c r="AE35" i="5"/>
  <c r="AE33" i="5"/>
  <c r="AE31" i="5"/>
  <c r="AE29" i="5"/>
  <c r="AE27" i="5"/>
  <c r="AE25" i="5"/>
  <c r="AE23" i="5"/>
  <c r="AE21" i="5"/>
  <c r="AE19" i="5"/>
  <c r="AE17" i="5"/>
  <c r="AE15" i="5"/>
  <c r="AE13" i="5"/>
  <c r="AE12" i="5"/>
  <c r="AE11" i="5"/>
  <c r="AE9" i="5"/>
  <c r="AE7" i="5"/>
  <c r="AE5" i="5"/>
  <c r="AE3" i="5"/>
  <c r="AE34" i="5"/>
  <c r="EC38" i="10"/>
  <c r="ED38" i="10" s="1"/>
  <c r="ER89" i="10" s="1"/>
  <c r="K35" i="14"/>
  <c r="EC26" i="10"/>
  <c r="K23" i="14"/>
  <c r="L17" i="14"/>
  <c r="EF20" i="10"/>
  <c r="Y46" i="9"/>
  <c r="W46" i="9" s="1"/>
  <c r="Q12" i="9"/>
  <c r="V50" i="9" s="1"/>
  <c r="P50" i="9"/>
  <c r="Q45" i="9"/>
  <c r="O45" i="9" s="1"/>
  <c r="X47" i="9"/>
  <c r="Y47" i="9" s="1"/>
  <c r="X49" i="9"/>
  <c r="Y49" i="9" s="1"/>
  <c r="AE10" i="5"/>
  <c r="AE20" i="5"/>
  <c r="AE28" i="5"/>
  <c r="AE36" i="5"/>
  <c r="DU20" i="15"/>
  <c r="DU20" i="13"/>
  <c r="DU20" i="10"/>
  <c r="DU20" i="6"/>
  <c r="EC24" i="10"/>
  <c r="K21" i="14"/>
  <c r="Q59" i="9"/>
  <c r="Q61" i="9"/>
  <c r="P62" i="9"/>
  <c r="Q62" i="9" s="1"/>
  <c r="Q25" i="9"/>
  <c r="N51" i="9" s="1"/>
  <c r="P51" i="9" s="1"/>
  <c r="Q51" i="9" s="1"/>
  <c r="Y45" i="9"/>
  <c r="W45" i="9" s="1"/>
  <c r="P46" i="9"/>
  <c r="Q46" i="9" s="1"/>
  <c r="P48" i="9"/>
  <c r="Q48" i="9" s="1"/>
  <c r="AE4" i="5"/>
  <c r="AE14" i="5"/>
  <c r="AE22" i="5"/>
  <c r="AE30" i="5"/>
  <c r="AE38" i="5"/>
  <c r="EQ28" i="10"/>
  <c r="M25" i="14"/>
  <c r="EC29" i="10"/>
  <c r="K26" i="14"/>
  <c r="EQ46" i="10"/>
  <c r="M43" i="14"/>
  <c r="EF25" i="10"/>
  <c r="L22" i="14"/>
  <c r="V13" i="5"/>
  <c r="Y37" i="5" s="1"/>
  <c r="Y20" i="5"/>
  <c r="Y22" i="5"/>
  <c r="Y30" i="5"/>
  <c r="Y32" i="5"/>
  <c r="Y38" i="5"/>
  <c r="EQ29" i="10"/>
  <c r="M26" i="14"/>
  <c r="EQ34" i="10"/>
  <c r="M31" i="14"/>
  <c r="EQ36" i="10"/>
  <c r="M33" i="14"/>
  <c r="EC21" i="10"/>
  <c r="K18" i="14"/>
  <c r="EF6" i="10"/>
  <c r="L3" i="14"/>
  <c r="EF23" i="10"/>
  <c r="L20" i="14"/>
  <c r="EC37" i="10"/>
  <c r="K34" i="14"/>
  <c r="EQ52" i="13"/>
  <c r="M49" i="12"/>
  <c r="EF10" i="6"/>
  <c r="EA21" i="6"/>
  <c r="EF21" i="6" s="1"/>
  <c r="EA25" i="6"/>
  <c r="EF38" i="6"/>
  <c r="EF39" i="6"/>
  <c r="DX40" i="6"/>
  <c r="EC40" i="6" s="1"/>
  <c r="ED40" i="6" s="1"/>
  <c r="ER91" i="6" s="1"/>
  <c r="Y15" i="5"/>
  <c r="Y17" i="5"/>
  <c r="Y19" i="5"/>
  <c r="Y21" i="5"/>
  <c r="Y23" i="5"/>
  <c r="Y25" i="5"/>
  <c r="Y27" i="5"/>
  <c r="Y29" i="5"/>
  <c r="Y31" i="5"/>
  <c r="Y33" i="5"/>
  <c r="Y35" i="5"/>
  <c r="DX34" i="10"/>
  <c r="EF26" i="10"/>
  <c r="L23" i="14"/>
  <c r="EC22" i="10"/>
  <c r="K19" i="14"/>
  <c r="EC32" i="10"/>
  <c r="K29" i="14"/>
  <c r="EQ11" i="10"/>
  <c r="M8" i="14"/>
  <c r="EC36" i="10"/>
  <c r="K33" i="14"/>
  <c r="EF19" i="10"/>
  <c r="L16" i="14"/>
  <c r="EQ19" i="10"/>
  <c r="M16" i="14"/>
  <c r="EC40" i="10"/>
  <c r="ED40" i="10" s="1"/>
  <c r="ER91" i="10" s="1"/>
  <c r="K37" i="14"/>
  <c r="N37" i="14" s="1"/>
  <c r="O37" i="14" s="1"/>
  <c r="EC25" i="10"/>
  <c r="K22" i="14"/>
  <c r="DX20" i="10"/>
  <c r="EC19" i="10"/>
  <c r="K16" i="14"/>
  <c r="EQ23" i="13"/>
  <c r="M20" i="12"/>
  <c r="EC30" i="10"/>
  <c r="K27" i="14"/>
  <c r="EF21" i="10"/>
  <c r="EG20" i="10" s="1"/>
  <c r="L18" i="14"/>
  <c r="EC33" i="10"/>
  <c r="K30" i="14"/>
  <c r="EQ33" i="10"/>
  <c r="M30" i="14"/>
  <c r="EC39" i="10"/>
  <c r="K36" i="14"/>
  <c r="EF34" i="10"/>
  <c r="EG26" i="10" s="1"/>
  <c r="L31" i="14"/>
  <c r="EC18" i="10"/>
  <c r="K15" i="14"/>
  <c r="EQ6" i="10"/>
  <c r="M3" i="14"/>
  <c r="EQ51" i="13"/>
  <c r="M48" i="12"/>
  <c r="EQ15" i="13"/>
  <c r="M12" i="12"/>
  <c r="EO25" i="15"/>
  <c r="EM26" i="15"/>
  <c r="EO26" i="15" s="1"/>
  <c r="EQ26" i="15" s="1"/>
  <c r="EO43" i="15"/>
  <c r="EQ43" i="15" s="1"/>
  <c r="EM44" i="15"/>
  <c r="EO44" i="15" s="1"/>
  <c r="EQ44" i="15" s="1"/>
  <c r="EM17" i="13"/>
  <c r="EO17" i="13" s="1"/>
  <c r="EO16" i="13"/>
  <c r="EO41" i="13"/>
  <c r="EM42" i="13"/>
  <c r="EM25" i="13"/>
  <c r="EO24" i="13"/>
  <c r="EM9" i="10"/>
  <c r="EO9" i="10" s="1"/>
  <c r="EO8" i="10"/>
  <c r="DX31" i="10"/>
  <c r="EO7" i="10"/>
  <c r="DX28" i="10"/>
  <c r="R7" i="3"/>
  <c r="Q8" i="3"/>
  <c r="V46" i="3" s="1"/>
  <c r="R8" i="3"/>
  <c r="R9" i="3"/>
  <c r="R11" i="3"/>
  <c r="EF25" i="6"/>
  <c r="DX26" i="6"/>
  <c r="EC26" i="6" s="1"/>
  <c r="EF32" i="6"/>
  <c r="EQ35" i="6"/>
  <c r="DX39" i="6"/>
  <c r="EC39" i="6" s="1"/>
  <c r="D13" i="3"/>
  <c r="EC13" i="6"/>
  <c r="EC15" i="6"/>
  <c r="EA19" i="6"/>
  <c r="EF19" i="6" s="1"/>
  <c r="EA23" i="6"/>
  <c r="DX25" i="6"/>
  <c r="EC25" i="6" s="1"/>
  <c r="EA30" i="6"/>
  <c r="EF30" i="6" s="1"/>
  <c r="EC35" i="6"/>
  <c r="EF11" i="6"/>
  <c r="EC21" i="6"/>
  <c r="L13" i="3"/>
  <c r="N13" i="3" s="1"/>
  <c r="EC12" i="6"/>
  <c r="EC16" i="6"/>
  <c r="EC17" i="6"/>
  <c r="EF18" i="6"/>
  <c r="EA22" i="6"/>
  <c r="EF22" i="6" s="1"/>
  <c r="EF26" i="6"/>
  <c r="DV29" i="6"/>
  <c r="EA33" i="6"/>
  <c r="EF33" i="6" s="1"/>
  <c r="DV34" i="6"/>
  <c r="EF36" i="6"/>
  <c r="DX38" i="6"/>
  <c r="EC38" i="6" s="1"/>
  <c r="EQ45" i="6"/>
  <c r="EO46" i="6"/>
  <c r="EQ46" i="6" s="1"/>
  <c r="L10" i="3"/>
  <c r="Q10" i="3" s="1"/>
  <c r="V48" i="3" s="1"/>
  <c r="R13" i="3"/>
  <c r="EF12" i="6"/>
  <c r="EF17" i="6"/>
  <c r="EF27" i="6"/>
  <c r="EA28" i="6"/>
  <c r="EF28" i="6" s="1"/>
  <c r="EF29" i="6"/>
  <c r="EA31" i="6"/>
  <c r="EQ32" i="6"/>
  <c r="EF34" i="6"/>
  <c r="EF37" i="6"/>
  <c r="EQ53" i="6"/>
  <c r="ER53" i="6" s="1"/>
  <c r="EC27" i="6"/>
  <c r="DV28" i="6"/>
  <c r="DX28" i="6" s="1"/>
  <c r="EC28" i="6" s="1"/>
  <c r="EO38" i="6"/>
  <c r="EQ38" i="6" s="1"/>
  <c r="EF40" i="6"/>
  <c r="EG40" i="6" s="1"/>
  <c r="EN40" i="6"/>
  <c r="EN41" i="6" s="1"/>
  <c r="EN42" i="6" s="1"/>
  <c r="EN43" i="6" s="1"/>
  <c r="EN44" i="6" s="1"/>
  <c r="EO39" i="6"/>
  <c r="EQ39" i="6" s="1"/>
  <c r="EO47" i="6"/>
  <c r="EQ47" i="6" s="1"/>
  <c r="EM48" i="6"/>
  <c r="EO12" i="6"/>
  <c r="EQ12" i="6" s="1"/>
  <c r="EC24" i="6"/>
  <c r="EF16" i="6"/>
  <c r="EC20" i="6"/>
  <c r="EN21" i="6"/>
  <c r="EN22" i="6" s="1"/>
  <c r="EN23" i="6" s="1"/>
  <c r="EN24" i="6" s="1"/>
  <c r="EN25" i="6" s="1"/>
  <c r="EN26" i="6" s="1"/>
  <c r="EO20" i="6"/>
  <c r="EQ20" i="6" s="1"/>
  <c r="EF14" i="6"/>
  <c r="EF15" i="6"/>
  <c r="EO29" i="6"/>
  <c r="EQ29" i="6" s="1"/>
  <c r="EQ10" i="6"/>
  <c r="EQ18" i="6"/>
  <c r="EO28" i="6"/>
  <c r="EQ28" i="6" s="1"/>
  <c r="EM30" i="6"/>
  <c r="DX37" i="6"/>
  <c r="EC37" i="6" s="1"/>
  <c r="R12" i="3"/>
  <c r="EO11" i="6"/>
  <c r="EQ11" i="6" s="1"/>
  <c r="EM13" i="6"/>
  <c r="EM23" i="6"/>
  <c r="EO41" i="6"/>
  <c r="EQ41" i="6" s="1"/>
  <c r="EC36" i="6"/>
  <c r="EC10" i="6"/>
  <c r="EF13" i="6"/>
  <c r="EC14" i="6"/>
  <c r="EC18" i="6"/>
  <c r="DX19" i="6"/>
  <c r="EC19" i="6" s="1"/>
  <c r="EO19" i="6"/>
  <c r="EQ19" i="6" s="1"/>
  <c r="EA20" i="6"/>
  <c r="EF20" i="6" s="1"/>
  <c r="EC22" i="6"/>
  <c r="DX23" i="6"/>
  <c r="EC23" i="6" s="1"/>
  <c r="EF23" i="6"/>
  <c r="EA24" i="6"/>
  <c r="EF24" i="6" s="1"/>
  <c r="EF31" i="6"/>
  <c r="DW29" i="6"/>
  <c r="DW33" i="6"/>
  <c r="DX33" i="6" s="1"/>
  <c r="EC33" i="6" s="1"/>
  <c r="DW30" i="6"/>
  <c r="DW31" i="6"/>
  <c r="DX31" i="6" s="1"/>
  <c r="EC31" i="6" s="1"/>
  <c r="EO33" i="6"/>
  <c r="EQ33" i="6" s="1"/>
  <c r="EM34" i="6"/>
  <c r="EO34" i="6" s="1"/>
  <c r="EQ34" i="6" s="1"/>
  <c r="DW34" i="6"/>
  <c r="EM42" i="6"/>
  <c r="EO36" i="6"/>
  <c r="EQ36" i="6" s="1"/>
  <c r="D12" i="3"/>
  <c r="F12" i="3" s="1"/>
  <c r="EQ27" i="6"/>
  <c r="DX32" i="6"/>
  <c r="EC32" i="6" s="1"/>
  <c r="DV30" i="6"/>
  <c r="EF35" i="6"/>
  <c r="EO37" i="6"/>
  <c r="EQ37" i="6" s="1"/>
  <c r="F7" i="3"/>
  <c r="F11" i="3"/>
  <c r="N9" i="3"/>
  <c r="N7" i="3"/>
  <c r="N11" i="3"/>
  <c r="N12" i="3"/>
  <c r="N8" i="3"/>
  <c r="Q11" i="3"/>
  <c r="V49" i="3" s="1"/>
  <c r="Q7" i="3"/>
  <c r="V45" i="3" s="1"/>
  <c r="X45" i="3" s="1"/>
  <c r="N25" i="3"/>
  <c r="S25" i="3" s="1"/>
  <c r="T25" i="3" s="1"/>
  <c r="N64" i="3" s="1"/>
  <c r="E45" i="3"/>
  <c r="E42" i="3"/>
  <c r="E46" i="3"/>
  <c r="E42" i="9"/>
  <c r="E45" i="9"/>
  <c r="E44" i="3"/>
  <c r="E47" i="3"/>
  <c r="E44" i="9"/>
  <c r="E46" i="9"/>
  <c r="E43" i="9"/>
  <c r="H33" i="3"/>
  <c r="H34" i="3" s="1"/>
  <c r="H33" i="9"/>
  <c r="H34" i="9" s="1"/>
  <c r="EG32" i="10"/>
  <c r="EG39" i="10"/>
  <c r="EG37" i="10"/>
  <c r="ED35" i="10"/>
  <c r="EG35" i="10"/>
  <c r="EM38" i="10"/>
  <c r="EO37" i="10"/>
  <c r="EG36" i="10"/>
  <c r="EG38" i="10"/>
  <c r="EO30" i="10"/>
  <c r="EM31" i="10"/>
  <c r="EO31" i="10" s="1"/>
  <c r="EG22" i="10"/>
  <c r="EM13" i="10"/>
  <c r="EO12" i="10"/>
  <c r="EG27" i="10"/>
  <c r="EM21" i="10"/>
  <c r="EO20" i="10"/>
  <c r="EO47" i="10"/>
  <c r="EM48" i="10"/>
  <c r="H40" i="3"/>
  <c r="I38" i="9"/>
  <c r="I38" i="3"/>
  <c r="P45" i="3"/>
  <c r="F13" i="3"/>
  <c r="F8" i="3"/>
  <c r="Q9" i="3"/>
  <c r="V47" i="3" s="1"/>
  <c r="R10" i="3"/>
  <c r="P50" i="3"/>
  <c r="P46" i="3"/>
  <c r="P58" i="3"/>
  <c r="Q58" i="3" s="1"/>
  <c r="F10" i="3"/>
  <c r="F9" i="3"/>
  <c r="P62" i="3"/>
  <c r="P51" i="3"/>
  <c r="P49" i="3"/>
  <c r="H42" i="3"/>
  <c r="H42" i="9"/>
  <c r="P48" i="3"/>
  <c r="P47" i="3"/>
  <c r="EG7" i="10" l="1"/>
  <c r="Y36" i="5"/>
  <c r="Y28" i="5"/>
  <c r="Y18" i="5"/>
  <c r="DT20" i="6" s="1"/>
  <c r="EG31" i="10"/>
  <c r="EG33" i="10"/>
  <c r="EG18" i="10"/>
  <c r="EG30" i="10"/>
  <c r="EG21" i="10"/>
  <c r="ED39" i="10"/>
  <c r="Y34" i="5"/>
  <c r="Y26" i="5"/>
  <c r="DT28" i="15" s="1"/>
  <c r="Y14" i="5"/>
  <c r="EG6" i="10"/>
  <c r="EG34" i="10"/>
  <c r="EG24" i="10"/>
  <c r="EG25" i="10"/>
  <c r="EG23" i="10"/>
  <c r="EG29" i="10"/>
  <c r="EG28" i="10"/>
  <c r="EG36" i="6"/>
  <c r="P60" i="3"/>
  <c r="DU10" i="15"/>
  <c r="P64" i="3"/>
  <c r="Q64" i="3" s="1"/>
  <c r="DU10" i="6"/>
  <c r="EG10" i="10"/>
  <c r="G51" i="3"/>
  <c r="ED39" i="6"/>
  <c r="ED38" i="6"/>
  <c r="EQ17" i="13"/>
  <c r="M14" i="12"/>
  <c r="EC34" i="10"/>
  <c r="ED34" i="10" s="1"/>
  <c r="K31" i="14"/>
  <c r="DT20" i="10"/>
  <c r="DU40" i="15"/>
  <c r="DU40" i="13"/>
  <c r="DU40" i="10"/>
  <c r="DU40" i="6"/>
  <c r="DU7" i="15"/>
  <c r="DU7" i="13"/>
  <c r="DU7" i="10"/>
  <c r="DU7" i="6"/>
  <c r="DU29" i="15"/>
  <c r="DU29" i="13"/>
  <c r="DU29" i="10"/>
  <c r="DU29" i="6"/>
  <c r="EG12" i="10"/>
  <c r="ER90" i="10"/>
  <c r="EG17" i="10"/>
  <c r="EG13" i="10"/>
  <c r="EG16" i="10"/>
  <c r="EQ47" i="10"/>
  <c r="M44" i="14"/>
  <c r="EQ12" i="10"/>
  <c r="M9" i="14"/>
  <c r="EQ31" i="10"/>
  <c r="M28" i="14"/>
  <c r="EG15" i="10"/>
  <c r="ED37" i="10"/>
  <c r="EG8" i="10"/>
  <c r="EC28" i="10"/>
  <c r="ED12" i="10" s="1"/>
  <c r="ER63" i="10" s="1"/>
  <c r="K25" i="14"/>
  <c r="EC31" i="10"/>
  <c r="K28" i="14"/>
  <c r="EQ24" i="13"/>
  <c r="M21" i="12"/>
  <c r="EQ16" i="13"/>
  <c r="M13" i="12"/>
  <c r="DT33" i="15"/>
  <c r="DT33" i="13"/>
  <c r="DT33" i="10"/>
  <c r="DT33" i="6"/>
  <c r="DT25" i="15"/>
  <c r="DT25" i="13"/>
  <c r="DT25" i="10"/>
  <c r="DT25" i="6"/>
  <c r="DT17" i="15"/>
  <c r="DT17" i="13"/>
  <c r="DT17" i="10"/>
  <c r="DT17" i="6"/>
  <c r="DT38" i="15"/>
  <c r="DT38" i="13"/>
  <c r="DT38" i="10"/>
  <c r="DT38" i="6"/>
  <c r="DT30" i="15"/>
  <c r="DT30" i="13"/>
  <c r="DT30" i="10"/>
  <c r="DT30" i="6"/>
  <c r="DT22" i="15"/>
  <c r="DT22" i="13"/>
  <c r="DT22" i="10"/>
  <c r="DT22" i="6"/>
  <c r="Y11" i="5"/>
  <c r="Y9" i="5"/>
  <c r="Y7" i="5"/>
  <c r="Y5" i="5"/>
  <c r="Y3" i="5"/>
  <c r="Y10" i="5"/>
  <c r="Y8" i="5"/>
  <c r="Y6" i="5"/>
  <c r="Y4" i="5"/>
  <c r="Y13" i="5"/>
  <c r="Y12" i="5"/>
  <c r="DU16" i="15"/>
  <c r="DU16" i="13"/>
  <c r="DU16" i="10"/>
  <c r="DU16" i="6"/>
  <c r="O46" i="9"/>
  <c r="DU38" i="15"/>
  <c r="DU38" i="13"/>
  <c r="DU38" i="10"/>
  <c r="DU38" i="6"/>
  <c r="W49" i="9"/>
  <c r="DU5" i="15"/>
  <c r="DU5" i="13"/>
  <c r="DU5" i="10"/>
  <c r="DU5" i="6"/>
  <c r="DU13" i="15"/>
  <c r="DU13" i="13"/>
  <c r="DU13" i="10"/>
  <c r="DU13" i="6"/>
  <c r="DU19" i="15"/>
  <c r="DU19" i="13"/>
  <c r="DU19" i="10"/>
  <c r="DU19" i="6"/>
  <c r="DU27" i="15"/>
  <c r="DU27" i="13"/>
  <c r="DU27" i="10"/>
  <c r="DU27" i="6"/>
  <c r="DU35" i="15"/>
  <c r="DU35" i="13"/>
  <c r="DU35" i="10"/>
  <c r="DU35" i="6"/>
  <c r="DU18" i="15"/>
  <c r="DU18" i="13"/>
  <c r="DU18" i="10"/>
  <c r="DU18" i="6"/>
  <c r="P63" i="9"/>
  <c r="EQ25" i="15"/>
  <c r="FC6" i="15"/>
  <c r="FA6" i="15"/>
  <c r="DT31" i="15"/>
  <c r="DT31" i="13"/>
  <c r="DT31" i="10"/>
  <c r="DT31" i="6"/>
  <c r="DT36" i="15"/>
  <c r="DT36" i="13"/>
  <c r="DT36" i="10"/>
  <c r="DT36" i="6"/>
  <c r="DU30" i="15"/>
  <c r="DU30" i="13"/>
  <c r="DU30" i="10"/>
  <c r="DU30" i="6"/>
  <c r="DU14" i="15"/>
  <c r="DU14" i="13"/>
  <c r="DU14" i="10"/>
  <c r="DU14" i="6"/>
  <c r="DU37" i="15"/>
  <c r="DU37" i="13"/>
  <c r="DU37" i="10"/>
  <c r="DU37" i="6"/>
  <c r="DU8" i="15"/>
  <c r="DU8" i="13"/>
  <c r="DU8" i="10"/>
  <c r="DU8" i="6"/>
  <c r="EG11" i="10"/>
  <c r="EG14" i="10"/>
  <c r="EQ37" i="10"/>
  <c r="M34" i="14"/>
  <c r="ED36" i="10"/>
  <c r="ER87" i="10" s="1"/>
  <c r="EG9" i="10"/>
  <c r="DX29" i="6"/>
  <c r="EC29" i="6" s="1"/>
  <c r="EQ7" i="10"/>
  <c r="M4" i="14"/>
  <c r="EQ9" i="10"/>
  <c r="M6" i="14"/>
  <c r="EC20" i="10"/>
  <c r="K17" i="14"/>
  <c r="DT37" i="15"/>
  <c r="DT37" i="13"/>
  <c r="DT37" i="10"/>
  <c r="DT37" i="6"/>
  <c r="DT29" i="15"/>
  <c r="DT29" i="13"/>
  <c r="DT29" i="10"/>
  <c r="DT29" i="6"/>
  <c r="DT21" i="15"/>
  <c r="DT21" i="13"/>
  <c r="DT21" i="10"/>
  <c r="DT21" i="6"/>
  <c r="DT34" i="15"/>
  <c r="DT34" i="13"/>
  <c r="DT34" i="10"/>
  <c r="DT34" i="6"/>
  <c r="Y24" i="5"/>
  <c r="Y16" i="5"/>
  <c r="DU32" i="15"/>
  <c r="DU32" i="13"/>
  <c r="DU32" i="10"/>
  <c r="DU32" i="6"/>
  <c r="DU6" i="15"/>
  <c r="DU6" i="13"/>
  <c r="DU6" i="10"/>
  <c r="DU6" i="6"/>
  <c r="O51" i="9"/>
  <c r="DU22" i="15"/>
  <c r="DU22" i="13"/>
  <c r="DU22" i="10"/>
  <c r="DU22" i="6"/>
  <c r="X50" i="9"/>
  <c r="Y51" i="9"/>
  <c r="DU9" i="15"/>
  <c r="DU9" i="13"/>
  <c r="DU9" i="10"/>
  <c r="DU9" i="6"/>
  <c r="DU15" i="15"/>
  <c r="DU15" i="13"/>
  <c r="DU15" i="10"/>
  <c r="DU15" i="6"/>
  <c r="DU23" i="15"/>
  <c r="DU23" i="13"/>
  <c r="DU23" i="10"/>
  <c r="DU23" i="6"/>
  <c r="DU31" i="15"/>
  <c r="DU31" i="13"/>
  <c r="DU31" i="10"/>
  <c r="DU31" i="6"/>
  <c r="DU39" i="15"/>
  <c r="DU39" i="13"/>
  <c r="DU39" i="10"/>
  <c r="DU39" i="6"/>
  <c r="O61" i="9"/>
  <c r="DU28" i="15"/>
  <c r="DU28" i="13"/>
  <c r="DU28" i="10"/>
  <c r="DU28" i="6"/>
  <c r="Y62" i="9"/>
  <c r="W62" i="9" s="1"/>
  <c r="Y58" i="9"/>
  <c r="W58" i="9" s="1"/>
  <c r="EQ20" i="10"/>
  <c r="M17" i="14"/>
  <c r="EQ30" i="10"/>
  <c r="M27" i="14"/>
  <c r="EQ8" i="10"/>
  <c r="M5" i="14"/>
  <c r="DT23" i="15"/>
  <c r="DT23" i="13"/>
  <c r="DT23" i="10"/>
  <c r="DT23" i="6"/>
  <c r="DT28" i="6"/>
  <c r="DT39" i="15"/>
  <c r="DT39" i="13"/>
  <c r="DT39" i="10"/>
  <c r="DT39" i="6"/>
  <c r="W47" i="9"/>
  <c r="DU21" i="15"/>
  <c r="DU21" i="13"/>
  <c r="DU21" i="10"/>
  <c r="DU21" i="6"/>
  <c r="W51" i="9"/>
  <c r="W63" i="9"/>
  <c r="EG19" i="10"/>
  <c r="EG5" i="10"/>
  <c r="EQ41" i="13"/>
  <c r="M38" i="12"/>
  <c r="DT35" i="15"/>
  <c r="DT35" i="13"/>
  <c r="DT35" i="10"/>
  <c r="DT35" i="6"/>
  <c r="DT27" i="15"/>
  <c r="DT27" i="13"/>
  <c r="DT27" i="10"/>
  <c r="DT27" i="6"/>
  <c r="DT19" i="15"/>
  <c r="DT19" i="13"/>
  <c r="DT19" i="10"/>
  <c r="DT19" i="6"/>
  <c r="DT40" i="15"/>
  <c r="DT40" i="13"/>
  <c r="DT40" i="10"/>
  <c r="DT40" i="6"/>
  <c r="DT32" i="15"/>
  <c r="DT32" i="13"/>
  <c r="DT32" i="10"/>
  <c r="DT32" i="6"/>
  <c r="DT24" i="15"/>
  <c r="DT24" i="13"/>
  <c r="DT24" i="10"/>
  <c r="DT24" i="6"/>
  <c r="DT16" i="15"/>
  <c r="DT16" i="13"/>
  <c r="DT16" i="10"/>
  <c r="DT16" i="6"/>
  <c r="DU24" i="15"/>
  <c r="DU24" i="13"/>
  <c r="DU24" i="10"/>
  <c r="DU24" i="6"/>
  <c r="O48" i="9"/>
  <c r="O62" i="9"/>
  <c r="DU12" i="15"/>
  <c r="DU12" i="13"/>
  <c r="DU12" i="10"/>
  <c r="DU12" i="6"/>
  <c r="DU36" i="15"/>
  <c r="DU36" i="13"/>
  <c r="DU36" i="10"/>
  <c r="DU36" i="6"/>
  <c r="DU11" i="15"/>
  <c r="DU11" i="13"/>
  <c r="DU11" i="10"/>
  <c r="DU11" i="6"/>
  <c r="DU17" i="15"/>
  <c r="DU17" i="13"/>
  <c r="DU17" i="10"/>
  <c r="DU17" i="6"/>
  <c r="DU25" i="15"/>
  <c r="DU25" i="13"/>
  <c r="DU25" i="10"/>
  <c r="DU25" i="6"/>
  <c r="DU33" i="15"/>
  <c r="DU33" i="13"/>
  <c r="DU33" i="10"/>
  <c r="DU33" i="6"/>
  <c r="Q50" i="9"/>
  <c r="O50" i="9" s="1"/>
  <c r="DU26" i="15"/>
  <c r="DU26" i="13"/>
  <c r="DU26" i="10"/>
  <c r="DU26" i="6"/>
  <c r="O59" i="9"/>
  <c r="W60" i="9"/>
  <c r="P64" i="9"/>
  <c r="W61" i="9"/>
  <c r="Y59" i="9"/>
  <c r="W59" i="9" s="1"/>
  <c r="FN6" i="15"/>
  <c r="P15" i="4"/>
  <c r="EM26" i="13"/>
  <c r="EO26" i="13" s="1"/>
  <c r="EO25" i="13"/>
  <c r="EM43" i="13"/>
  <c r="EO42" i="13"/>
  <c r="ED18" i="10"/>
  <c r="ER69" i="10" s="1"/>
  <c r="S11" i="3"/>
  <c r="T11" i="3" s="1"/>
  <c r="V62" i="3" s="1"/>
  <c r="S7" i="3"/>
  <c r="T7" i="3" s="1"/>
  <c r="V58" i="3" s="1"/>
  <c r="X58" i="3" s="1"/>
  <c r="Y58" i="3" s="1"/>
  <c r="Q12" i="3"/>
  <c r="V50" i="3" s="1"/>
  <c r="X50" i="3" s="1"/>
  <c r="Q13" i="3"/>
  <c r="V51" i="3" s="1"/>
  <c r="N10" i="3"/>
  <c r="X49" i="3"/>
  <c r="Y49" i="3" s="1"/>
  <c r="W49" i="3" s="1"/>
  <c r="DX34" i="6"/>
  <c r="EC34" i="6" s="1"/>
  <c r="ED34" i="6" s="1"/>
  <c r="X48" i="3"/>
  <c r="Y48" i="3" s="1"/>
  <c r="DX30" i="6"/>
  <c r="EC30" i="6" s="1"/>
  <c r="EO40" i="6"/>
  <c r="EQ40" i="6" s="1"/>
  <c r="EG21" i="6"/>
  <c r="EG28" i="6"/>
  <c r="EG27" i="6"/>
  <c r="EG32" i="6"/>
  <c r="EG29" i="6"/>
  <c r="EG33" i="6"/>
  <c r="EG19" i="6"/>
  <c r="EG14" i="6"/>
  <c r="EG16" i="6"/>
  <c r="EG37" i="6"/>
  <c r="EG39" i="6"/>
  <c r="EG35" i="6"/>
  <c r="EG18" i="6"/>
  <c r="ED37" i="6"/>
  <c r="ER88" i="6" s="1"/>
  <c r="EG38" i="6"/>
  <c r="ED31" i="6"/>
  <c r="EG13" i="6"/>
  <c r="EG17" i="6"/>
  <c r="ED35" i="6"/>
  <c r="ER86" i="6" s="1"/>
  <c r="EG10" i="6"/>
  <c r="EO13" i="6"/>
  <c r="EQ13" i="6" s="1"/>
  <c r="EM14" i="6"/>
  <c r="EG25" i="6"/>
  <c r="EG30" i="6"/>
  <c r="EG23" i="6"/>
  <c r="ED36" i="6"/>
  <c r="ER87" i="6" s="1"/>
  <c r="EM24" i="6"/>
  <c r="EO23" i="6"/>
  <c r="EQ23" i="6" s="1"/>
  <c r="EG15" i="6"/>
  <c r="EG26" i="6"/>
  <c r="EG12" i="6"/>
  <c r="EM43" i="6"/>
  <c r="EO42" i="6"/>
  <c r="EQ42" i="6" s="1"/>
  <c r="EM49" i="6"/>
  <c r="EO48" i="6"/>
  <c r="EQ48" i="6" s="1"/>
  <c r="EG22" i="6"/>
  <c r="EG31" i="6"/>
  <c r="EG24" i="6"/>
  <c r="EG20" i="6"/>
  <c r="EO30" i="6"/>
  <c r="EQ30" i="6" s="1"/>
  <c r="EM31" i="6"/>
  <c r="EO31" i="6" s="1"/>
  <c r="EQ31" i="6" s="1"/>
  <c r="EO22" i="6"/>
  <c r="EQ22" i="6" s="1"/>
  <c r="EG34" i="6"/>
  <c r="EO21" i="6"/>
  <c r="EQ21" i="6" s="1"/>
  <c r="EG11" i="6"/>
  <c r="S9" i="3"/>
  <c r="T9" i="3" s="1"/>
  <c r="V60" i="3" s="1"/>
  <c r="S8" i="3"/>
  <c r="T8" i="3" s="1"/>
  <c r="V59" i="3" s="1"/>
  <c r="X46" i="3"/>
  <c r="Y46" i="3" s="1"/>
  <c r="S12" i="3"/>
  <c r="T12" i="3" s="1"/>
  <c r="V63" i="3" s="1"/>
  <c r="H43" i="9"/>
  <c r="H43" i="3"/>
  <c r="G35" i="3" s="1"/>
  <c r="ER85" i="10"/>
  <c r="ER86" i="10"/>
  <c r="ER88" i="10"/>
  <c r="EO13" i="10"/>
  <c r="EM14" i="10"/>
  <c r="EO21" i="10"/>
  <c r="EM22" i="10"/>
  <c r="EO38" i="10"/>
  <c r="EM39" i="10"/>
  <c r="EM49" i="10"/>
  <c r="EO48" i="10"/>
  <c r="O59" i="3"/>
  <c r="Q49" i="3"/>
  <c r="O49" i="3" s="1"/>
  <c r="Q46" i="3"/>
  <c r="Q50" i="3"/>
  <c r="O50" i="3" s="1"/>
  <c r="Q45" i="3"/>
  <c r="O45" i="3" s="1"/>
  <c r="Q51" i="3"/>
  <c r="X47" i="3"/>
  <c r="S10" i="3"/>
  <c r="T10" i="3" s="1"/>
  <c r="V61" i="3" s="1"/>
  <c r="S13" i="3"/>
  <c r="T13" i="3" s="1"/>
  <c r="V64" i="3" s="1"/>
  <c r="O61" i="3"/>
  <c r="Q62" i="3"/>
  <c r="Q48" i="3"/>
  <c r="O58" i="3"/>
  <c r="Q60" i="3"/>
  <c r="H41" i="9"/>
  <c r="G51" i="9"/>
  <c r="Y45" i="3"/>
  <c r="H41" i="3"/>
  <c r="Q47" i="3"/>
  <c r="Q63" i="3"/>
  <c r="ED16" i="6" l="1"/>
  <c r="ER67" i="6" s="1"/>
  <c r="ED29" i="10"/>
  <c r="ER80" i="10" s="1"/>
  <c r="DT28" i="10"/>
  <c r="DT20" i="13"/>
  <c r="ED31" i="10"/>
  <c r="ER82" i="10" s="1"/>
  <c r="ED11" i="10"/>
  <c r="ER62" i="10" s="1"/>
  <c r="DT28" i="13"/>
  <c r="DT20" i="15"/>
  <c r="O64" i="3"/>
  <c r="ED30" i="10"/>
  <c r="ER81" i="10" s="1"/>
  <c r="ED7" i="10"/>
  <c r="ER58" i="10" s="1"/>
  <c r="ED26" i="6"/>
  <c r="ER77" i="6" s="1"/>
  <c r="ED27" i="10"/>
  <c r="ER78" i="10" s="1"/>
  <c r="ED20" i="10"/>
  <c r="ER71" i="10" s="1"/>
  <c r="ED24" i="10"/>
  <c r="ER75" i="10" s="1"/>
  <c r="ED10" i="10"/>
  <c r="ER61" i="10" s="1"/>
  <c r="ED19" i="10"/>
  <c r="ER70" i="10" s="1"/>
  <c r="ER89" i="6"/>
  <c r="ED12" i="6"/>
  <c r="ER63" i="6" s="1"/>
  <c r="ED18" i="6"/>
  <c r="ER69" i="6" s="1"/>
  <c r="ED9" i="10"/>
  <c r="ER60" i="10" s="1"/>
  <c r="ED25" i="10"/>
  <c r="ER76" i="10" s="1"/>
  <c r="ED8" i="10"/>
  <c r="ER59" i="10" s="1"/>
  <c r="ED23" i="10"/>
  <c r="ER74" i="10" s="1"/>
  <c r="ED16" i="10"/>
  <c r="ER67" i="10" s="1"/>
  <c r="ED17" i="10"/>
  <c r="ER68" i="10" s="1"/>
  <c r="ED33" i="10"/>
  <c r="ER84" i="10" s="1"/>
  <c r="ER90" i="6"/>
  <c r="ED13" i="6"/>
  <c r="ER64" i="6" s="1"/>
  <c r="ER82" i="6"/>
  <c r="ER85" i="6"/>
  <c r="ED6" i="10"/>
  <c r="ER57" i="10" s="1"/>
  <c r="ED21" i="10"/>
  <c r="ER72" i="10" s="1"/>
  <c r="ED15" i="10"/>
  <c r="ER66" i="10" s="1"/>
  <c r="ED14" i="10"/>
  <c r="ER65" i="10" s="1"/>
  <c r="ED28" i="10"/>
  <c r="ER79" i="10" s="1"/>
  <c r="DT7" i="15"/>
  <c r="DT7" i="13"/>
  <c r="DT7" i="10"/>
  <c r="DT7" i="6"/>
  <c r="EQ48" i="10"/>
  <c r="M45" i="14"/>
  <c r="EQ21" i="10"/>
  <c r="M18" i="14"/>
  <c r="ED32" i="6"/>
  <c r="ER83" i="6" s="1"/>
  <c r="ED33" i="6"/>
  <c r="ER84" i="6" s="1"/>
  <c r="ED21" i="6"/>
  <c r="ER72" i="6" s="1"/>
  <c r="EQ42" i="13"/>
  <c r="M39" i="12"/>
  <c r="DT26" i="15"/>
  <c r="DT26" i="13"/>
  <c r="DT26" i="10"/>
  <c r="DT26" i="6"/>
  <c r="DT6" i="15"/>
  <c r="DT6" i="13"/>
  <c r="DT6" i="10"/>
  <c r="DT6" i="6"/>
  <c r="DT5" i="15"/>
  <c r="DT5" i="13"/>
  <c r="DT5" i="10"/>
  <c r="DT5" i="6"/>
  <c r="DT13" i="15"/>
  <c r="DT13" i="13"/>
  <c r="DT13" i="10"/>
  <c r="DT13" i="6"/>
  <c r="ED5" i="10"/>
  <c r="ER56" i="10" s="1"/>
  <c r="ED26" i="10"/>
  <c r="ER77" i="10" s="1"/>
  <c r="Y50" i="9"/>
  <c r="W50" i="9" s="1"/>
  <c r="DT8" i="15"/>
  <c r="DT8" i="13"/>
  <c r="DT8" i="10"/>
  <c r="DT8" i="6"/>
  <c r="EQ38" i="10"/>
  <c r="M35" i="14"/>
  <c r="EQ13" i="10"/>
  <c r="M10" i="14"/>
  <c r="EQ25" i="13"/>
  <c r="M22" i="12"/>
  <c r="Q64" i="9"/>
  <c r="O64" i="9" s="1"/>
  <c r="DT14" i="15"/>
  <c r="DT14" i="13"/>
  <c r="DT14" i="10"/>
  <c r="DT14" i="6"/>
  <c r="DT10" i="15"/>
  <c r="DT10" i="13"/>
  <c r="DT10" i="10"/>
  <c r="DT10" i="6"/>
  <c r="DT9" i="15"/>
  <c r="DT9" i="13"/>
  <c r="DT9" i="10"/>
  <c r="DT9" i="6"/>
  <c r="ED13" i="10"/>
  <c r="ER64" i="10" s="1"/>
  <c r="EQ26" i="13"/>
  <c r="M23" i="12"/>
  <c r="DT18" i="15"/>
  <c r="DT18" i="13"/>
  <c r="DT18" i="10"/>
  <c r="DT18" i="6"/>
  <c r="Q63" i="9"/>
  <c r="O63" i="9" s="1"/>
  <c r="DT15" i="15"/>
  <c r="DT15" i="13"/>
  <c r="DT15" i="10"/>
  <c r="DT15" i="6"/>
  <c r="DT12" i="15"/>
  <c r="DT12" i="13"/>
  <c r="DT12" i="10"/>
  <c r="DT12" i="6"/>
  <c r="DT11" i="15"/>
  <c r="DT11" i="13"/>
  <c r="DT11" i="10"/>
  <c r="DT11" i="6"/>
  <c r="ED22" i="10"/>
  <c r="ER73" i="10" s="1"/>
  <c r="ED32" i="10"/>
  <c r="ER83" i="10" s="1"/>
  <c r="G46" i="14"/>
  <c r="I46" i="14" s="1"/>
  <c r="G39" i="14"/>
  <c r="I39" i="14" s="1"/>
  <c r="G36" i="14"/>
  <c r="I36" i="14" s="1"/>
  <c r="G33" i="14"/>
  <c r="I33" i="14" s="1"/>
  <c r="T33" i="14" s="1"/>
  <c r="G31" i="14"/>
  <c r="I31" i="14" s="1"/>
  <c r="T31" i="14" s="1"/>
  <c r="G29" i="14"/>
  <c r="I29" i="14" s="1"/>
  <c r="T29" i="14" s="1"/>
  <c r="G26" i="14"/>
  <c r="I26" i="14" s="1"/>
  <c r="T26" i="14" s="1"/>
  <c r="G24" i="14"/>
  <c r="I24" i="14" s="1"/>
  <c r="T24" i="14" s="1"/>
  <c r="G21" i="14"/>
  <c r="I21" i="14" s="1"/>
  <c r="G18" i="14"/>
  <c r="I18" i="14" s="1"/>
  <c r="G13" i="14"/>
  <c r="I13" i="14" s="1"/>
  <c r="G11" i="14"/>
  <c r="I11" i="14" s="1"/>
  <c r="G8" i="14"/>
  <c r="I8" i="14" s="1"/>
  <c r="T8" i="14" s="1"/>
  <c r="E42" i="15"/>
  <c r="G50" i="14"/>
  <c r="I50" i="14" s="1"/>
  <c r="G48" i="14"/>
  <c r="I48" i="14" s="1"/>
  <c r="G43" i="14"/>
  <c r="I43" i="14" s="1"/>
  <c r="T43" i="14" s="1"/>
  <c r="G45" i="14"/>
  <c r="I45" i="14" s="1"/>
  <c r="G41" i="14"/>
  <c r="I41" i="14" s="1"/>
  <c r="G37" i="14"/>
  <c r="I37" i="14" s="1"/>
  <c r="G34" i="14"/>
  <c r="I34" i="14" s="1"/>
  <c r="T34" i="14" s="1"/>
  <c r="G27" i="14"/>
  <c r="I27" i="14" s="1"/>
  <c r="T27" i="14" s="1"/>
  <c r="G20" i="14"/>
  <c r="I20" i="14" s="1"/>
  <c r="G14" i="14"/>
  <c r="I14" i="14" s="1"/>
  <c r="G10" i="14"/>
  <c r="I10" i="14" s="1"/>
  <c r="G4" i="14"/>
  <c r="I4" i="14" s="1"/>
  <c r="T4" i="14" s="1"/>
  <c r="G49" i="14"/>
  <c r="I49" i="14" s="1"/>
  <c r="G44" i="14"/>
  <c r="I44" i="14" s="1"/>
  <c r="T44" i="14" s="1"/>
  <c r="G30" i="14"/>
  <c r="I30" i="14" s="1"/>
  <c r="T30" i="14" s="1"/>
  <c r="G23" i="14"/>
  <c r="I23" i="14" s="1"/>
  <c r="G16" i="14"/>
  <c r="I16" i="14" s="1"/>
  <c r="T16" i="14" s="1"/>
  <c r="G9" i="14"/>
  <c r="I9" i="14" s="1"/>
  <c r="T9" i="14" s="1"/>
  <c r="G7" i="14"/>
  <c r="I7" i="14" s="1"/>
  <c r="T7" i="14" s="1"/>
  <c r="G3" i="14"/>
  <c r="I3" i="14" s="1"/>
  <c r="T3" i="14" s="1"/>
  <c r="G40" i="14"/>
  <c r="I40" i="14" s="1"/>
  <c r="G35" i="14"/>
  <c r="I35" i="14" s="1"/>
  <c r="T35" i="14" s="1"/>
  <c r="G32" i="14"/>
  <c r="I32" i="14" s="1"/>
  <c r="T32" i="14" s="1"/>
  <c r="G19" i="14"/>
  <c r="I19" i="14" s="1"/>
  <c r="G12" i="14"/>
  <c r="I12" i="14" s="1"/>
  <c r="G6" i="14"/>
  <c r="I6" i="14" s="1"/>
  <c r="T6" i="14" s="1"/>
  <c r="FF44" i="15"/>
  <c r="G47" i="14"/>
  <c r="I47" i="14" s="1"/>
  <c r="G42" i="14"/>
  <c r="I42" i="14" s="1"/>
  <c r="T42" i="14" s="1"/>
  <c r="G38" i="14"/>
  <c r="I38" i="14" s="1"/>
  <c r="G28" i="14"/>
  <c r="I28" i="14" s="1"/>
  <c r="T28" i="14" s="1"/>
  <c r="G25" i="14"/>
  <c r="I25" i="14" s="1"/>
  <c r="T25" i="14" s="1"/>
  <c r="G22" i="14"/>
  <c r="I22" i="14" s="1"/>
  <c r="G17" i="14"/>
  <c r="I17" i="14" s="1"/>
  <c r="T17" i="14" s="1"/>
  <c r="G15" i="14"/>
  <c r="I15" i="14" s="1"/>
  <c r="T15" i="14" s="1"/>
  <c r="G5" i="14"/>
  <c r="I5" i="14" s="1"/>
  <c r="T5" i="14" s="1"/>
  <c r="G2" i="14"/>
  <c r="I2" i="14" s="1"/>
  <c r="T2" i="14" s="1"/>
  <c r="G4" i="12"/>
  <c r="I4" i="12" s="1"/>
  <c r="T4" i="12" s="1"/>
  <c r="G8" i="12"/>
  <c r="I8" i="12" s="1"/>
  <c r="T8" i="12" s="1"/>
  <c r="G12" i="12"/>
  <c r="I12" i="12" s="1"/>
  <c r="T12" i="12" s="1"/>
  <c r="G16" i="12"/>
  <c r="I16" i="12" s="1"/>
  <c r="T16" i="12" s="1"/>
  <c r="G20" i="12"/>
  <c r="I20" i="12" s="1"/>
  <c r="T20" i="12" s="1"/>
  <c r="G24" i="12"/>
  <c r="I24" i="12" s="1"/>
  <c r="T24" i="12" s="1"/>
  <c r="G28" i="12"/>
  <c r="I28" i="12" s="1"/>
  <c r="T28" i="12" s="1"/>
  <c r="G32" i="12"/>
  <c r="I32" i="12" s="1"/>
  <c r="T32" i="12" s="1"/>
  <c r="G36" i="12"/>
  <c r="I36" i="12" s="1"/>
  <c r="T36" i="12" s="1"/>
  <c r="G40" i="12"/>
  <c r="I40" i="12" s="1"/>
  <c r="G44" i="12"/>
  <c r="I44" i="12" s="1"/>
  <c r="T44" i="12" s="1"/>
  <c r="G48" i="12"/>
  <c r="I48" i="12" s="1"/>
  <c r="G5" i="12"/>
  <c r="I5" i="12" s="1"/>
  <c r="T5" i="12" s="1"/>
  <c r="G9" i="12"/>
  <c r="I9" i="12" s="1"/>
  <c r="T9" i="12" s="1"/>
  <c r="G13" i="12"/>
  <c r="I13" i="12" s="1"/>
  <c r="T13" i="12" s="1"/>
  <c r="G17" i="12"/>
  <c r="I17" i="12" s="1"/>
  <c r="T17" i="12" s="1"/>
  <c r="G21" i="12"/>
  <c r="I21" i="12" s="1"/>
  <c r="T21" i="12" s="1"/>
  <c r="G25" i="12"/>
  <c r="I25" i="12" s="1"/>
  <c r="T25" i="12" s="1"/>
  <c r="G29" i="12"/>
  <c r="I29" i="12" s="1"/>
  <c r="T29" i="12" s="1"/>
  <c r="G33" i="12"/>
  <c r="I33" i="12" s="1"/>
  <c r="T33" i="12" s="1"/>
  <c r="G37" i="12"/>
  <c r="I37" i="12" s="1"/>
  <c r="T37" i="12" s="1"/>
  <c r="G41" i="12"/>
  <c r="I41" i="12" s="1"/>
  <c r="G45" i="12"/>
  <c r="I45" i="12" s="1"/>
  <c r="T45" i="12" s="1"/>
  <c r="G49" i="12"/>
  <c r="I49" i="12" s="1"/>
  <c r="G6" i="12"/>
  <c r="I6" i="12" s="1"/>
  <c r="T6" i="12" s="1"/>
  <c r="G10" i="12"/>
  <c r="I10" i="12" s="1"/>
  <c r="T10" i="12" s="1"/>
  <c r="G14" i="12"/>
  <c r="I14" i="12" s="1"/>
  <c r="G18" i="12"/>
  <c r="I18" i="12" s="1"/>
  <c r="T18" i="12" s="1"/>
  <c r="G22" i="12"/>
  <c r="I22" i="12" s="1"/>
  <c r="T22" i="12" s="1"/>
  <c r="G26" i="12"/>
  <c r="I26" i="12" s="1"/>
  <c r="T26" i="12" s="1"/>
  <c r="G30" i="12"/>
  <c r="I30" i="12" s="1"/>
  <c r="T30" i="12" s="1"/>
  <c r="G34" i="12"/>
  <c r="I34" i="12" s="1"/>
  <c r="T34" i="12" s="1"/>
  <c r="G38" i="12"/>
  <c r="I38" i="12" s="1"/>
  <c r="T38" i="12" s="1"/>
  <c r="G42" i="12"/>
  <c r="I42" i="12" s="1"/>
  <c r="T42" i="12" s="1"/>
  <c r="G46" i="12"/>
  <c r="I46" i="12" s="1"/>
  <c r="T46" i="12" s="1"/>
  <c r="G50" i="12"/>
  <c r="I50" i="12" s="1"/>
  <c r="FF44" i="13"/>
  <c r="G3" i="12"/>
  <c r="I3" i="12" s="1"/>
  <c r="T3" i="12" s="1"/>
  <c r="G7" i="12"/>
  <c r="I7" i="12" s="1"/>
  <c r="T7" i="12" s="1"/>
  <c r="G11" i="12"/>
  <c r="I11" i="12" s="1"/>
  <c r="T11" i="12" s="1"/>
  <c r="G15" i="12"/>
  <c r="I15" i="12" s="1"/>
  <c r="T15" i="12" s="1"/>
  <c r="G19" i="12"/>
  <c r="I19" i="12" s="1"/>
  <c r="T19" i="12" s="1"/>
  <c r="G23" i="12"/>
  <c r="I23" i="12" s="1"/>
  <c r="T23" i="12" s="1"/>
  <c r="G27" i="12"/>
  <c r="I27" i="12" s="1"/>
  <c r="T27" i="12" s="1"/>
  <c r="G31" i="12"/>
  <c r="I31" i="12" s="1"/>
  <c r="T31" i="12" s="1"/>
  <c r="G35" i="12"/>
  <c r="I35" i="12" s="1"/>
  <c r="T35" i="12" s="1"/>
  <c r="G39" i="12"/>
  <c r="I39" i="12" s="1"/>
  <c r="T39" i="12" s="1"/>
  <c r="G43" i="12"/>
  <c r="I43" i="12" s="1"/>
  <c r="T43" i="12" s="1"/>
  <c r="G47" i="12"/>
  <c r="I47" i="12" s="1"/>
  <c r="T47" i="12" s="1"/>
  <c r="G2" i="12"/>
  <c r="I2" i="12" s="1"/>
  <c r="T2" i="12" s="1"/>
  <c r="E42" i="13"/>
  <c r="EM44" i="13"/>
  <c r="EO44" i="13" s="1"/>
  <c r="EO43" i="13"/>
  <c r="E42" i="6"/>
  <c r="E42" i="10"/>
  <c r="N77" i="3"/>
  <c r="W58" i="3"/>
  <c r="X51" i="3"/>
  <c r="Y51" i="3" s="1"/>
  <c r="X59" i="3"/>
  <c r="Y59" i="3" s="1"/>
  <c r="X62" i="3"/>
  <c r="Y62" i="3" s="1"/>
  <c r="X63" i="3"/>
  <c r="Y63" i="3" s="1"/>
  <c r="ED15" i="6"/>
  <c r="ER66" i="6" s="1"/>
  <c r="ED10" i="6"/>
  <c r="ER61" i="6" s="1"/>
  <c r="ED20" i="6"/>
  <c r="ER71" i="6" s="1"/>
  <c r="ED23" i="6"/>
  <c r="ER74" i="6" s="1"/>
  <c r="ED11" i="6"/>
  <c r="ER62" i="6" s="1"/>
  <c r="ED22" i="6"/>
  <c r="ER73" i="6" s="1"/>
  <c r="ED19" i="6"/>
  <c r="ER70" i="6" s="1"/>
  <c r="ED27" i="6"/>
  <c r="ER78" i="6" s="1"/>
  <c r="ED30" i="6"/>
  <c r="ER81" i="6" s="1"/>
  <c r="ED29" i="6"/>
  <c r="ER80" i="6" s="1"/>
  <c r="ED17" i="6"/>
  <c r="ER68" i="6" s="1"/>
  <c r="ED14" i="6"/>
  <c r="ER65" i="6" s="1"/>
  <c r="ED24" i="6"/>
  <c r="ER75" i="6" s="1"/>
  <c r="ED25" i="6"/>
  <c r="ER76" i="6" s="1"/>
  <c r="ED28" i="6"/>
  <c r="ER79" i="6" s="1"/>
  <c r="EM50" i="6"/>
  <c r="EO49" i="6"/>
  <c r="EQ49" i="6" s="1"/>
  <c r="EM25" i="6"/>
  <c r="EO24" i="6"/>
  <c r="EQ24" i="6" s="1"/>
  <c r="EO43" i="6"/>
  <c r="EQ43" i="6" s="1"/>
  <c r="EM44" i="6"/>
  <c r="EO44" i="6" s="1"/>
  <c r="EQ44" i="6" s="1"/>
  <c r="EO14" i="6"/>
  <c r="EQ14" i="6" s="1"/>
  <c r="EM15" i="6"/>
  <c r="X60" i="3"/>
  <c r="Y60" i="3" s="1"/>
  <c r="X64" i="3"/>
  <c r="Y64" i="3" s="1"/>
  <c r="H44" i="9"/>
  <c r="H45" i="9" s="1"/>
  <c r="H46" i="9" s="1"/>
  <c r="H44" i="3"/>
  <c r="H45" i="3" s="1"/>
  <c r="P27" i="4" s="1"/>
  <c r="FE44" i="6"/>
  <c r="FE44" i="10"/>
  <c r="H35" i="9"/>
  <c r="EM50" i="10"/>
  <c r="EO49" i="10"/>
  <c r="EO39" i="10"/>
  <c r="EM40" i="10"/>
  <c r="EO14" i="10"/>
  <c r="EM15" i="10"/>
  <c r="EM23" i="10"/>
  <c r="EO22" i="10"/>
  <c r="O51" i="3"/>
  <c r="W48" i="3"/>
  <c r="W46" i="3"/>
  <c r="X61" i="3"/>
  <c r="Y61" i="3" s="1"/>
  <c r="O46" i="3"/>
  <c r="Y50" i="3"/>
  <c r="Y47" i="3"/>
  <c r="O48" i="3"/>
  <c r="W45" i="3"/>
  <c r="O60" i="3"/>
  <c r="O47" i="3"/>
  <c r="O63" i="3"/>
  <c r="O62" i="3"/>
  <c r="T18" i="14" l="1"/>
  <c r="T10" i="14"/>
  <c r="EQ39" i="10"/>
  <c r="M36" i="14"/>
  <c r="T36" i="14" s="1"/>
  <c r="EQ49" i="10"/>
  <c r="M46" i="14"/>
  <c r="EQ43" i="13"/>
  <c r="M40" i="12"/>
  <c r="T40" i="12" s="1"/>
  <c r="T45" i="14"/>
  <c r="EQ14" i="10"/>
  <c r="M11" i="14"/>
  <c r="T11" i="14" s="1"/>
  <c r="EQ44" i="13"/>
  <c r="M41" i="12"/>
  <c r="T41" i="12" s="1"/>
  <c r="EQ22" i="10"/>
  <c r="M19" i="14"/>
  <c r="T19" i="14" s="1"/>
  <c r="T46" i="14"/>
  <c r="T49" i="12"/>
  <c r="T50" i="14"/>
  <c r="U50" i="14" s="1"/>
  <c r="J50" i="14"/>
  <c r="J49" i="14" s="1"/>
  <c r="J48" i="14" s="1"/>
  <c r="J47" i="14" s="1"/>
  <c r="J46" i="14" s="1"/>
  <c r="J45" i="14" s="1"/>
  <c r="J44" i="14" s="1"/>
  <c r="J43" i="14" s="1"/>
  <c r="J42" i="14" s="1"/>
  <c r="J41" i="14" s="1"/>
  <c r="J40" i="14" s="1"/>
  <c r="J39" i="14" s="1"/>
  <c r="J38" i="14" s="1"/>
  <c r="J37" i="14" s="1"/>
  <c r="J36" i="14" s="1"/>
  <c r="J35" i="14" s="1"/>
  <c r="J34" i="14" s="1"/>
  <c r="J33" i="14" s="1"/>
  <c r="J32" i="14" s="1"/>
  <c r="J31" i="14" s="1"/>
  <c r="J30" i="14" s="1"/>
  <c r="J29" i="14" s="1"/>
  <c r="J28" i="14" s="1"/>
  <c r="J27" i="14" s="1"/>
  <c r="J26" i="14" s="1"/>
  <c r="J25" i="14" s="1"/>
  <c r="J24" i="14" s="1"/>
  <c r="J23" i="14" s="1"/>
  <c r="J22" i="14" s="1"/>
  <c r="J21" i="14" s="1"/>
  <c r="J20" i="14" s="1"/>
  <c r="J19" i="14" s="1"/>
  <c r="J18" i="14" s="1"/>
  <c r="J17" i="14" s="1"/>
  <c r="J16" i="14" s="1"/>
  <c r="J15" i="14" s="1"/>
  <c r="J14" i="14" s="1"/>
  <c r="J13" i="14" s="1"/>
  <c r="J12" i="14" s="1"/>
  <c r="J11" i="14" s="1"/>
  <c r="J10" i="14" s="1"/>
  <c r="J9" i="14" s="1"/>
  <c r="J8" i="14" s="1"/>
  <c r="J7" i="14" s="1"/>
  <c r="J6" i="14" s="1"/>
  <c r="J5" i="14" s="1"/>
  <c r="J4" i="14" s="1"/>
  <c r="J3" i="14" s="1"/>
  <c r="J2" i="14" s="1"/>
  <c r="DJ31" i="6"/>
  <c r="T24" i="13"/>
  <c r="T22" i="13"/>
  <c r="AP9" i="13"/>
  <c r="T13" i="13"/>
  <c r="I26" i="13"/>
  <c r="I4" i="13"/>
  <c r="DJ21" i="13"/>
  <c r="T6" i="13"/>
  <c r="T12" i="13"/>
  <c r="CN5" i="13"/>
  <c r="AE16" i="13"/>
  <c r="I22" i="13"/>
  <c r="I5" i="13"/>
  <c r="CN11" i="13"/>
  <c r="CN19" i="13"/>
  <c r="CN22" i="13"/>
  <c r="DJ3" i="13"/>
  <c r="T15" i="13"/>
  <c r="AE20" i="13"/>
  <c r="AE33" i="13"/>
  <c r="AP24" i="13"/>
  <c r="AP22" i="13"/>
  <c r="I20" i="13"/>
  <c r="DJ16" i="13"/>
  <c r="DJ13" i="13"/>
  <c r="DJ9" i="13"/>
  <c r="AE5" i="13"/>
  <c r="I31" i="13"/>
  <c r="CY24" i="13"/>
  <c r="CY22" i="13"/>
  <c r="I6" i="13"/>
  <c r="CC10" i="13"/>
  <c r="DJ15" i="13"/>
  <c r="AP19" i="13"/>
  <c r="AE23" i="13"/>
  <c r="F51" i="13"/>
  <c r="J51" i="13" s="1"/>
  <c r="I32" i="13"/>
  <c r="CC31" i="13"/>
  <c r="AE30" i="13"/>
  <c r="T29" i="13"/>
  <c r="AE27" i="13"/>
  <c r="DJ25" i="13"/>
  <c r="CC18" i="13"/>
  <c r="I18" i="13"/>
  <c r="CC14" i="13"/>
  <c r="CD14" i="13" s="1"/>
  <c r="CE14" i="13" s="1"/>
  <c r="I11" i="13"/>
  <c r="I10" i="13"/>
  <c r="AP8" i="13"/>
  <c r="AP7" i="13"/>
  <c r="DJ6" i="13"/>
  <c r="DJ5" i="13"/>
  <c r="CN32" i="13"/>
  <c r="AP28" i="13"/>
  <c r="CN30" i="13"/>
  <c r="CY28" i="13"/>
  <c r="CN26" i="13"/>
  <c r="CN17" i="13"/>
  <c r="CC15" i="13"/>
  <c r="DJ12" i="13"/>
  <c r="AE12" i="13"/>
  <c r="CC11" i="13"/>
  <c r="CD11" i="13" s="1"/>
  <c r="CE11" i="13" s="1"/>
  <c r="CY4" i="13"/>
  <c r="AE3" i="13"/>
  <c r="CC27" i="13"/>
  <c r="CY32" i="13"/>
  <c r="CY27" i="13"/>
  <c r="T14" i="13"/>
  <c r="CN24" i="13"/>
  <c r="T19" i="13"/>
  <c r="AP15" i="13"/>
  <c r="AP6" i="13"/>
  <c r="CC19" i="13"/>
  <c r="AP23" i="13"/>
  <c r="DJ7" i="13"/>
  <c r="AP13" i="13"/>
  <c r="T20" i="13"/>
  <c r="CY23" i="13"/>
  <c r="T5" i="13"/>
  <c r="CY16" i="13"/>
  <c r="AP21" i="13"/>
  <c r="CC30" i="13"/>
  <c r="CN23" i="13"/>
  <c r="CN21" i="13"/>
  <c r="CY19" i="13"/>
  <c r="AP16" i="13"/>
  <c r="CC13" i="13"/>
  <c r="T9" i="13"/>
  <c r="AE4" i="13"/>
  <c r="DJ28" i="13"/>
  <c r="AE24" i="13"/>
  <c r="AE22" i="13"/>
  <c r="CN3" i="13"/>
  <c r="CN7" i="13"/>
  <c r="I13" i="13"/>
  <c r="I16" i="13"/>
  <c r="AP20" i="13"/>
  <c r="CC24" i="13"/>
  <c r="F49" i="13"/>
  <c r="J49" i="13" s="1"/>
  <c r="DJ31" i="13"/>
  <c r="AP31" i="13"/>
  <c r="I30" i="13"/>
  <c r="CC28" i="13"/>
  <c r="CY26" i="13"/>
  <c r="DJ18" i="13"/>
  <c r="AP18" i="13"/>
  <c r="DJ14" i="13"/>
  <c r="AP11" i="13"/>
  <c r="AP10" i="13"/>
  <c r="DJ8" i="13"/>
  <c r="AE8" i="13"/>
  <c r="AE7" i="13"/>
  <c r="CY6" i="13"/>
  <c r="CY5" i="13"/>
  <c r="T31" i="13"/>
  <c r="T28" i="13"/>
  <c r="AP30" i="13"/>
  <c r="AQ30" i="13" s="1"/>
  <c r="AR30" i="13" s="1"/>
  <c r="DJ27" i="13"/>
  <c r="T26" i="13"/>
  <c r="AP17" i="13"/>
  <c r="AE15" i="13"/>
  <c r="CY12" i="13"/>
  <c r="I12" i="13"/>
  <c r="CN10" i="13"/>
  <c r="CN4" i="13"/>
  <c r="T3" i="13"/>
  <c r="I27" i="13"/>
  <c r="AP32" i="13"/>
  <c r="AQ32" i="13" s="1"/>
  <c r="AR32" i="13" s="1"/>
  <c r="CN25" i="13"/>
  <c r="T4" i="13"/>
  <c r="DJ29" i="13"/>
  <c r="CY21" i="13"/>
  <c r="DJ10" i="13"/>
  <c r="I21" i="13"/>
  <c r="CY13" i="13"/>
  <c r="DJ22" i="13"/>
  <c r="CC17" i="13"/>
  <c r="CY10" i="13"/>
  <c r="F50" i="13"/>
  <c r="J50" i="13" s="1"/>
  <c r="I23" i="13"/>
  <c r="CC5" i="13"/>
  <c r="CD5" i="13" s="1"/>
  <c r="CE5" i="13" s="1"/>
  <c r="AE14" i="13"/>
  <c r="CC22" i="13"/>
  <c r="CN31" i="13"/>
  <c r="CC29" i="13"/>
  <c r="AE26" i="13"/>
  <c r="T18" i="13"/>
  <c r="T11" i="13"/>
  <c r="CN8" i="13"/>
  <c r="I7" i="13"/>
  <c r="I33" i="13"/>
  <c r="DJ30" i="13"/>
  <c r="DJ26" i="13"/>
  <c r="CY15" i="13"/>
  <c r="CC12" i="13"/>
  <c r="CD12" i="13" s="1"/>
  <c r="CE12" i="13" s="1"/>
  <c r="DJ4" i="13"/>
  <c r="CY30" i="13"/>
  <c r="I29" i="13"/>
  <c r="DJ20" i="13"/>
  <c r="CC23" i="13"/>
  <c r="CN13" i="13"/>
  <c r="CY29" i="13"/>
  <c r="AE18" i="13"/>
  <c r="AE11" i="13"/>
  <c r="T7" i="13"/>
  <c r="T27" i="13"/>
  <c r="T17" i="13"/>
  <c r="CC8" i="13"/>
  <c r="CD8" i="13" s="1"/>
  <c r="CE8" i="13" s="1"/>
  <c r="AE31" i="13"/>
  <c r="I17" i="13"/>
  <c r="AP5" i="13"/>
  <c r="CC7" i="13"/>
  <c r="AE25" i="13"/>
  <c r="CC16" i="13"/>
  <c r="I24" i="13"/>
  <c r="I19" i="13"/>
  <c r="I25" i="13"/>
  <c r="T21" i="13"/>
  <c r="CN15" i="13"/>
  <c r="CY7" i="13"/>
  <c r="AP26" i="13"/>
  <c r="CC21" i="13"/>
  <c r="AE9" i="13"/>
  <c r="CN16" i="13"/>
  <c r="CN28" i="13"/>
  <c r="F48" i="13"/>
  <c r="J48" i="13" s="1"/>
  <c r="DJ32" i="13"/>
  <c r="I28" i="13"/>
  <c r="CY18" i="13"/>
  <c r="CY14" i="13"/>
  <c r="AE10" i="13"/>
  <c r="T8" i="13"/>
  <c r="CN6" i="13"/>
  <c r="T30" i="13"/>
  <c r="CN29" i="13"/>
  <c r="CC25" i="13"/>
  <c r="I15" i="13"/>
  <c r="DJ11" i="13"/>
  <c r="CC4" i="13"/>
  <c r="AP25" i="13"/>
  <c r="CN20" i="13"/>
  <c r="I9" i="13"/>
  <c r="I14" i="13"/>
  <c r="CC3" i="13"/>
  <c r="CY17" i="13"/>
  <c r="AE28" i="13"/>
  <c r="DJ19" i="13"/>
  <c r="DJ24" i="13"/>
  <c r="CC20" i="13"/>
  <c r="AP14" i="13"/>
  <c r="AE6" i="13"/>
  <c r="CY25" i="13"/>
  <c r="CN9" i="13"/>
  <c r="AE17" i="13"/>
  <c r="AE32" i="13"/>
  <c r="CC32" i="13"/>
  <c r="CN27" i="13"/>
  <c r="CN18" i="13"/>
  <c r="CN14" i="13"/>
  <c r="T10" i="13"/>
  <c r="I8" i="13"/>
  <c r="CC6" i="13"/>
  <c r="CD6" i="13" s="1"/>
  <c r="CE6" i="13" s="1"/>
  <c r="AP29" i="13"/>
  <c r="AQ29" i="13" s="1"/>
  <c r="AR29" i="13" s="1"/>
  <c r="AE29" i="13"/>
  <c r="DJ17" i="13"/>
  <c r="AE13" i="13"/>
  <c r="CY11" i="13"/>
  <c r="AP3" i="13"/>
  <c r="DJ33" i="13"/>
  <c r="T25" i="13"/>
  <c r="T16" i="13"/>
  <c r="CY20" i="13"/>
  <c r="CC9" i="13"/>
  <c r="CY9" i="13"/>
  <c r="DJ23" i="13"/>
  <c r="T23" i="13"/>
  <c r="AE19" i="13"/>
  <c r="AP12" i="13"/>
  <c r="CY3" i="13"/>
  <c r="AP4" i="13"/>
  <c r="AE21" i="13"/>
  <c r="CY31" i="13"/>
  <c r="CC26" i="13"/>
  <c r="CY8" i="13"/>
  <c r="CN33" i="13"/>
  <c r="AP27" i="13"/>
  <c r="CN12" i="13"/>
  <c r="I3" i="13"/>
  <c r="T14" i="12"/>
  <c r="F50" i="15"/>
  <c r="J50" i="15" s="1"/>
  <c r="AE33" i="15"/>
  <c r="CN32" i="15"/>
  <c r="DJ31" i="15"/>
  <c r="CC31" i="15"/>
  <c r="CY30" i="15"/>
  <c r="T30" i="15"/>
  <c r="AE29" i="15"/>
  <c r="I29" i="15"/>
  <c r="CY28" i="15"/>
  <c r="AP28" i="15"/>
  <c r="I28" i="15"/>
  <c r="AE27" i="15"/>
  <c r="DJ26" i="15"/>
  <c r="AP26" i="15"/>
  <c r="I26" i="15"/>
  <c r="CC25" i="15"/>
  <c r="I25" i="15"/>
  <c r="CC24" i="15"/>
  <c r="I24" i="15"/>
  <c r="CC23" i="15"/>
  <c r="T23" i="15"/>
  <c r="CY22" i="15"/>
  <c r="AE22" i="15"/>
  <c r="DJ21" i="15"/>
  <c r="AP21" i="15"/>
  <c r="I21" i="15"/>
  <c r="CN20" i="15"/>
  <c r="AP20" i="15"/>
  <c r="I20" i="15"/>
  <c r="AP19" i="15"/>
  <c r="CC18" i="15"/>
  <c r="T18" i="15"/>
  <c r="CY17" i="15"/>
  <c r="AE17" i="15"/>
  <c r="I17" i="15"/>
  <c r="DJ16" i="15"/>
  <c r="CC16" i="15"/>
  <c r="T16" i="15"/>
  <c r="DJ15" i="15"/>
  <c r="AP15" i="15"/>
  <c r="DJ14" i="15"/>
  <c r="AP14" i="15"/>
  <c r="I14" i="15"/>
  <c r="CY13" i="15"/>
  <c r="AP13" i="15"/>
  <c r="I13" i="15"/>
  <c r="DJ12" i="15"/>
  <c r="CC12" i="15"/>
  <c r="T12" i="15"/>
  <c r="DJ11" i="15"/>
  <c r="CC11" i="15"/>
  <c r="CN10" i="15"/>
  <c r="I10" i="15"/>
  <c r="CY9" i="15"/>
  <c r="AP9" i="15"/>
  <c r="T9" i="15"/>
  <c r="AP8" i="15"/>
  <c r="T8" i="15"/>
  <c r="F51" i="15"/>
  <c r="J51" i="15" s="1"/>
  <c r="I33" i="15"/>
  <c r="CY32" i="15"/>
  <c r="AE32" i="15"/>
  <c r="AP31" i="15"/>
  <c r="I31" i="15"/>
  <c r="CN30" i="15"/>
  <c r="CC28" i="15"/>
  <c r="DJ27" i="15"/>
  <c r="CC27" i="15"/>
  <c r="I27" i="15"/>
  <c r="AE26" i="15"/>
  <c r="CY25" i="15"/>
  <c r="T25" i="15"/>
  <c r="AP24" i="15"/>
  <c r="CY23" i="15"/>
  <c r="CN22" i="15"/>
  <c r="I22" i="15"/>
  <c r="CC21" i="15"/>
  <c r="DJ20" i="15"/>
  <c r="AE19" i="15"/>
  <c r="I19" i="15"/>
  <c r="CY18" i="15"/>
  <c r="AE18" i="15"/>
  <c r="CN16" i="15"/>
  <c r="CN15" i="15"/>
  <c r="T15" i="15"/>
  <c r="AE14" i="15"/>
  <c r="CC13" i="15"/>
  <c r="CD13" i="15" s="1"/>
  <c r="CE13" i="15" s="1"/>
  <c r="CN12" i="15"/>
  <c r="CY11" i="15"/>
  <c r="AP11" i="15"/>
  <c r="I11" i="15"/>
  <c r="DJ10" i="15"/>
  <c r="AP10" i="15"/>
  <c r="T10" i="15"/>
  <c r="CN9" i="15"/>
  <c r="AE9" i="15"/>
  <c r="CY8" i="15"/>
  <c r="CC8" i="15"/>
  <c r="I8" i="15"/>
  <c r="CN7" i="15"/>
  <c r="AP7" i="15"/>
  <c r="T7" i="15"/>
  <c r="DJ6" i="15"/>
  <c r="CC6" i="15"/>
  <c r="CY5" i="15"/>
  <c r="AP5" i="15"/>
  <c r="T5" i="15"/>
  <c r="CY4" i="15"/>
  <c r="AP4" i="15"/>
  <c r="I4" i="15"/>
  <c r="CN3" i="15"/>
  <c r="F48" i="15"/>
  <c r="J48" i="15" s="1"/>
  <c r="DJ33" i="15"/>
  <c r="CY31" i="15"/>
  <c r="AE31" i="15"/>
  <c r="CC30" i="15"/>
  <c r="DJ29" i="15"/>
  <c r="CC29" i="15"/>
  <c r="T29" i="15"/>
  <c r="DJ28" i="15"/>
  <c r="AE28" i="15"/>
  <c r="CY27" i="15"/>
  <c r="AP27" i="15"/>
  <c r="CY26" i="15"/>
  <c r="T26" i="15"/>
  <c r="CN25" i="15"/>
  <c r="DJ24" i="15"/>
  <c r="AE24" i="15"/>
  <c r="CN23" i="15"/>
  <c r="CC22" i="15"/>
  <c r="AE21" i="15"/>
  <c r="CC20" i="15"/>
  <c r="CY19" i="15"/>
  <c r="CN18" i="15"/>
  <c r="CN17" i="15"/>
  <c r="T17" i="15"/>
  <c r="AP16" i="15"/>
  <c r="I16" i="15"/>
  <c r="CC15" i="15"/>
  <c r="CY14" i="15"/>
  <c r="DJ13" i="15"/>
  <c r="AE13" i="15"/>
  <c r="I12" i="15"/>
  <c r="CN11" i="15"/>
  <c r="AE11" i="15"/>
  <c r="CY10" i="15"/>
  <c r="I7" i="15"/>
  <c r="CY6" i="15"/>
  <c r="AP6" i="15"/>
  <c r="T6" i="15"/>
  <c r="CN5" i="15"/>
  <c r="I5" i="15"/>
  <c r="CN4" i="15"/>
  <c r="AE4" i="15"/>
  <c r="CC3" i="15"/>
  <c r="T3" i="15"/>
  <c r="I32" i="15"/>
  <c r="CN31" i="15"/>
  <c r="DJ30" i="15"/>
  <c r="T28" i="15"/>
  <c r="T27" i="15"/>
  <c r="CY24" i="15"/>
  <c r="AP23" i="15"/>
  <c r="I23" i="15"/>
  <c r="CN19" i="15"/>
  <c r="I18" i="15"/>
  <c r="DJ17" i="15"/>
  <c r="AE15" i="15"/>
  <c r="CN13" i="15"/>
  <c r="AP12" i="15"/>
  <c r="T11" i="15"/>
  <c r="CC10" i="15"/>
  <c r="CC9" i="15"/>
  <c r="CD9" i="15" s="1"/>
  <c r="CE9" i="15" s="1"/>
  <c r="DJ8" i="15"/>
  <c r="DJ7" i="15"/>
  <c r="AE6" i="15"/>
  <c r="CC4" i="15"/>
  <c r="DJ3" i="15"/>
  <c r="CC32" i="15"/>
  <c r="T31" i="15"/>
  <c r="CY29" i="15"/>
  <c r="AP29" i="15"/>
  <c r="DJ25" i="15"/>
  <c r="CN24" i="15"/>
  <c r="AE23" i="15"/>
  <c r="DJ22" i="15"/>
  <c r="CY21" i="15"/>
  <c r="AE20" i="15"/>
  <c r="CC19" i="15"/>
  <c r="AP18" i="15"/>
  <c r="T14" i="15"/>
  <c r="AE12" i="15"/>
  <c r="AE8" i="15"/>
  <c r="CY7" i="15"/>
  <c r="AE7" i="15"/>
  <c r="CN6" i="15"/>
  <c r="CC5" i="15"/>
  <c r="CD5" i="15" s="1"/>
  <c r="CE5" i="15" s="1"/>
  <c r="CY3" i="15"/>
  <c r="F49" i="15"/>
  <c r="J49" i="15" s="1"/>
  <c r="AP32" i="15"/>
  <c r="AQ32" i="15" s="1"/>
  <c r="AR32" i="15" s="1"/>
  <c r="AP30" i="15"/>
  <c r="I30" i="15"/>
  <c r="CN29" i="15"/>
  <c r="CN28" i="15"/>
  <c r="CN27" i="15"/>
  <c r="CN26" i="15"/>
  <c r="AP25" i="15"/>
  <c r="T24" i="15"/>
  <c r="AP22" i="15"/>
  <c r="CN21" i="15"/>
  <c r="CY20" i="15"/>
  <c r="T20" i="15"/>
  <c r="DJ19" i="15"/>
  <c r="DJ18" i="15"/>
  <c r="CC17" i="15"/>
  <c r="CY16" i="15"/>
  <c r="CN14" i="15"/>
  <c r="CN8" i="15"/>
  <c r="I6" i="15"/>
  <c r="DJ4" i="15"/>
  <c r="T4" i="15"/>
  <c r="AP3" i="15"/>
  <c r="I3" i="15"/>
  <c r="CN33" i="15"/>
  <c r="DJ32" i="15"/>
  <c r="AE30" i="15"/>
  <c r="CC26" i="15"/>
  <c r="AE25" i="15"/>
  <c r="DJ23" i="15"/>
  <c r="T22" i="15"/>
  <c r="T21" i="15"/>
  <c r="T19" i="15"/>
  <c r="AP17" i="15"/>
  <c r="AE16" i="15"/>
  <c r="CY15" i="15"/>
  <c r="I15" i="15"/>
  <c r="CC14" i="15"/>
  <c r="T13" i="15"/>
  <c r="CY12" i="15"/>
  <c r="AE10" i="15"/>
  <c r="DJ9" i="15"/>
  <c r="I9" i="15"/>
  <c r="CC7" i="15"/>
  <c r="DJ5" i="15"/>
  <c r="AE5" i="15"/>
  <c r="AE3" i="15"/>
  <c r="J50" i="12"/>
  <c r="J49" i="12" s="1"/>
  <c r="J48" i="12" s="1"/>
  <c r="J47" i="12" s="1"/>
  <c r="J46" i="12" s="1"/>
  <c r="J45" i="12" s="1"/>
  <c r="J44" i="12" s="1"/>
  <c r="J43" i="12" s="1"/>
  <c r="J42" i="12" s="1"/>
  <c r="J41" i="12" s="1"/>
  <c r="J40" i="12" s="1"/>
  <c r="J39" i="12" s="1"/>
  <c r="J38" i="12" s="1"/>
  <c r="J37" i="12" s="1"/>
  <c r="J36" i="12" s="1"/>
  <c r="J35" i="12" s="1"/>
  <c r="J34" i="12" s="1"/>
  <c r="J33" i="12" s="1"/>
  <c r="J32" i="12" s="1"/>
  <c r="J31" i="12" s="1"/>
  <c r="J30" i="12" s="1"/>
  <c r="J29" i="12" s="1"/>
  <c r="J28" i="12" s="1"/>
  <c r="J27" i="12" s="1"/>
  <c r="J26" i="12" s="1"/>
  <c r="J25" i="12" s="1"/>
  <c r="T50" i="12"/>
  <c r="U50" i="12" s="1"/>
  <c r="T48" i="12"/>
  <c r="W51" i="3"/>
  <c r="CC19" i="6"/>
  <c r="AP27" i="6"/>
  <c r="CC6" i="6"/>
  <c r="CD6" i="6" s="1"/>
  <c r="CE6" i="6" s="1"/>
  <c r="AE11" i="6"/>
  <c r="CY4" i="6"/>
  <c r="CN21" i="6"/>
  <c r="I5" i="6"/>
  <c r="CC11" i="6"/>
  <c r="CD11" i="6" s="1"/>
  <c r="CE11" i="6" s="1"/>
  <c r="AE22" i="6"/>
  <c r="CY27" i="6"/>
  <c r="DJ3" i="6"/>
  <c r="CC32" i="6"/>
  <c r="CN29" i="6"/>
  <c r="CC10" i="6"/>
  <c r="CD10" i="6" s="1"/>
  <c r="CE10" i="6" s="1"/>
  <c r="DJ8" i="6"/>
  <c r="DJ24" i="6"/>
  <c r="CY32" i="6"/>
  <c r="F50" i="6"/>
  <c r="J50" i="6" s="1"/>
  <c r="DJ17" i="6"/>
  <c r="DJ33" i="6"/>
  <c r="DJ6" i="6"/>
  <c r="DJ22" i="6"/>
  <c r="CY21" i="6"/>
  <c r="DJ15" i="6"/>
  <c r="CY29" i="6"/>
  <c r="CY31" i="6"/>
  <c r="CN31" i="6"/>
  <c r="CN6" i="6"/>
  <c r="CC13" i="6"/>
  <c r="CD13" i="6" s="1"/>
  <c r="CC18" i="6"/>
  <c r="AP12" i="6"/>
  <c r="AP10" i="6"/>
  <c r="AE18" i="6"/>
  <c r="AE13" i="6"/>
  <c r="T7" i="6"/>
  <c r="I25" i="6"/>
  <c r="I12" i="6"/>
  <c r="CC31" i="6"/>
  <c r="AP5" i="6"/>
  <c r="AE19" i="6"/>
  <c r="T13" i="6"/>
  <c r="I10" i="6"/>
  <c r="CY19" i="6"/>
  <c r="CY14" i="6"/>
  <c r="CN8" i="6"/>
  <c r="CN18" i="6"/>
  <c r="CC29" i="6"/>
  <c r="CC30" i="6"/>
  <c r="AP24" i="6"/>
  <c r="AP22" i="6"/>
  <c r="T25" i="6"/>
  <c r="AE25" i="6"/>
  <c r="T23" i="6"/>
  <c r="T6" i="6"/>
  <c r="I26" i="6"/>
  <c r="CY18" i="6"/>
  <c r="CY23" i="6"/>
  <c r="CN28" i="6"/>
  <c r="CN13" i="6"/>
  <c r="AP21" i="6"/>
  <c r="AE10" i="6"/>
  <c r="T9" i="6"/>
  <c r="I23" i="6"/>
  <c r="CY25" i="6"/>
  <c r="AP16" i="6"/>
  <c r="CN7" i="6"/>
  <c r="AP3" i="6"/>
  <c r="T21" i="6"/>
  <c r="CN20" i="6"/>
  <c r="AP19" i="6"/>
  <c r="I27" i="6"/>
  <c r="CC4" i="6"/>
  <c r="CD4" i="6" s="1"/>
  <c r="AE14" i="6"/>
  <c r="I16" i="6"/>
  <c r="CC22" i="6"/>
  <c r="DJ12" i="6"/>
  <c r="DJ32" i="6"/>
  <c r="CY26" i="6"/>
  <c r="DJ21" i="6"/>
  <c r="CY3" i="6"/>
  <c r="DJ18" i="6"/>
  <c r="F48" i="6"/>
  <c r="J48" i="6" s="1"/>
  <c r="DJ27" i="6"/>
  <c r="CY20" i="6"/>
  <c r="CC3" i="6"/>
  <c r="CD3" i="6" s="1"/>
  <c r="CN5" i="6"/>
  <c r="CC5" i="6"/>
  <c r="CD5" i="6" s="1"/>
  <c r="CE5" i="6" s="1"/>
  <c r="AP31" i="6"/>
  <c r="AQ31" i="6" s="1"/>
  <c r="AR31" i="6" s="1"/>
  <c r="AE30" i="6"/>
  <c r="AE29" i="6"/>
  <c r="T16" i="6"/>
  <c r="I31" i="6"/>
  <c r="CY7" i="6"/>
  <c r="AP4" i="6"/>
  <c r="AE3" i="6"/>
  <c r="I7" i="6"/>
  <c r="CY24" i="6"/>
  <c r="CY11" i="6"/>
  <c r="CN4" i="6"/>
  <c r="CC8" i="6"/>
  <c r="CD8" i="6" s="1"/>
  <c r="CE8" i="6" s="1"/>
  <c r="AP25" i="6"/>
  <c r="AP11" i="6"/>
  <c r="AE12" i="6"/>
  <c r="T31" i="6"/>
  <c r="T22" i="6"/>
  <c r="I17" i="6"/>
  <c r="CY30" i="6"/>
  <c r="CN15" i="6"/>
  <c r="CC24" i="6"/>
  <c r="AP23" i="6"/>
  <c r="AE21" i="6"/>
  <c r="I32" i="6"/>
  <c r="AE4" i="6"/>
  <c r="I6" i="6"/>
  <c r="AE26" i="6"/>
  <c r="I28" i="6"/>
  <c r="AP17" i="6"/>
  <c r="I18" i="6"/>
  <c r="AP32" i="6"/>
  <c r="AQ32" i="6" s="1"/>
  <c r="AR32" i="6" s="1"/>
  <c r="T14" i="6"/>
  <c r="AP14" i="6"/>
  <c r="I9" i="6"/>
  <c r="DJ16" i="6"/>
  <c r="CY10" i="6"/>
  <c r="DJ5" i="6"/>
  <c r="DJ25" i="6"/>
  <c r="F49" i="6"/>
  <c r="J49" i="6" s="1"/>
  <c r="DJ26" i="6"/>
  <c r="DJ7" i="6"/>
  <c r="CY5" i="6"/>
  <c r="CY15" i="6"/>
  <c r="CN12" i="6"/>
  <c r="CC20" i="6"/>
  <c r="AP29" i="6"/>
  <c r="AQ29" i="6" s="1"/>
  <c r="AR29" i="6" s="1"/>
  <c r="AP15" i="6"/>
  <c r="AE8" i="6"/>
  <c r="T15" i="6"/>
  <c r="T26" i="6"/>
  <c r="I21" i="6"/>
  <c r="CC28" i="6"/>
  <c r="AP7" i="6"/>
  <c r="AE5" i="6"/>
  <c r="I22" i="6"/>
  <c r="CY28" i="6"/>
  <c r="CN11" i="6"/>
  <c r="CN33" i="6"/>
  <c r="CC12" i="6"/>
  <c r="CD12" i="6" s="1"/>
  <c r="CE12" i="6" s="1"/>
  <c r="AP9" i="6"/>
  <c r="AP6" i="6"/>
  <c r="AE27" i="6"/>
  <c r="T19" i="6"/>
  <c r="I20" i="6"/>
  <c r="I8" i="6"/>
  <c r="CY9" i="6"/>
  <c r="CN30" i="6"/>
  <c r="CC7" i="6"/>
  <c r="CD7" i="6" s="1"/>
  <c r="CE7" i="6" s="1"/>
  <c r="AP18" i="6"/>
  <c r="T17" i="6"/>
  <c r="I13" i="6"/>
  <c r="CN10" i="6"/>
  <c r="CN25" i="6"/>
  <c r="T4" i="6"/>
  <c r="CN27" i="6"/>
  <c r="AE16" i="6"/>
  <c r="CN24" i="6"/>
  <c r="AP30" i="6"/>
  <c r="AQ30" i="6" s="1"/>
  <c r="AR30" i="6" s="1"/>
  <c r="I14" i="6"/>
  <c r="AE17" i="6"/>
  <c r="F51" i="6"/>
  <c r="J51" i="6" s="1"/>
  <c r="DJ20" i="6"/>
  <c r="DJ23" i="6"/>
  <c r="DJ9" i="6"/>
  <c r="DJ29" i="6"/>
  <c r="DJ10" i="6"/>
  <c r="DJ30" i="6"/>
  <c r="DJ11" i="6"/>
  <c r="CY8" i="6"/>
  <c r="CN19" i="6"/>
  <c r="CN22" i="6"/>
  <c r="CC17" i="6"/>
  <c r="AP13" i="6"/>
  <c r="AP26" i="6"/>
  <c r="AE32" i="6"/>
  <c r="T24" i="6"/>
  <c r="T10" i="6"/>
  <c r="I33" i="6"/>
  <c r="CC16" i="6"/>
  <c r="AE31" i="6"/>
  <c r="T27" i="6"/>
  <c r="I3" i="6"/>
  <c r="FE6" i="13" s="1"/>
  <c r="CY6" i="6"/>
  <c r="CN23" i="6"/>
  <c r="CN17" i="6"/>
  <c r="CC21" i="6"/>
  <c r="AP8" i="6"/>
  <c r="AE15" i="6"/>
  <c r="AE6" i="6"/>
  <c r="T3" i="6"/>
  <c r="I19" i="6"/>
  <c r="I29" i="6"/>
  <c r="CN32" i="6"/>
  <c r="CN3" i="6"/>
  <c r="CN26" i="6"/>
  <c r="CN9" i="6"/>
  <c r="CC23" i="6"/>
  <c r="CY17" i="6"/>
  <c r="AE28" i="6"/>
  <c r="CN14" i="6"/>
  <c r="T11" i="6"/>
  <c r="CC14" i="6"/>
  <c r="CD14" i="6" s="1"/>
  <c r="CE14" i="6" s="1"/>
  <c r="CY13" i="6"/>
  <c r="I24" i="6"/>
  <c r="AE20" i="6"/>
  <c r="CN16" i="6"/>
  <c r="DJ14" i="6"/>
  <c r="DJ28" i="6"/>
  <c r="T8" i="6"/>
  <c r="T30" i="6"/>
  <c r="I11" i="6"/>
  <c r="T12" i="6"/>
  <c r="I4" i="6"/>
  <c r="AP20" i="6"/>
  <c r="CC25" i="6"/>
  <c r="AE9" i="6"/>
  <c r="CC15" i="6"/>
  <c r="T18" i="6"/>
  <c r="I15" i="6"/>
  <c r="AP28" i="6"/>
  <c r="CY12" i="6"/>
  <c r="CY16" i="6"/>
  <c r="DJ4" i="6"/>
  <c r="I30" i="6"/>
  <c r="AE33" i="6"/>
  <c r="T29" i="6"/>
  <c r="T20" i="6"/>
  <c r="AE23" i="6"/>
  <c r="T5" i="6"/>
  <c r="CC26" i="6"/>
  <c r="CY22" i="6"/>
  <c r="AE24" i="6"/>
  <c r="CC9" i="6"/>
  <c r="AE7" i="6"/>
  <c r="T28" i="6"/>
  <c r="CC27" i="6"/>
  <c r="DJ19" i="6"/>
  <c r="DJ13" i="6"/>
  <c r="DJ32" i="10"/>
  <c r="DJ28" i="10"/>
  <c r="DJ25" i="10"/>
  <c r="DJ16" i="10"/>
  <c r="DJ13" i="10"/>
  <c r="DJ9" i="10"/>
  <c r="DJ5" i="10"/>
  <c r="CY4" i="10"/>
  <c r="CY8" i="10"/>
  <c r="CY12" i="10"/>
  <c r="CY16" i="10"/>
  <c r="CY21" i="10"/>
  <c r="CY25" i="10"/>
  <c r="CY29" i="10"/>
  <c r="CN4" i="10"/>
  <c r="CN8" i="10"/>
  <c r="CN10" i="10"/>
  <c r="CN14" i="10"/>
  <c r="CN18" i="10"/>
  <c r="CN22" i="10"/>
  <c r="CN26" i="10"/>
  <c r="CN30" i="10"/>
  <c r="CN33" i="10"/>
  <c r="CC18" i="10"/>
  <c r="CC20" i="10"/>
  <c r="CC22" i="10"/>
  <c r="CC26" i="10"/>
  <c r="CC28" i="10"/>
  <c r="CC15" i="10"/>
  <c r="AP7" i="10"/>
  <c r="AP15" i="10"/>
  <c r="AP19" i="10"/>
  <c r="AP23" i="10"/>
  <c r="AP27" i="10"/>
  <c r="AE5" i="10"/>
  <c r="AE14" i="10"/>
  <c r="AE18" i="10"/>
  <c r="AE22" i="10"/>
  <c r="AE26" i="10"/>
  <c r="AE30" i="10"/>
  <c r="AE3" i="10"/>
  <c r="T5" i="10"/>
  <c r="T8" i="10"/>
  <c r="T17" i="10"/>
  <c r="T20" i="10"/>
  <c r="T26" i="10"/>
  <c r="DJ33" i="10"/>
  <c r="DJ29" i="10"/>
  <c r="DJ18" i="10"/>
  <c r="DJ14" i="10"/>
  <c r="DJ7" i="10"/>
  <c r="CY5" i="10"/>
  <c r="CY10" i="10"/>
  <c r="CY15" i="10"/>
  <c r="CY18" i="10"/>
  <c r="CY24" i="10"/>
  <c r="CY30" i="10"/>
  <c r="DJ3" i="10"/>
  <c r="CN7" i="10"/>
  <c r="CN11" i="10"/>
  <c r="CN16" i="10"/>
  <c r="CN21" i="10"/>
  <c r="CN27" i="10"/>
  <c r="CN31" i="10"/>
  <c r="CC25" i="10"/>
  <c r="CC31" i="10"/>
  <c r="AP6" i="10"/>
  <c r="AP13" i="10"/>
  <c r="AP18" i="10"/>
  <c r="AP24" i="10"/>
  <c r="AP3" i="10"/>
  <c r="AE6" i="10"/>
  <c r="AE8" i="10"/>
  <c r="AE10" i="10"/>
  <c r="AE13" i="10"/>
  <c r="AE19" i="10"/>
  <c r="AE24" i="10"/>
  <c r="AE29" i="10"/>
  <c r="T4" i="10"/>
  <c r="T6" i="10"/>
  <c r="T10" i="10"/>
  <c r="T12" i="10"/>
  <c r="T14" i="10"/>
  <c r="T16" i="10"/>
  <c r="T18" i="10"/>
  <c r="T28" i="10"/>
  <c r="I31" i="10"/>
  <c r="I27" i="10"/>
  <c r="I22" i="10"/>
  <c r="I18" i="10"/>
  <c r="CC14" i="10"/>
  <c r="I13" i="10"/>
  <c r="CC11" i="10"/>
  <c r="I7" i="10"/>
  <c r="CC5" i="10"/>
  <c r="CD5" i="10" s="1"/>
  <c r="CE5" i="10" s="1"/>
  <c r="DJ31" i="10"/>
  <c r="DJ26" i="10"/>
  <c r="DJ24" i="10"/>
  <c r="DJ22" i="10"/>
  <c r="DJ20" i="10"/>
  <c r="DJ12" i="10"/>
  <c r="DJ10" i="10"/>
  <c r="CY6" i="10"/>
  <c r="CY11" i="10"/>
  <c r="CY26" i="10"/>
  <c r="CY31" i="10"/>
  <c r="CY3" i="10"/>
  <c r="CN12" i="10"/>
  <c r="CN17" i="10"/>
  <c r="CN23" i="10"/>
  <c r="CN28" i="10"/>
  <c r="CN3" i="10"/>
  <c r="CC21" i="10"/>
  <c r="CC27" i="10"/>
  <c r="CC29" i="10"/>
  <c r="CC32" i="10"/>
  <c r="AP8" i="10"/>
  <c r="AP11" i="10"/>
  <c r="AP14" i="10"/>
  <c r="AP20" i="10"/>
  <c r="AP25" i="10"/>
  <c r="AE4" i="10"/>
  <c r="AE15" i="10"/>
  <c r="AE20" i="10"/>
  <c r="AE25" i="10"/>
  <c r="AE31" i="10"/>
  <c r="T21" i="10"/>
  <c r="T24" i="10"/>
  <c r="T29" i="10"/>
  <c r="T31" i="10"/>
  <c r="I30" i="10"/>
  <c r="I26" i="10"/>
  <c r="I14" i="10"/>
  <c r="CC12" i="10"/>
  <c r="CD12" i="10" s="1"/>
  <c r="CE12" i="10" s="1"/>
  <c r="I11" i="10"/>
  <c r="CC9" i="10"/>
  <c r="CC8" i="10"/>
  <c r="I5" i="10"/>
  <c r="DJ17" i="10"/>
  <c r="DJ8" i="10"/>
  <c r="DJ6" i="10"/>
  <c r="CY7" i="10"/>
  <c r="CY13" i="10"/>
  <c r="CY17" i="10"/>
  <c r="CY19" i="10"/>
  <c r="DJ23" i="10"/>
  <c r="DJ15" i="10"/>
  <c r="CY14" i="10"/>
  <c r="CY23" i="10"/>
  <c r="CN9" i="10"/>
  <c r="CN20" i="10"/>
  <c r="CC17" i="10"/>
  <c r="CC24" i="10"/>
  <c r="CC30" i="10"/>
  <c r="AP10" i="10"/>
  <c r="AP17" i="10"/>
  <c r="AP28" i="10"/>
  <c r="AE12" i="10"/>
  <c r="AE23" i="10"/>
  <c r="AE33" i="10"/>
  <c r="T27" i="10"/>
  <c r="T3" i="10"/>
  <c r="I33" i="10"/>
  <c r="I24" i="10"/>
  <c r="I16" i="10"/>
  <c r="I12" i="10"/>
  <c r="I9" i="10"/>
  <c r="CC6" i="10"/>
  <c r="CD6" i="10" s="1"/>
  <c r="CE6" i="10" s="1"/>
  <c r="CC3" i="10"/>
  <c r="DJ30" i="10"/>
  <c r="DJ21" i="10"/>
  <c r="CY27" i="10"/>
  <c r="CN5" i="10"/>
  <c r="CN13" i="10"/>
  <c r="CN24" i="10"/>
  <c r="CN32" i="10"/>
  <c r="CC19" i="10"/>
  <c r="AP4" i="10"/>
  <c r="AP21" i="10"/>
  <c r="AE9" i="10"/>
  <c r="AE16" i="10"/>
  <c r="AE27" i="10"/>
  <c r="T13" i="10"/>
  <c r="T22" i="10"/>
  <c r="F50" i="10"/>
  <c r="J50" i="10" s="1"/>
  <c r="AP31" i="10"/>
  <c r="I23" i="10"/>
  <c r="I15" i="10"/>
  <c r="I6" i="10"/>
  <c r="I3" i="10"/>
  <c r="DJ27" i="10"/>
  <c r="DJ19" i="10"/>
  <c r="DJ11" i="10"/>
  <c r="DJ4" i="10"/>
  <c r="CY20" i="10"/>
  <c r="CY28" i="10"/>
  <c r="CN6" i="10"/>
  <c r="CN15" i="10"/>
  <c r="CN25" i="10"/>
  <c r="AP5" i="10"/>
  <c r="AP12" i="10"/>
  <c r="AP22" i="10"/>
  <c r="AE17" i="10"/>
  <c r="AE28" i="10"/>
  <c r="T9" i="10"/>
  <c r="T23" i="10"/>
  <c r="T30" i="10"/>
  <c r="AP29" i="10"/>
  <c r="I20" i="10"/>
  <c r="CC10" i="10"/>
  <c r="CD10" i="10" s="1"/>
  <c r="CE10" i="10" s="1"/>
  <c r="I8" i="10"/>
  <c r="CC4" i="10"/>
  <c r="CD4" i="10" s="1"/>
  <c r="CE4" i="10" s="1"/>
  <c r="CY9" i="10"/>
  <c r="CY22" i="10"/>
  <c r="CY32" i="10"/>
  <c r="CN19" i="10"/>
  <c r="CN29" i="10"/>
  <c r="CC16" i="10"/>
  <c r="CC23" i="10"/>
  <c r="AP9" i="10"/>
  <c r="AP16" i="10"/>
  <c r="AP26" i="10"/>
  <c r="AE7" i="10"/>
  <c r="AE11" i="10"/>
  <c r="AE21" i="10"/>
  <c r="AE32" i="10"/>
  <c r="T7" i="10"/>
  <c r="T11" i="10"/>
  <c r="T15" i="10"/>
  <c r="T19" i="10"/>
  <c r="T25" i="10"/>
  <c r="I29" i="10"/>
  <c r="I19" i="10"/>
  <c r="CC13" i="10"/>
  <c r="I10" i="10"/>
  <c r="CC7" i="10"/>
  <c r="I4" i="10"/>
  <c r="F48" i="10"/>
  <c r="J48" i="10" s="1"/>
  <c r="F51" i="10"/>
  <c r="J51" i="10" s="1"/>
  <c r="I17" i="10"/>
  <c r="AP32" i="10"/>
  <c r="I32" i="10"/>
  <c r="F49" i="10"/>
  <c r="J49" i="10" s="1"/>
  <c r="AP30" i="10"/>
  <c r="AQ30" i="10" s="1"/>
  <c r="AR30" i="10" s="1"/>
  <c r="I25" i="10"/>
  <c r="I28" i="10"/>
  <c r="I21" i="10"/>
  <c r="W63" i="3"/>
  <c r="W62" i="3"/>
  <c r="EM26" i="6"/>
  <c r="EO26" i="6" s="1"/>
  <c r="EQ26" i="6" s="1"/>
  <c r="EO25" i="6"/>
  <c r="EQ25" i="6" s="1"/>
  <c r="EM51" i="6"/>
  <c r="EO50" i="6"/>
  <c r="EQ50" i="6" s="1"/>
  <c r="EM16" i="6"/>
  <c r="EO15" i="6"/>
  <c r="EQ15" i="6" s="1"/>
  <c r="W64" i="3"/>
  <c r="W60" i="3"/>
  <c r="W59" i="3"/>
  <c r="C26" i="4"/>
  <c r="H46" i="3"/>
  <c r="N75" i="3"/>
  <c r="EM41" i="10"/>
  <c r="EO40" i="10"/>
  <c r="EO23" i="10"/>
  <c r="EM24" i="10"/>
  <c r="EO50" i="10"/>
  <c r="EM51" i="10"/>
  <c r="EM16" i="10"/>
  <c r="EO15" i="10"/>
  <c r="W61" i="3"/>
  <c r="W47" i="3"/>
  <c r="W50" i="3"/>
  <c r="EQ50" i="10" l="1"/>
  <c r="M47" i="14"/>
  <c r="T47" i="14" s="1"/>
  <c r="EQ15" i="10"/>
  <c r="M12" i="14"/>
  <c r="T12" i="14" s="1"/>
  <c r="EQ40" i="10"/>
  <c r="M37" i="14"/>
  <c r="T37" i="14" s="1"/>
  <c r="EQ23" i="10"/>
  <c r="M20" i="14"/>
  <c r="T20" i="14" s="1"/>
  <c r="J24" i="12"/>
  <c r="J23" i="12" s="1"/>
  <c r="J22" i="12" s="1"/>
  <c r="J21" i="12" s="1"/>
  <c r="J20" i="12" s="1"/>
  <c r="J19" i="12" s="1"/>
  <c r="J18" i="12" s="1"/>
  <c r="J17" i="12" s="1"/>
  <c r="J16" i="12" s="1"/>
  <c r="J15" i="12" s="1"/>
  <c r="CD7" i="13"/>
  <c r="CE7" i="13" s="1"/>
  <c r="V50" i="12"/>
  <c r="ER53" i="13" s="1"/>
  <c r="U49" i="12"/>
  <c r="CD6" i="15"/>
  <c r="CE6" i="15" s="1"/>
  <c r="CD12" i="15"/>
  <c r="CE12" i="15" s="1"/>
  <c r="CD7" i="15"/>
  <c r="CE7" i="15" s="1"/>
  <c r="CD3" i="15"/>
  <c r="CE3" i="15" s="1"/>
  <c r="AQ31" i="15"/>
  <c r="AR31" i="15" s="1"/>
  <c r="CD11" i="15"/>
  <c r="CE11" i="15" s="1"/>
  <c r="FG6" i="13"/>
  <c r="FN6" i="13"/>
  <c r="CD14" i="15"/>
  <c r="CE14" i="15" s="1"/>
  <c r="AQ30" i="15"/>
  <c r="AR30" i="15" s="1"/>
  <c r="CD4" i="15"/>
  <c r="CE4" i="15" s="1"/>
  <c r="CD3" i="13"/>
  <c r="CE3" i="13" s="1"/>
  <c r="CD10" i="15"/>
  <c r="CE10" i="15" s="1"/>
  <c r="CD4" i="13"/>
  <c r="CE4" i="13" s="1"/>
  <c r="CD13" i="13"/>
  <c r="CE13" i="13" s="1"/>
  <c r="AQ29" i="15"/>
  <c r="AR29" i="15" s="1"/>
  <c r="CD8" i="15"/>
  <c r="CE8" i="15" s="1"/>
  <c r="CD9" i="13"/>
  <c r="CE9" i="13" s="1"/>
  <c r="AQ31" i="13"/>
  <c r="AR31" i="13" s="1"/>
  <c r="CD10" i="13"/>
  <c r="CE10" i="13" s="1"/>
  <c r="V50" i="14"/>
  <c r="ER53" i="15" s="1"/>
  <c r="DO40" i="15"/>
  <c r="DO25" i="15"/>
  <c r="DO22" i="15"/>
  <c r="DO29" i="15"/>
  <c r="DO27" i="15"/>
  <c r="DO24" i="15"/>
  <c r="DO39" i="15"/>
  <c r="DO31" i="15"/>
  <c r="DO37" i="15"/>
  <c r="DO34" i="15"/>
  <c r="DO33" i="15"/>
  <c r="DO32" i="15"/>
  <c r="DO28" i="15"/>
  <c r="DO23" i="15"/>
  <c r="DO20" i="15"/>
  <c r="DO17" i="15"/>
  <c r="DO11" i="15"/>
  <c r="DO10" i="15"/>
  <c r="DO19" i="15"/>
  <c r="DO16" i="15"/>
  <c r="DO14" i="15"/>
  <c r="DO12" i="15"/>
  <c r="DO18" i="15"/>
  <c r="DO9" i="15"/>
  <c r="DO21" i="15"/>
  <c r="DO36" i="15"/>
  <c r="DO15" i="15"/>
  <c r="DO38" i="15"/>
  <c r="DO7" i="15"/>
  <c r="DO5" i="15"/>
  <c r="DO26" i="15"/>
  <c r="DO13" i="15"/>
  <c r="DO8" i="15"/>
  <c r="DO6" i="15"/>
  <c r="DO35" i="15"/>
  <c r="DO30" i="15"/>
  <c r="DO39" i="13"/>
  <c r="DO34" i="13"/>
  <c r="DO26" i="13"/>
  <c r="DO40" i="13"/>
  <c r="DO27" i="13"/>
  <c r="DO25" i="13"/>
  <c r="DO33" i="13"/>
  <c r="DO32" i="13"/>
  <c r="DO29" i="13"/>
  <c r="DO24" i="13"/>
  <c r="DO31" i="13"/>
  <c r="DO30" i="13"/>
  <c r="DO23" i="13"/>
  <c r="DO21" i="13"/>
  <c r="DO19" i="13"/>
  <c r="DO10" i="13"/>
  <c r="DO7" i="13"/>
  <c r="DO37" i="13"/>
  <c r="DO18" i="13"/>
  <c r="DO14" i="13"/>
  <c r="DO8" i="13"/>
  <c r="DO36" i="13"/>
  <c r="DO35" i="13"/>
  <c r="DO38" i="13"/>
  <c r="DO28" i="13"/>
  <c r="DO20" i="13"/>
  <c r="DO13" i="13"/>
  <c r="DO12" i="13"/>
  <c r="DO5" i="13"/>
  <c r="DO17" i="13"/>
  <c r="DO16" i="13"/>
  <c r="DO9" i="13"/>
  <c r="DO22" i="13"/>
  <c r="DO6" i="13"/>
  <c r="DO11" i="13"/>
  <c r="DO15" i="13"/>
  <c r="CE13" i="6"/>
  <c r="CE3" i="6"/>
  <c r="CD9" i="6"/>
  <c r="CE9" i="6" s="1"/>
  <c r="AQ32" i="10"/>
  <c r="AR32" i="10" s="1"/>
  <c r="CD3" i="10"/>
  <c r="CE3" i="10" s="1"/>
  <c r="CD8" i="10"/>
  <c r="CE8" i="10" s="1"/>
  <c r="CD11" i="10"/>
  <c r="CE11" i="10" s="1"/>
  <c r="CD7" i="10"/>
  <c r="CE7" i="10" s="1"/>
  <c r="AQ29" i="10"/>
  <c r="AR29" i="10" s="1"/>
  <c r="CD9" i="10"/>
  <c r="CE9" i="10" s="1"/>
  <c r="CE4" i="6"/>
  <c r="CD14" i="10"/>
  <c r="CE14" i="10" s="1"/>
  <c r="CD13" i="10"/>
  <c r="CE13" i="10" s="1"/>
  <c r="AQ31" i="10"/>
  <c r="AR31" i="10" s="1"/>
  <c r="N76" i="3"/>
  <c r="N79" i="3" s="1"/>
  <c r="N80" i="3" s="1"/>
  <c r="DO39" i="10"/>
  <c r="DO31" i="10"/>
  <c r="DO28" i="10"/>
  <c r="DO40" i="10"/>
  <c r="DO38" i="10"/>
  <c r="DO36" i="10"/>
  <c r="DO34" i="10"/>
  <c r="DO30" i="10"/>
  <c r="DO35" i="10"/>
  <c r="DO24" i="10"/>
  <c r="DO37" i="10"/>
  <c r="DO33" i="10"/>
  <c r="DO27" i="10"/>
  <c r="DO23" i="10"/>
  <c r="DO22" i="10"/>
  <c r="DO21" i="10"/>
  <c r="DO20" i="10"/>
  <c r="DO14" i="10"/>
  <c r="DO29" i="10"/>
  <c r="DO19" i="10"/>
  <c r="DO17" i="10"/>
  <c r="DO13" i="10"/>
  <c r="DO10" i="10"/>
  <c r="DO32" i="10"/>
  <c r="DO15" i="10"/>
  <c r="DO11" i="10"/>
  <c r="DO9" i="10"/>
  <c r="DO7" i="10"/>
  <c r="DO8" i="10"/>
  <c r="DO25" i="10"/>
  <c r="DO18" i="10"/>
  <c r="DO16" i="10"/>
  <c r="DO5" i="10"/>
  <c r="DO26" i="10"/>
  <c r="DO12" i="10"/>
  <c r="DO6" i="10"/>
  <c r="N93" i="3"/>
  <c r="N96" i="3" s="1"/>
  <c r="DO9" i="6"/>
  <c r="DO13" i="6"/>
  <c r="DO17" i="6"/>
  <c r="DO21" i="6"/>
  <c r="DO25" i="6"/>
  <c r="DO29" i="6"/>
  <c r="DO33" i="6"/>
  <c r="DO37" i="6"/>
  <c r="DO5" i="6"/>
  <c r="DO7" i="6"/>
  <c r="DO11" i="6"/>
  <c r="DO15" i="6"/>
  <c r="DO19" i="6"/>
  <c r="DO23" i="6"/>
  <c r="DO27" i="6"/>
  <c r="DO31" i="6"/>
  <c r="DO35" i="6"/>
  <c r="DO39" i="6"/>
  <c r="DO8" i="6"/>
  <c r="DO16" i="6"/>
  <c r="DO24" i="6"/>
  <c r="DO32" i="6"/>
  <c r="DO40" i="6"/>
  <c r="DO10" i="6"/>
  <c r="DO18" i="6"/>
  <c r="DO26" i="6"/>
  <c r="DO34" i="6"/>
  <c r="P77" i="3"/>
  <c r="DO12" i="6"/>
  <c r="DO20" i="6"/>
  <c r="DO28" i="6"/>
  <c r="DO36" i="6"/>
  <c r="DO6" i="6"/>
  <c r="DO14" i="6"/>
  <c r="DO22" i="6"/>
  <c r="DO30" i="6"/>
  <c r="DO38" i="6"/>
  <c r="EO16" i="6"/>
  <c r="EQ16" i="6" s="1"/>
  <c r="EM17" i="6"/>
  <c r="EO17" i="6" s="1"/>
  <c r="EQ17" i="6" s="1"/>
  <c r="EO51" i="6"/>
  <c r="EQ51" i="6" s="1"/>
  <c r="EM52" i="6"/>
  <c r="EO52" i="6" s="1"/>
  <c r="EQ52" i="6" s="1"/>
  <c r="A18" i="9"/>
  <c r="A6" i="9"/>
  <c r="N31" i="9"/>
  <c r="P31" i="3"/>
  <c r="P35" i="3" s="1"/>
  <c r="N31" i="3"/>
  <c r="P31" i="9"/>
  <c r="P35" i="9" s="1"/>
  <c r="A18" i="3"/>
  <c r="A6" i="3"/>
  <c r="EM17" i="10"/>
  <c r="EO17" i="10" s="1"/>
  <c r="EO16" i="10"/>
  <c r="EM52" i="10"/>
  <c r="EO52" i="10" s="1"/>
  <c r="EO51" i="10"/>
  <c r="EO41" i="10"/>
  <c r="EM42" i="10"/>
  <c r="EO24" i="10"/>
  <c r="EM25" i="10"/>
  <c r="EQ16" i="10" l="1"/>
  <c r="M13" i="14"/>
  <c r="T13" i="14" s="1"/>
  <c r="EQ41" i="10"/>
  <c r="M38" i="14"/>
  <c r="T38" i="14" s="1"/>
  <c r="EQ17" i="10"/>
  <c r="M14" i="14"/>
  <c r="T14" i="14" s="1"/>
  <c r="EQ51" i="10"/>
  <c r="M48" i="14"/>
  <c r="T48" i="14" s="1"/>
  <c r="EQ24" i="10"/>
  <c r="M21" i="14"/>
  <c r="T21" i="14" s="1"/>
  <c r="EQ52" i="10"/>
  <c r="M49" i="14"/>
  <c r="T49" i="14" s="1"/>
  <c r="U49" i="14" s="1"/>
  <c r="V49" i="14" s="1"/>
  <c r="ER52" i="15" s="1"/>
  <c r="ER22" i="6"/>
  <c r="U48" i="12"/>
  <c r="V49" i="12"/>
  <c r="ER52" i="13" s="1"/>
  <c r="J14" i="12"/>
  <c r="J13" i="12" s="1"/>
  <c r="J12" i="12" s="1"/>
  <c r="J11" i="12" s="1"/>
  <c r="J10" i="12" s="1"/>
  <c r="J9" i="12" s="1"/>
  <c r="J8" i="12" s="1"/>
  <c r="J7" i="12" s="1"/>
  <c r="J6" i="12" s="1"/>
  <c r="J5" i="12" s="1"/>
  <c r="J4" i="12" s="1"/>
  <c r="J3" i="12" s="1"/>
  <c r="J2" i="12" s="1"/>
  <c r="DN30" i="15"/>
  <c r="DP30" i="15" s="1"/>
  <c r="DN38" i="15"/>
  <c r="DP38" i="15" s="1"/>
  <c r="DN16" i="15"/>
  <c r="DP16" i="15" s="1"/>
  <c r="DN32" i="15"/>
  <c r="DP32" i="15" s="1"/>
  <c r="DN29" i="15"/>
  <c r="DP29" i="15" s="1"/>
  <c r="DN26" i="15"/>
  <c r="DP26" i="15" s="1"/>
  <c r="DN18" i="15"/>
  <c r="DP18" i="15" s="1"/>
  <c r="DN39" i="15"/>
  <c r="DP39" i="15" s="1"/>
  <c r="DN6" i="15"/>
  <c r="DP6" i="15" s="1"/>
  <c r="DN5" i="15"/>
  <c r="DP5" i="15" s="1"/>
  <c r="DN36" i="15"/>
  <c r="DP36" i="15" s="1"/>
  <c r="DN12" i="15"/>
  <c r="DP12" i="15" s="1"/>
  <c r="DN10" i="15"/>
  <c r="DP10" i="15" s="1"/>
  <c r="DN23" i="15"/>
  <c r="DP23" i="15" s="1"/>
  <c r="DN34" i="15"/>
  <c r="DP34" i="15" s="1"/>
  <c r="DN24" i="15"/>
  <c r="DP24" i="15" s="1"/>
  <c r="DN25" i="15"/>
  <c r="DP25" i="15" s="1"/>
  <c r="DN13" i="15"/>
  <c r="DP13" i="15" s="1"/>
  <c r="DN9" i="15"/>
  <c r="DP9" i="15" s="1"/>
  <c r="DN17" i="15"/>
  <c r="DP17" i="15" s="1"/>
  <c r="DN31" i="15"/>
  <c r="DP31" i="15" s="1"/>
  <c r="DN35" i="15"/>
  <c r="DP35" i="15" s="1"/>
  <c r="DN15" i="15"/>
  <c r="DP15" i="15" s="1"/>
  <c r="DN19" i="15"/>
  <c r="DP19" i="15" s="1"/>
  <c r="DN20" i="15"/>
  <c r="DP20" i="15" s="1"/>
  <c r="DN33" i="15"/>
  <c r="DP33" i="15" s="1"/>
  <c r="DN22" i="15"/>
  <c r="DP22" i="15" s="1"/>
  <c r="N97" i="3"/>
  <c r="AA32" i="15" s="1"/>
  <c r="DN8" i="15"/>
  <c r="DP8" i="15" s="1"/>
  <c r="DN7" i="15"/>
  <c r="DP7" i="15" s="1"/>
  <c r="DN21" i="15"/>
  <c r="DP21" i="15" s="1"/>
  <c r="DN14" i="15"/>
  <c r="DP14" i="15" s="1"/>
  <c r="DN11" i="15"/>
  <c r="DP11" i="15" s="1"/>
  <c r="DN28" i="15"/>
  <c r="DP28" i="15" s="1"/>
  <c r="DN37" i="15"/>
  <c r="DP37" i="15" s="1"/>
  <c r="DN27" i="15"/>
  <c r="DP27" i="15" s="1"/>
  <c r="DN40" i="15"/>
  <c r="DP40" i="15" s="1"/>
  <c r="DN11" i="13"/>
  <c r="DP11" i="13" s="1"/>
  <c r="DN13" i="13"/>
  <c r="DP13" i="13" s="1"/>
  <c r="DN18" i="13"/>
  <c r="DP18" i="13" s="1"/>
  <c r="DN31" i="13"/>
  <c r="DP31" i="13" s="1"/>
  <c r="DN26" i="13"/>
  <c r="DP26" i="13" s="1"/>
  <c r="DN6" i="13"/>
  <c r="DP6" i="13" s="1"/>
  <c r="DN17" i="13"/>
  <c r="DP17" i="13" s="1"/>
  <c r="DN36" i="13"/>
  <c r="DP36" i="13" s="1"/>
  <c r="DN21" i="13"/>
  <c r="DP21" i="13" s="1"/>
  <c r="DN34" i="13"/>
  <c r="DP34" i="13" s="1"/>
  <c r="DN15" i="13"/>
  <c r="DP15" i="13" s="1"/>
  <c r="DN9" i="13"/>
  <c r="DP9" i="13" s="1"/>
  <c r="DN12" i="13"/>
  <c r="DP12" i="13" s="1"/>
  <c r="DN38" i="13"/>
  <c r="DP38" i="13" s="1"/>
  <c r="DN14" i="13"/>
  <c r="DP14" i="13" s="1"/>
  <c r="DN10" i="13"/>
  <c r="DP10" i="13" s="1"/>
  <c r="DN30" i="13"/>
  <c r="DP30" i="13" s="1"/>
  <c r="DN32" i="13"/>
  <c r="DP32" i="13" s="1"/>
  <c r="DN40" i="13"/>
  <c r="DP40" i="13" s="1"/>
  <c r="DN16" i="13"/>
  <c r="DP16" i="13" s="1"/>
  <c r="DN35" i="13"/>
  <c r="DP35" i="13" s="1"/>
  <c r="DN19" i="13"/>
  <c r="DP19" i="13" s="1"/>
  <c r="DN33" i="13"/>
  <c r="DP33" i="13" s="1"/>
  <c r="DN20" i="13"/>
  <c r="DP20" i="13" s="1"/>
  <c r="DN37" i="13"/>
  <c r="DP37" i="13" s="1"/>
  <c r="DN24" i="13"/>
  <c r="DP24" i="13" s="1"/>
  <c r="DN25" i="13"/>
  <c r="DP25" i="13" s="1"/>
  <c r="DN22" i="13"/>
  <c r="DP22" i="13" s="1"/>
  <c r="DN5" i="13"/>
  <c r="DP5" i="13" s="1"/>
  <c r="DN28" i="13"/>
  <c r="DP28" i="13" s="1"/>
  <c r="DN8" i="13"/>
  <c r="DP8" i="13" s="1"/>
  <c r="DN7" i="13"/>
  <c r="DP7" i="13" s="1"/>
  <c r="DN23" i="13"/>
  <c r="DP23" i="13" s="1"/>
  <c r="DN29" i="13"/>
  <c r="DP29" i="13" s="1"/>
  <c r="DN27" i="13"/>
  <c r="DP27" i="13" s="1"/>
  <c r="DN39" i="13"/>
  <c r="DP39" i="13" s="1"/>
  <c r="DN6" i="10"/>
  <c r="DP6" i="10" s="1"/>
  <c r="DN16" i="10"/>
  <c r="DP16" i="10" s="1"/>
  <c r="DN7" i="10"/>
  <c r="DP7" i="10" s="1"/>
  <c r="DN32" i="10"/>
  <c r="DP32" i="10" s="1"/>
  <c r="DN19" i="10"/>
  <c r="DP19" i="10" s="1"/>
  <c r="DN21" i="10"/>
  <c r="DP21" i="10" s="1"/>
  <c r="DN33" i="10"/>
  <c r="DP33" i="10" s="1"/>
  <c r="DN30" i="10"/>
  <c r="DP30" i="10" s="1"/>
  <c r="DN40" i="10"/>
  <c r="DP40" i="10" s="1"/>
  <c r="DN12" i="10"/>
  <c r="DP12" i="10" s="1"/>
  <c r="DN18" i="10"/>
  <c r="DP18" i="10" s="1"/>
  <c r="DN9" i="10"/>
  <c r="DP9" i="10" s="1"/>
  <c r="DN10" i="10"/>
  <c r="DP10" i="10" s="1"/>
  <c r="DN29" i="10"/>
  <c r="DP29" i="10" s="1"/>
  <c r="DN22" i="10"/>
  <c r="DP22" i="10" s="1"/>
  <c r="DN37" i="10"/>
  <c r="DP37" i="10" s="1"/>
  <c r="DN34" i="10"/>
  <c r="DP34" i="10" s="1"/>
  <c r="DN28" i="10"/>
  <c r="DP28" i="10" s="1"/>
  <c r="DN26" i="10"/>
  <c r="DP26" i="10" s="1"/>
  <c r="DN25" i="10"/>
  <c r="DP25" i="10" s="1"/>
  <c r="DN11" i="10"/>
  <c r="DP11" i="10" s="1"/>
  <c r="DN13" i="10"/>
  <c r="DP13" i="10" s="1"/>
  <c r="DN14" i="10"/>
  <c r="DP14" i="10" s="1"/>
  <c r="DN23" i="10"/>
  <c r="DP23" i="10" s="1"/>
  <c r="DN24" i="10"/>
  <c r="DP24" i="10" s="1"/>
  <c r="DN36" i="10"/>
  <c r="DP36" i="10" s="1"/>
  <c r="DN31" i="10"/>
  <c r="DP31" i="10" s="1"/>
  <c r="DN5" i="10"/>
  <c r="DP5" i="10" s="1"/>
  <c r="DN8" i="10"/>
  <c r="DP8" i="10" s="1"/>
  <c r="DN15" i="10"/>
  <c r="DP15" i="10" s="1"/>
  <c r="DN17" i="10"/>
  <c r="DP17" i="10" s="1"/>
  <c r="DN20" i="10"/>
  <c r="DP20" i="10" s="1"/>
  <c r="DN27" i="10"/>
  <c r="DP27" i="10" s="1"/>
  <c r="DN35" i="10"/>
  <c r="DP35" i="10" s="1"/>
  <c r="DN38" i="10"/>
  <c r="DP38" i="10" s="1"/>
  <c r="DN39" i="10"/>
  <c r="DP39" i="10" s="1"/>
  <c r="DN28" i="6"/>
  <c r="DP28" i="6" s="1"/>
  <c r="DN40" i="6"/>
  <c r="DP40" i="6" s="1"/>
  <c r="DN27" i="6"/>
  <c r="DP27" i="6" s="1"/>
  <c r="DN33" i="6"/>
  <c r="DP33" i="6" s="1"/>
  <c r="DN14" i="6"/>
  <c r="DP14" i="6" s="1"/>
  <c r="DN26" i="6"/>
  <c r="DP26" i="6" s="1"/>
  <c r="DN39" i="6"/>
  <c r="DP39" i="6" s="1"/>
  <c r="DN23" i="6"/>
  <c r="DP23" i="6" s="1"/>
  <c r="DN29" i="6"/>
  <c r="DP29" i="6" s="1"/>
  <c r="DN13" i="6"/>
  <c r="DP13" i="6" s="1"/>
  <c r="DN38" i="6"/>
  <c r="DP38" i="6" s="1"/>
  <c r="DN6" i="6"/>
  <c r="DP6" i="6" s="1"/>
  <c r="DN12" i="6"/>
  <c r="DP12" i="6" s="1"/>
  <c r="DN18" i="6"/>
  <c r="DP18" i="6" s="1"/>
  <c r="DN24" i="6"/>
  <c r="DP24" i="6" s="1"/>
  <c r="DN35" i="6"/>
  <c r="DP35" i="6" s="1"/>
  <c r="DN19" i="6"/>
  <c r="DP19" i="6" s="1"/>
  <c r="DN5" i="6"/>
  <c r="DP5" i="6" s="1"/>
  <c r="DN25" i="6"/>
  <c r="DP25" i="6" s="1"/>
  <c r="DN9" i="6"/>
  <c r="DP9" i="6" s="1"/>
  <c r="DN22" i="6"/>
  <c r="DP22" i="6" s="1"/>
  <c r="DN34" i="6"/>
  <c r="DP34" i="6" s="1"/>
  <c r="DN8" i="6"/>
  <c r="DP8" i="6" s="1"/>
  <c r="DN11" i="6"/>
  <c r="DP11" i="6" s="1"/>
  <c r="DN17" i="6"/>
  <c r="DP17" i="6" s="1"/>
  <c r="DN20" i="6"/>
  <c r="DP20" i="6" s="1"/>
  <c r="DN32" i="6"/>
  <c r="DP32" i="6" s="1"/>
  <c r="DN7" i="6"/>
  <c r="DP7" i="6" s="1"/>
  <c r="DN30" i="6"/>
  <c r="DP30" i="6" s="1"/>
  <c r="DN36" i="6"/>
  <c r="DP36" i="6" s="1"/>
  <c r="DN10" i="6"/>
  <c r="DP10" i="6" s="1"/>
  <c r="DN16" i="6"/>
  <c r="DP16" i="6" s="1"/>
  <c r="DN31" i="6"/>
  <c r="DP31" i="6" s="1"/>
  <c r="DN15" i="6"/>
  <c r="DP15" i="6" s="1"/>
  <c r="DN37" i="6"/>
  <c r="DP37" i="6" s="1"/>
  <c r="DN21" i="6"/>
  <c r="DP21" i="6" s="1"/>
  <c r="ER12" i="6"/>
  <c r="ER36" i="6"/>
  <c r="ER37" i="6"/>
  <c r="ER52" i="6"/>
  <c r="ER32" i="6"/>
  <c r="ER35" i="6"/>
  <c r="ER39" i="6"/>
  <c r="ER20" i="6"/>
  <c r="ER17" i="6"/>
  <c r="ER46" i="6"/>
  <c r="ER41" i="6"/>
  <c r="ER47" i="6"/>
  <c r="ER48" i="6"/>
  <c r="ER13" i="6"/>
  <c r="ER29" i="6"/>
  <c r="ER51" i="6"/>
  <c r="ER40" i="6"/>
  <c r="ER18" i="6"/>
  <c r="ER16" i="6"/>
  <c r="ER14" i="6"/>
  <c r="ER34" i="6"/>
  <c r="ER28" i="6"/>
  <c r="ER43" i="6"/>
  <c r="ER30" i="6"/>
  <c r="ER15" i="6"/>
  <c r="ER42" i="6"/>
  <c r="ER44" i="6"/>
  <c r="ER23" i="6"/>
  <c r="ER25" i="6"/>
  <c r="ER24" i="6"/>
  <c r="ER38" i="6"/>
  <c r="ER50" i="6"/>
  <c r="ER33" i="6"/>
  <c r="ER10" i="6"/>
  <c r="ER21" i="6"/>
  <c r="ER31" i="6"/>
  <c r="ER45" i="6"/>
  <c r="ER19" i="6"/>
  <c r="ER27" i="6"/>
  <c r="ER49" i="6"/>
  <c r="ER26" i="6"/>
  <c r="ER11" i="6"/>
  <c r="Q35" i="3"/>
  <c r="N33" i="3" s="1"/>
  <c r="Q35" i="9"/>
  <c r="N36" i="9" s="1"/>
  <c r="ER52" i="10"/>
  <c r="EM26" i="10"/>
  <c r="EO26" i="10" s="1"/>
  <c r="EO25" i="10"/>
  <c r="EO42" i="10"/>
  <c r="EM43" i="10"/>
  <c r="ER47" i="10" l="1"/>
  <c r="ER50" i="10"/>
  <c r="ER49" i="10"/>
  <c r="ER48" i="10"/>
  <c r="U48" i="14"/>
  <c r="V48" i="14" s="1"/>
  <c r="ER51" i="15" s="1"/>
  <c r="EQ25" i="10"/>
  <c r="M22" i="14"/>
  <c r="T22" i="14" s="1"/>
  <c r="EQ42" i="10"/>
  <c r="M39" i="14"/>
  <c r="T39" i="14" s="1"/>
  <c r="ER45" i="10"/>
  <c r="ER46" i="10"/>
  <c r="ER51" i="10"/>
  <c r="EQ26" i="10"/>
  <c r="M23" i="14"/>
  <c r="T23" i="14" s="1"/>
  <c r="FD6" i="15"/>
  <c r="FB11" i="15"/>
  <c r="FD6" i="13"/>
  <c r="FB11" i="13"/>
  <c r="U47" i="12"/>
  <c r="V48" i="12"/>
  <c r="ER51" i="13" s="1"/>
  <c r="U47" i="14"/>
  <c r="E9" i="15"/>
  <c r="P13" i="15"/>
  <c r="BY25" i="15"/>
  <c r="AL5" i="15"/>
  <c r="E8" i="15"/>
  <c r="CU29" i="15"/>
  <c r="AL19" i="15"/>
  <c r="AA3" i="15"/>
  <c r="CJ30" i="15"/>
  <c r="E20" i="15"/>
  <c r="AL6" i="15"/>
  <c r="AA17" i="15"/>
  <c r="AL27" i="15"/>
  <c r="CJ12" i="15"/>
  <c r="AL9" i="15"/>
  <c r="E16" i="15"/>
  <c r="CU8" i="15"/>
  <c r="AA21" i="15"/>
  <c r="BY32" i="15"/>
  <c r="CU13" i="15"/>
  <c r="DF14" i="15"/>
  <c r="AL14" i="15"/>
  <c r="CJ16" i="15"/>
  <c r="CJ10" i="15"/>
  <c r="CU18" i="15"/>
  <c r="E5" i="15"/>
  <c r="CJ14" i="15"/>
  <c r="BY21" i="15"/>
  <c r="AA23" i="15"/>
  <c r="DF22" i="15"/>
  <c r="DF23" i="15"/>
  <c r="CJ22" i="15"/>
  <c r="CJ4" i="15"/>
  <c r="AL16" i="15"/>
  <c r="DF7" i="15"/>
  <c r="AL3" i="15"/>
  <c r="AL18" i="15"/>
  <c r="E33" i="15"/>
  <c r="E31" i="15"/>
  <c r="AL10" i="15"/>
  <c r="P6" i="15"/>
  <c r="AA25" i="15"/>
  <c r="E19" i="15"/>
  <c r="P20" i="15"/>
  <c r="P12" i="15"/>
  <c r="CJ21" i="15"/>
  <c r="CU5" i="15"/>
  <c r="CJ15" i="15"/>
  <c r="AL25" i="15"/>
  <c r="CJ27" i="15"/>
  <c r="BY26" i="15"/>
  <c r="DF25" i="15"/>
  <c r="E25" i="15"/>
  <c r="CJ29" i="15"/>
  <c r="E28" i="15"/>
  <c r="CU11" i="15"/>
  <c r="E10" i="15"/>
  <c r="CU6" i="15"/>
  <c r="CU12" i="15"/>
  <c r="CU27" i="15"/>
  <c r="DF4" i="15"/>
  <c r="E15" i="15"/>
  <c r="E6" i="15"/>
  <c r="DF16" i="15"/>
  <c r="AA7" i="15"/>
  <c r="CJ11" i="15"/>
  <c r="AA16" i="15"/>
  <c r="CU21" i="15"/>
  <c r="AA4" i="15"/>
  <c r="DF5" i="15"/>
  <c r="P8" i="15"/>
  <c r="AA15" i="15"/>
  <c r="BY17" i="15"/>
  <c r="DF27" i="15"/>
  <c r="AL21" i="15"/>
  <c r="CU28" i="15"/>
  <c r="AA33" i="15"/>
  <c r="CJ26" i="15"/>
  <c r="P23" i="15"/>
  <c r="AA26" i="15"/>
  <c r="E30" i="15"/>
  <c r="CU22" i="15"/>
  <c r="P14" i="15"/>
  <c r="DF28" i="15"/>
  <c r="DF12" i="15"/>
  <c r="AL20" i="15"/>
  <c r="DF6" i="15"/>
  <c r="E11" i="15"/>
  <c r="AA13" i="15"/>
  <c r="AA20" i="15"/>
  <c r="CU32" i="15"/>
  <c r="P10" i="15"/>
  <c r="DF32" i="15"/>
  <c r="P16" i="15"/>
  <c r="DF24" i="15"/>
  <c r="CJ6" i="15"/>
  <c r="DF10" i="15"/>
  <c r="P17" i="15"/>
  <c r="CU3" i="15"/>
  <c r="CJ7" i="15"/>
  <c r="CU9" i="15"/>
  <c r="DF11" i="15"/>
  <c r="AL12" i="15"/>
  <c r="DF13" i="15"/>
  <c r="BY16" i="15"/>
  <c r="CU20" i="15"/>
  <c r="BY22" i="15"/>
  <c r="P29" i="15"/>
  <c r="AL4" i="15"/>
  <c r="AA5" i="15"/>
  <c r="AA6" i="15"/>
  <c r="AA8" i="15"/>
  <c r="AA11" i="15"/>
  <c r="AL15" i="15"/>
  <c r="DF15" i="15"/>
  <c r="CU17" i="15"/>
  <c r="DF18" i="15"/>
  <c r="AL22" i="15"/>
  <c r="DF33" i="15"/>
  <c r="DF19" i="15"/>
  <c r="E22" i="15"/>
  <c r="E24" i="15"/>
  <c r="AA29" i="15"/>
  <c r="DF31" i="15"/>
  <c r="CJ20" i="15"/>
  <c r="CJ25" i="15"/>
  <c r="P28" i="15"/>
  <c r="CU30" i="15"/>
  <c r="AL23" i="15"/>
  <c r="AL24" i="15"/>
  <c r="CU26" i="15"/>
  <c r="AL28" i="15"/>
  <c r="P30" i="15"/>
  <c r="CJ31" i="15"/>
  <c r="BY24" i="15"/>
  <c r="AL26" i="15"/>
  <c r="CU31" i="15"/>
  <c r="P22" i="15"/>
  <c r="DF17" i="15"/>
  <c r="AA9" i="15"/>
  <c r="AL17" i="15"/>
  <c r="P27" i="15"/>
  <c r="AA19" i="15"/>
  <c r="DF9" i="15"/>
  <c r="CJ3" i="15"/>
  <c r="P9" i="15"/>
  <c r="AA12" i="15"/>
  <c r="CJ13" i="15"/>
  <c r="CU19" i="15"/>
  <c r="AA27" i="15"/>
  <c r="P5" i="15"/>
  <c r="CU10" i="15"/>
  <c r="CU15" i="15"/>
  <c r="CJ18" i="15"/>
  <c r="AA22" i="15"/>
  <c r="CJ19" i="15"/>
  <c r="CU23" i="15"/>
  <c r="AA31" i="15"/>
  <c r="CJ23" i="15"/>
  <c r="AA30" i="15"/>
  <c r="AA24" i="15"/>
  <c r="AA28" i="15"/>
  <c r="BY31" i="15"/>
  <c r="P25" i="15"/>
  <c r="BY30" i="15"/>
  <c r="CU4" i="10"/>
  <c r="CJ9" i="15"/>
  <c r="P18" i="15"/>
  <c r="CJ33" i="15"/>
  <c r="AL13" i="15"/>
  <c r="P4" i="15"/>
  <c r="P7" i="15"/>
  <c r="P11" i="15"/>
  <c r="AA14" i="15"/>
  <c r="DF21" i="15"/>
  <c r="E3" i="15"/>
  <c r="E14" i="15"/>
  <c r="DF8" i="15"/>
  <c r="CJ17" i="15"/>
  <c r="E4" i="15"/>
  <c r="E7" i="15"/>
  <c r="CU14" i="15"/>
  <c r="E18" i="15"/>
  <c r="DF3" i="15"/>
  <c r="CU7" i="15"/>
  <c r="AA10" i="15"/>
  <c r="E12" i="15"/>
  <c r="E13" i="15"/>
  <c r="P15" i="15"/>
  <c r="CU16" i="15"/>
  <c r="P21" i="15"/>
  <c r="P24" i="15"/>
  <c r="P3" i="15"/>
  <c r="CU4" i="15"/>
  <c r="CJ5" i="15"/>
  <c r="AL7" i="15"/>
  <c r="AL8" i="15"/>
  <c r="AL11" i="15"/>
  <c r="BY15" i="15"/>
  <c r="E17" i="15"/>
  <c r="AA18" i="15"/>
  <c r="BY19" i="15"/>
  <c r="CU24" i="15"/>
  <c r="P19" i="15"/>
  <c r="E21" i="15"/>
  <c r="E23" i="15"/>
  <c r="E26" i="15"/>
  <c r="DF29" i="15"/>
  <c r="E32" i="15"/>
  <c r="DF20" i="15"/>
  <c r="P26" i="15"/>
  <c r="CJ28" i="15"/>
  <c r="P31" i="15"/>
  <c r="BY23" i="15"/>
  <c r="CU25" i="15"/>
  <c r="E27" i="15"/>
  <c r="E29" i="15"/>
  <c r="DF30" i="15"/>
  <c r="CJ32" i="15"/>
  <c r="CJ24" i="15"/>
  <c r="DF26" i="15"/>
  <c r="AA23" i="13"/>
  <c r="CU7" i="13"/>
  <c r="P26" i="13"/>
  <c r="AA17" i="13"/>
  <c r="CJ4" i="13"/>
  <c r="CU24" i="13"/>
  <c r="AA13" i="13"/>
  <c r="AL8" i="13"/>
  <c r="P19" i="13"/>
  <c r="CJ10" i="13"/>
  <c r="CJ20" i="13"/>
  <c r="CU21" i="13"/>
  <c r="CJ23" i="13"/>
  <c r="CJ28" i="13"/>
  <c r="DF29" i="13"/>
  <c r="AA8" i="13"/>
  <c r="E8" i="13"/>
  <c r="CU18" i="13"/>
  <c r="CJ6" i="13"/>
  <c r="CJ33" i="13"/>
  <c r="CU15" i="13"/>
  <c r="CU10" i="13"/>
  <c r="E21" i="13"/>
  <c r="E13" i="13"/>
  <c r="E27" i="13"/>
  <c r="P23" i="13"/>
  <c r="P25" i="13"/>
  <c r="CJ31" i="13"/>
  <c r="CJ7" i="13"/>
  <c r="AL4" i="13"/>
  <c r="DF11" i="13"/>
  <c r="BY23" i="13"/>
  <c r="AL12" i="13"/>
  <c r="AL5" i="13"/>
  <c r="CU23" i="13"/>
  <c r="AL13" i="13"/>
  <c r="AL26" i="13"/>
  <c r="AA15" i="13"/>
  <c r="AA28" i="13"/>
  <c r="P27" i="13"/>
  <c r="AA26" i="13"/>
  <c r="P4" i="13"/>
  <c r="CJ11" i="13"/>
  <c r="E17" i="13"/>
  <c r="BY16" i="13"/>
  <c r="CU30" i="13"/>
  <c r="CU20" i="13"/>
  <c r="AA7" i="13"/>
  <c r="CJ3" i="13"/>
  <c r="P15" i="13"/>
  <c r="E33" i="13"/>
  <c r="DF16" i="13"/>
  <c r="AA21" i="13"/>
  <c r="AA30" i="13"/>
  <c r="P30" i="13"/>
  <c r="P24" i="13"/>
  <c r="DF7" i="13"/>
  <c r="CU13" i="13"/>
  <c r="CJ5" i="13"/>
  <c r="CU4" i="13"/>
  <c r="CU12" i="13"/>
  <c r="CJ16" i="13"/>
  <c r="E20" i="13"/>
  <c r="P3" i="13"/>
  <c r="AL9" i="13"/>
  <c r="AL22" i="13"/>
  <c r="AA3" i="13"/>
  <c r="AL10" i="13"/>
  <c r="AL19" i="13"/>
  <c r="CU3" i="13"/>
  <c r="E11" i="13"/>
  <c r="AL15" i="13"/>
  <c r="CU19" i="13"/>
  <c r="CU26" i="13"/>
  <c r="P11" i="13"/>
  <c r="CJ15" i="13"/>
  <c r="DF20" i="13"/>
  <c r="CU28" i="13"/>
  <c r="DF21" i="13"/>
  <c r="AL27" i="13"/>
  <c r="AL24" i="13"/>
  <c r="CJ25" i="13"/>
  <c r="AL28" i="13"/>
  <c r="BY31" i="13"/>
  <c r="E29" i="13"/>
  <c r="E32" i="13"/>
  <c r="DF33" i="13"/>
  <c r="DF18" i="13"/>
  <c r="E28" i="13"/>
  <c r="P6" i="13"/>
  <c r="CJ9" i="13"/>
  <c r="E24" i="13"/>
  <c r="CU5" i="13"/>
  <c r="E14" i="13"/>
  <c r="P8" i="13"/>
  <c r="BY19" i="13"/>
  <c r="CU6" i="13"/>
  <c r="AL11" i="13"/>
  <c r="AL16" i="13"/>
  <c r="P17" i="13"/>
  <c r="AL18" i="13"/>
  <c r="CU22" i="13"/>
  <c r="CJ26" i="13"/>
  <c r="AA4" i="13"/>
  <c r="AL6" i="13"/>
  <c r="AA12" i="13"/>
  <c r="CJ19" i="13"/>
  <c r="E23" i="13"/>
  <c r="AA32" i="13"/>
  <c r="AA5" i="13"/>
  <c r="P7" i="13"/>
  <c r="P13" i="13"/>
  <c r="BY15" i="13"/>
  <c r="P22" i="13"/>
  <c r="E3" i="13"/>
  <c r="AL7" i="13"/>
  <c r="P10" i="13"/>
  <c r="CU11" i="13"/>
  <c r="E15" i="13"/>
  <c r="DF17" i="13"/>
  <c r="AA20" i="13"/>
  <c r="BY25" i="13"/>
  <c r="CU32" i="13"/>
  <c r="AA10" i="13"/>
  <c r="P12" i="13"/>
  <c r="CJ14" i="13"/>
  <c r="AA16" i="13"/>
  <c r="DF19" i="13"/>
  <c r="BY22" i="13"/>
  <c r="P28" i="13"/>
  <c r="DF31" i="13"/>
  <c r="CJ21" i="13"/>
  <c r="DF22" i="13"/>
  <c r="DF26" i="13"/>
  <c r="AA29" i="13"/>
  <c r="CJ32" i="13"/>
  <c r="DF24" i="13"/>
  <c r="E26" i="13"/>
  <c r="CJ29" i="13"/>
  <c r="DF32" i="13"/>
  <c r="P31" i="13"/>
  <c r="AA6" i="13"/>
  <c r="CU31" i="13"/>
  <c r="DF15" i="13"/>
  <c r="DF10" i="13"/>
  <c r="BY17" i="13"/>
  <c r="P9" i="13"/>
  <c r="E18" i="13"/>
  <c r="DF23" i="13"/>
  <c r="DF4" i="13"/>
  <c r="AL17" i="13"/>
  <c r="DF27" i="13"/>
  <c r="DF5" i="13"/>
  <c r="CJ13" i="13"/>
  <c r="E25" i="13"/>
  <c r="CU9" i="13"/>
  <c r="AA14" i="13"/>
  <c r="AL23" i="13"/>
  <c r="CU8" i="13"/>
  <c r="DF13" i="13"/>
  <c r="AA18" i="13"/>
  <c r="AA27" i="13"/>
  <c r="AL21" i="13"/>
  <c r="AL25" i="13"/>
  <c r="E31" i="13"/>
  <c r="BY30" i="13"/>
  <c r="CU17" i="13"/>
  <c r="BY26" i="13"/>
  <c r="DF3" i="13"/>
  <c r="E9" i="13"/>
  <c r="AA19" i="13"/>
  <c r="CJ24" i="13"/>
  <c r="DF12" i="13"/>
  <c r="DF6" i="13"/>
  <c r="CJ18" i="13"/>
  <c r="P5" i="13"/>
  <c r="AA9" i="13"/>
  <c r="P14" i="13"/>
  <c r="CU16" i="13"/>
  <c r="P18" i="13"/>
  <c r="AL20" i="13"/>
  <c r="AA24" i="13"/>
  <c r="E4" i="13"/>
  <c r="E6" i="13"/>
  <c r="DF9" i="13"/>
  <c r="CJ17" i="13"/>
  <c r="CJ22" i="13"/>
  <c r="CU29" i="13"/>
  <c r="AL3" i="13"/>
  <c r="E7" i="13"/>
  <c r="CJ12" i="13"/>
  <c r="CU14" i="13"/>
  <c r="P21" i="13"/>
  <c r="DF28" i="13"/>
  <c r="E5" i="13"/>
  <c r="E10" i="13"/>
  <c r="AA11" i="13"/>
  <c r="DF14" i="13"/>
  <c r="P16" i="13"/>
  <c r="P20" i="13"/>
  <c r="AA25" i="13"/>
  <c r="DF30" i="13"/>
  <c r="DF8" i="13"/>
  <c r="E12" i="13"/>
  <c r="AL14" i="13"/>
  <c r="E16" i="13"/>
  <c r="E19" i="13"/>
  <c r="AA22" i="13"/>
  <c r="CJ27" i="13"/>
  <c r="CJ30" i="13"/>
  <c r="BY21" i="13"/>
  <c r="E22" i="13"/>
  <c r="CU25" i="13"/>
  <c r="CU27" i="13"/>
  <c r="AA31" i="13"/>
  <c r="BY24" i="13"/>
  <c r="DF25" i="13"/>
  <c r="P29" i="13"/>
  <c r="BY32" i="13"/>
  <c r="E30" i="13"/>
  <c r="AA33" i="13"/>
  <c r="E22" i="10"/>
  <c r="DF23" i="10"/>
  <c r="AA15" i="10"/>
  <c r="AA11" i="10"/>
  <c r="BY16" i="10"/>
  <c r="AL16" i="10"/>
  <c r="P17" i="10"/>
  <c r="CJ24" i="10"/>
  <c r="CJ20" i="10"/>
  <c r="E32" i="10"/>
  <c r="P5" i="10"/>
  <c r="BY22" i="10"/>
  <c r="E7" i="10"/>
  <c r="E21" i="10"/>
  <c r="AA27" i="10"/>
  <c r="AL8" i="10"/>
  <c r="DF26" i="10"/>
  <c r="E29" i="10"/>
  <c r="P27" i="10"/>
  <c r="AA31" i="10"/>
  <c r="AL28" i="10"/>
  <c r="CJ32" i="10"/>
  <c r="CU23" i="10"/>
  <c r="E8" i="10"/>
  <c r="E18" i="10"/>
  <c r="P31" i="10"/>
  <c r="P13" i="10"/>
  <c r="AA19" i="10"/>
  <c r="AL24" i="10"/>
  <c r="DF12" i="10"/>
  <c r="DF3" i="10"/>
  <c r="E3" i="10"/>
  <c r="AL3" i="10"/>
  <c r="E33" i="10"/>
  <c r="P23" i="10"/>
  <c r="P9" i="10"/>
  <c r="AA23" i="10"/>
  <c r="AA7" i="10"/>
  <c r="AL12" i="10"/>
  <c r="DF32" i="10"/>
  <c r="DF10" i="10"/>
  <c r="CU19" i="10"/>
  <c r="CU11" i="10"/>
  <c r="AL20" i="10"/>
  <c r="BY26" i="10"/>
  <c r="DF5" i="10"/>
  <c r="CJ16" i="10"/>
  <c r="CU27" i="10"/>
  <c r="CU7" i="10"/>
  <c r="AL4" i="10"/>
  <c r="DF19" i="10"/>
  <c r="CJ28" i="10"/>
  <c r="CJ6" i="10"/>
  <c r="CU31" i="10"/>
  <c r="CU15" i="10"/>
  <c r="BY25" i="6"/>
  <c r="E10" i="10"/>
  <c r="CJ7" i="10"/>
  <c r="E5" i="10"/>
  <c r="E23" i="10"/>
  <c r="E11" i="10"/>
  <c r="DF28" i="10"/>
  <c r="E19" i="10"/>
  <c r="BY17" i="10"/>
  <c r="CJ13" i="10"/>
  <c r="AA3" i="10"/>
  <c r="E25" i="10"/>
  <c r="P30" i="10"/>
  <c r="P26" i="10"/>
  <c r="P22" i="10"/>
  <c r="DF24" i="10"/>
  <c r="P16" i="10"/>
  <c r="P12" i="10"/>
  <c r="P8" i="10"/>
  <c r="P4" i="10"/>
  <c r="AA30" i="10"/>
  <c r="AA26" i="10"/>
  <c r="AA22" i="10"/>
  <c r="AA18" i="10"/>
  <c r="AA14" i="10"/>
  <c r="AA10" i="10"/>
  <c r="AA6" i="10"/>
  <c r="AL27" i="10"/>
  <c r="AL23" i="10"/>
  <c r="AL19" i="10"/>
  <c r="AL15" i="10"/>
  <c r="AL11" i="10"/>
  <c r="AL7" i="10"/>
  <c r="BY32" i="10"/>
  <c r="BY25" i="10"/>
  <c r="BY21" i="10"/>
  <c r="DF13" i="10"/>
  <c r="DF20" i="10"/>
  <c r="CJ3" i="10"/>
  <c r="DF8" i="10"/>
  <c r="CJ31" i="10"/>
  <c r="CJ27" i="10"/>
  <c r="CJ23" i="10"/>
  <c r="CJ19" i="10"/>
  <c r="CJ14" i="10"/>
  <c r="CJ4" i="10"/>
  <c r="DF14" i="10"/>
  <c r="DF21" i="10"/>
  <c r="DF30" i="10"/>
  <c r="CU30" i="10"/>
  <c r="CU26" i="10"/>
  <c r="CU22" i="10"/>
  <c r="CU18" i="10"/>
  <c r="CU14" i="10"/>
  <c r="CU10" i="10"/>
  <c r="CU6" i="10"/>
  <c r="P3" i="10"/>
  <c r="DF27" i="10"/>
  <c r="E9" i="10"/>
  <c r="E12" i="10"/>
  <c r="E13" i="10"/>
  <c r="E14" i="10"/>
  <c r="E20" i="10"/>
  <c r="CU3" i="10"/>
  <c r="E27" i="10"/>
  <c r="BY19" i="10"/>
  <c r="E28" i="10"/>
  <c r="P29" i="10"/>
  <c r="P25" i="10"/>
  <c r="P21" i="10"/>
  <c r="P19" i="10"/>
  <c r="P15" i="10"/>
  <c r="P11" i="10"/>
  <c r="P7" i="10"/>
  <c r="AA33" i="10"/>
  <c r="AA29" i="10"/>
  <c r="AA25" i="10"/>
  <c r="AA21" i="10"/>
  <c r="AA17" i="10"/>
  <c r="AA13" i="10"/>
  <c r="AA9" i="10"/>
  <c r="AA5" i="10"/>
  <c r="AL26" i="10"/>
  <c r="AL22" i="10"/>
  <c r="AL18" i="10"/>
  <c r="AL14" i="10"/>
  <c r="AL10" i="10"/>
  <c r="AL6" i="10"/>
  <c r="BY31" i="10"/>
  <c r="BY24" i="10"/>
  <c r="CJ15" i="10"/>
  <c r="DF16" i="10"/>
  <c r="DF29" i="10"/>
  <c r="CJ9" i="10"/>
  <c r="DF9" i="10"/>
  <c r="CJ30" i="10"/>
  <c r="CJ26" i="10"/>
  <c r="CJ22" i="10"/>
  <c r="CJ18" i="10"/>
  <c r="CJ12" i="10"/>
  <c r="DF6" i="10"/>
  <c r="DF15" i="10"/>
  <c r="DF22" i="10"/>
  <c r="DF33" i="10"/>
  <c r="CU29" i="10"/>
  <c r="CU25" i="10"/>
  <c r="CU21" i="10"/>
  <c r="CU17" i="10"/>
  <c r="CU13" i="10"/>
  <c r="CU9" i="10"/>
  <c r="CU5" i="10"/>
  <c r="E4" i="10"/>
  <c r="CJ5" i="10"/>
  <c r="E6" i="10"/>
  <c r="E15" i="10"/>
  <c r="E24" i="10"/>
  <c r="E16" i="10"/>
  <c r="E17" i="10"/>
  <c r="E26" i="10"/>
  <c r="BY15" i="10"/>
  <c r="E30" i="10"/>
  <c r="CJ11" i="10"/>
  <c r="E31" i="10"/>
  <c r="P28" i="10"/>
  <c r="P24" i="10"/>
  <c r="P20" i="10"/>
  <c r="P18" i="10"/>
  <c r="P14" i="10"/>
  <c r="P10" i="10"/>
  <c r="P6" i="10"/>
  <c r="AA32" i="10"/>
  <c r="AA28" i="10"/>
  <c r="AA24" i="10"/>
  <c r="AA20" i="10"/>
  <c r="AA16" i="10"/>
  <c r="AA12" i="10"/>
  <c r="AA8" i="10"/>
  <c r="AA4" i="10"/>
  <c r="AL25" i="10"/>
  <c r="AL21" i="10"/>
  <c r="AL17" i="10"/>
  <c r="AL13" i="10"/>
  <c r="AL9" i="10"/>
  <c r="AL5" i="10"/>
  <c r="BY30" i="10"/>
  <c r="BY23" i="10"/>
  <c r="DF11" i="10"/>
  <c r="DF17" i="10"/>
  <c r="DF31" i="10"/>
  <c r="DF4" i="10"/>
  <c r="CJ33" i="10"/>
  <c r="CJ29" i="10"/>
  <c r="CJ25" i="10"/>
  <c r="CJ21" i="10"/>
  <c r="CJ17" i="10"/>
  <c r="CJ10" i="10"/>
  <c r="DF7" i="10"/>
  <c r="DF18" i="10"/>
  <c r="DF25" i="10"/>
  <c r="CU32" i="10"/>
  <c r="CU28" i="10"/>
  <c r="CU24" i="10"/>
  <c r="CU20" i="10"/>
  <c r="CU16" i="10"/>
  <c r="CU12" i="10"/>
  <c r="CU8" i="10"/>
  <c r="E25" i="6"/>
  <c r="CU15" i="6"/>
  <c r="AL11" i="6"/>
  <c r="E21" i="6"/>
  <c r="P14" i="6"/>
  <c r="E27" i="6"/>
  <c r="DF27" i="6"/>
  <c r="E23" i="6"/>
  <c r="DF17" i="6"/>
  <c r="P18" i="6"/>
  <c r="AA15" i="6"/>
  <c r="DF12" i="6"/>
  <c r="E3" i="6"/>
  <c r="CU17" i="6"/>
  <c r="CU30" i="6"/>
  <c r="BY31" i="6"/>
  <c r="P28" i="6"/>
  <c r="CU12" i="6"/>
  <c r="AL20" i="6"/>
  <c r="BY30" i="6"/>
  <c r="E19" i="6"/>
  <c r="E17" i="6"/>
  <c r="E15" i="6"/>
  <c r="E5" i="6"/>
  <c r="P7" i="6"/>
  <c r="DF25" i="6"/>
  <c r="DF13" i="6"/>
  <c r="CU7" i="6"/>
  <c r="AA33" i="6"/>
  <c r="E28" i="6"/>
  <c r="CU13" i="6"/>
  <c r="DF30" i="6"/>
  <c r="BY26" i="6"/>
  <c r="E6" i="6"/>
  <c r="AA27" i="6"/>
  <c r="CJ33" i="6"/>
  <c r="AL6" i="6"/>
  <c r="AA3" i="6"/>
  <c r="CJ24" i="6"/>
  <c r="AA22" i="6"/>
  <c r="E11" i="6"/>
  <c r="E9" i="6"/>
  <c r="E7" i="6"/>
  <c r="P30" i="6"/>
  <c r="DF33" i="6"/>
  <c r="DF21" i="6"/>
  <c r="DF7" i="6"/>
  <c r="CJ9" i="6"/>
  <c r="AA17" i="6"/>
  <c r="E24" i="6"/>
  <c r="CU5" i="6"/>
  <c r="DF28" i="6"/>
  <c r="BY19" i="6"/>
  <c r="P31" i="6"/>
  <c r="AA19" i="6"/>
  <c r="CJ31" i="6"/>
  <c r="AA32" i="6"/>
  <c r="BY15" i="6"/>
  <c r="CJ22" i="6"/>
  <c r="AA18" i="6"/>
  <c r="E33" i="6"/>
  <c r="E31" i="6"/>
  <c r="E29" i="6"/>
  <c r="P25" i="6"/>
  <c r="DF29" i="6"/>
  <c r="DF19" i="6"/>
  <c r="CU31" i="6"/>
  <c r="AL19" i="6"/>
  <c r="AA9" i="6"/>
  <c r="P23" i="6"/>
  <c r="AA23" i="6"/>
  <c r="DF14" i="6"/>
  <c r="AA5" i="6"/>
  <c r="CU25" i="6"/>
  <c r="DF3" i="6"/>
  <c r="CJ11" i="6"/>
  <c r="AA4" i="6"/>
  <c r="CU16" i="6"/>
  <c r="AL24" i="6"/>
  <c r="CJ5" i="6"/>
  <c r="E12" i="6"/>
  <c r="DF10" i="6"/>
  <c r="AL25" i="6"/>
  <c r="P22" i="6"/>
  <c r="DF22" i="6"/>
  <c r="CU27" i="6"/>
  <c r="AL7" i="6"/>
  <c r="E22" i="6"/>
  <c r="P15" i="6"/>
  <c r="BY16" i="6"/>
  <c r="P6" i="6"/>
  <c r="CU18" i="6"/>
  <c r="CJ25" i="6"/>
  <c r="AL22" i="6"/>
  <c r="AA20" i="6"/>
  <c r="P16" i="6"/>
  <c r="CU32" i="6"/>
  <c r="CJ32" i="6"/>
  <c r="CJ6" i="6"/>
  <c r="AL8" i="6"/>
  <c r="AA6" i="6"/>
  <c r="CJ12" i="6"/>
  <c r="E8" i="6"/>
  <c r="DF6" i="6"/>
  <c r="AL17" i="6"/>
  <c r="P17" i="6"/>
  <c r="DF20" i="6"/>
  <c r="CU19" i="6"/>
  <c r="AA29" i="6"/>
  <c r="E18" i="6"/>
  <c r="P9" i="6"/>
  <c r="AL21" i="6"/>
  <c r="P3" i="6"/>
  <c r="CU14" i="6"/>
  <c r="CJ23" i="6"/>
  <c r="AL18" i="6"/>
  <c r="AA16" i="6"/>
  <c r="P12" i="6"/>
  <c r="CU28" i="6"/>
  <c r="CJ30" i="6"/>
  <c r="BY24" i="6"/>
  <c r="AL4" i="6"/>
  <c r="CJ18" i="6"/>
  <c r="CJ7" i="6"/>
  <c r="E20" i="6"/>
  <c r="E4" i="6"/>
  <c r="P13" i="6"/>
  <c r="CU29" i="6"/>
  <c r="CJ13" i="6"/>
  <c r="AL9" i="6"/>
  <c r="AA7" i="6"/>
  <c r="P11" i="6"/>
  <c r="DF26" i="6"/>
  <c r="DF18" i="6"/>
  <c r="DF9" i="6"/>
  <c r="CU11" i="6"/>
  <c r="AL23" i="6"/>
  <c r="AA21" i="6"/>
  <c r="E30" i="6"/>
  <c r="E14" i="6"/>
  <c r="P26" i="6"/>
  <c r="DF8" i="6"/>
  <c r="CU9" i="6"/>
  <c r="AL13" i="6"/>
  <c r="AA11" i="6"/>
  <c r="AL3" i="6"/>
  <c r="CU26" i="6"/>
  <c r="CU10" i="6"/>
  <c r="CJ29" i="6"/>
  <c r="CJ21" i="6"/>
  <c r="BY17" i="6"/>
  <c r="AL14" i="6"/>
  <c r="AA28" i="6"/>
  <c r="AA12" i="6"/>
  <c r="P24" i="6"/>
  <c r="P8" i="6"/>
  <c r="CU3" i="6"/>
  <c r="CU24" i="6"/>
  <c r="CU8" i="6"/>
  <c r="CJ28" i="6"/>
  <c r="CJ20" i="6"/>
  <c r="BY21" i="6"/>
  <c r="AL16" i="6"/>
  <c r="AA30" i="6"/>
  <c r="AA14" i="6"/>
  <c r="CJ14" i="6"/>
  <c r="BY23" i="6"/>
  <c r="BY32" i="6"/>
  <c r="E13" i="6"/>
  <c r="P19" i="6"/>
  <c r="DF31" i="6"/>
  <c r="DF23" i="6"/>
  <c r="DF15" i="6"/>
  <c r="CU23" i="6"/>
  <c r="AL27" i="6"/>
  <c r="AA25" i="6"/>
  <c r="E32" i="6"/>
  <c r="E16" i="6"/>
  <c r="P29" i="6"/>
  <c r="P5" i="6"/>
  <c r="CU21" i="6"/>
  <c r="BY22" i="6"/>
  <c r="AA31" i="6"/>
  <c r="P27" i="6"/>
  <c r="DF32" i="6"/>
  <c r="DF24" i="6"/>
  <c r="DF16" i="6"/>
  <c r="DF5" i="6"/>
  <c r="CJ17" i="6"/>
  <c r="AL15" i="6"/>
  <c r="AA13" i="6"/>
  <c r="E26" i="6"/>
  <c r="E10" i="6"/>
  <c r="P21" i="6"/>
  <c r="DF4" i="6"/>
  <c r="CJ4" i="6"/>
  <c r="AL5" i="6"/>
  <c r="P10" i="6"/>
  <c r="CJ3" i="6"/>
  <c r="CU22" i="6"/>
  <c r="CU6" i="6"/>
  <c r="CJ27" i="6"/>
  <c r="CJ19" i="6"/>
  <c r="AL26" i="6"/>
  <c r="AL10" i="6"/>
  <c r="AA24" i="6"/>
  <c r="AA8" i="6"/>
  <c r="P20" i="6"/>
  <c r="P4" i="6"/>
  <c r="DF11" i="6"/>
  <c r="CU20" i="6"/>
  <c r="CU4" i="6"/>
  <c r="CJ26" i="6"/>
  <c r="CJ15" i="6"/>
  <c r="AL28" i="6"/>
  <c r="AL12" i="6"/>
  <c r="AA26" i="6"/>
  <c r="AA10" i="6"/>
  <c r="CJ10" i="6"/>
  <c r="CJ16" i="6"/>
  <c r="N37" i="3"/>
  <c r="N33" i="9"/>
  <c r="N32" i="9"/>
  <c r="N37" i="9"/>
  <c r="N34" i="9"/>
  <c r="N35" i="3"/>
  <c r="N35" i="9"/>
  <c r="N32" i="3"/>
  <c r="N36" i="3"/>
  <c r="N34" i="3"/>
  <c r="N38" i="9"/>
  <c r="N38" i="3"/>
  <c r="R45" i="9"/>
  <c r="S45" i="9" s="1"/>
  <c r="Z51" i="9"/>
  <c r="AA51" i="9" s="1"/>
  <c r="Z49" i="9"/>
  <c r="AA49" i="9" s="1"/>
  <c r="Z50" i="9"/>
  <c r="AA50" i="9" s="1"/>
  <c r="Z46" i="9"/>
  <c r="AA46" i="9" s="1"/>
  <c r="Z48" i="9"/>
  <c r="AA48" i="9" s="1"/>
  <c r="Z47" i="9"/>
  <c r="AA47" i="9" s="1"/>
  <c r="R47" i="9"/>
  <c r="S47" i="9" s="1"/>
  <c r="R51" i="9"/>
  <c r="S51" i="9" s="1"/>
  <c r="Z45" i="9"/>
  <c r="AA45" i="9" s="1"/>
  <c r="R48" i="9"/>
  <c r="S48" i="9" s="1"/>
  <c r="R50" i="9"/>
  <c r="S50" i="9" s="1"/>
  <c r="R46" i="9"/>
  <c r="S46" i="9" s="1"/>
  <c r="R49" i="9"/>
  <c r="S49" i="9" s="1"/>
  <c r="R51" i="3"/>
  <c r="Z46" i="3"/>
  <c r="R46" i="3"/>
  <c r="Z45" i="3"/>
  <c r="Z51" i="3"/>
  <c r="R47" i="3"/>
  <c r="Z48" i="3"/>
  <c r="R50" i="3"/>
  <c r="R48" i="3"/>
  <c r="Z49" i="3"/>
  <c r="R49" i="3"/>
  <c r="R45" i="3"/>
  <c r="Z47" i="3"/>
  <c r="Z50" i="3"/>
  <c r="EM44" i="10"/>
  <c r="EO44" i="10" s="1"/>
  <c r="EO43" i="10"/>
  <c r="EQ44" i="10" l="1"/>
  <c r="M41" i="14"/>
  <c r="T41" i="14" s="1"/>
  <c r="EQ43" i="10"/>
  <c r="ER8" i="10" s="1"/>
  <c r="M40" i="14"/>
  <c r="T40" i="14" s="1"/>
  <c r="FF6" i="15"/>
  <c r="FL6" i="15" s="1"/>
  <c r="V47" i="14"/>
  <c r="ER50" i="15" s="1"/>
  <c r="U46" i="14"/>
  <c r="U46" i="12"/>
  <c r="V47" i="12"/>
  <c r="ER50" i="13" s="1"/>
  <c r="C29" i="12"/>
  <c r="F29" i="12" s="1"/>
  <c r="C29" i="14"/>
  <c r="C35" i="12"/>
  <c r="F35" i="12" s="1"/>
  <c r="C35" i="14"/>
  <c r="C28" i="12"/>
  <c r="C28" i="14"/>
  <c r="C34" i="12"/>
  <c r="C34" i="14"/>
  <c r="C36" i="12"/>
  <c r="F36" i="12" s="1"/>
  <c r="C36" i="14"/>
  <c r="C31" i="12"/>
  <c r="F31" i="12" s="1"/>
  <c r="C31" i="14"/>
  <c r="C33" i="12"/>
  <c r="F33" i="12" s="1"/>
  <c r="C33" i="14"/>
  <c r="C32" i="12"/>
  <c r="F32" i="12" s="1"/>
  <c r="C32" i="14"/>
  <c r="C30" i="12"/>
  <c r="F30" i="12" s="1"/>
  <c r="C30" i="14"/>
  <c r="V53" i="9"/>
  <c r="T53" i="9"/>
  <c r="R53" i="9"/>
  <c r="R54" i="9" s="1"/>
  <c r="ER9" i="10"/>
  <c r="Z53" i="9"/>
  <c r="Z54" i="9" s="1"/>
  <c r="AD53" i="9"/>
  <c r="AB53" i="9"/>
  <c r="AA50" i="3"/>
  <c r="AB50" i="3"/>
  <c r="AA49" i="3"/>
  <c r="AB49" i="3"/>
  <c r="S47" i="3"/>
  <c r="T47" i="3"/>
  <c r="AA46" i="3"/>
  <c r="AB46" i="3"/>
  <c r="AB47" i="3"/>
  <c r="AA47" i="3"/>
  <c r="S48" i="3"/>
  <c r="T48" i="3"/>
  <c r="AA51" i="3"/>
  <c r="AB51" i="3"/>
  <c r="S51" i="3"/>
  <c r="T51" i="3"/>
  <c r="S45" i="3"/>
  <c r="T45" i="3"/>
  <c r="S50" i="3"/>
  <c r="T50" i="3"/>
  <c r="AA45" i="3"/>
  <c r="AB45" i="3"/>
  <c r="S49" i="3"/>
  <c r="T49" i="3"/>
  <c r="AA48" i="3"/>
  <c r="AB48" i="3"/>
  <c r="T46" i="3"/>
  <c r="S46" i="3"/>
  <c r="ER30" i="10"/>
  <c r="ER44" i="10"/>
  <c r="ER35" i="10"/>
  <c r="ER25" i="10"/>
  <c r="ER23" i="10"/>
  <c r="ER16" i="10"/>
  <c r="ER17" i="10"/>
  <c r="ER20" i="10" l="1"/>
  <c r="ER40" i="10"/>
  <c r="ER41" i="10"/>
  <c r="ER26" i="10"/>
  <c r="ER10" i="10"/>
  <c r="ER14" i="10"/>
  <c r="ER32" i="10"/>
  <c r="ER19" i="10"/>
  <c r="ER24" i="10"/>
  <c r="ER28" i="10"/>
  <c r="ER39" i="10"/>
  <c r="ER38" i="10"/>
  <c r="ER34" i="10"/>
  <c r="ER21" i="10"/>
  <c r="ER37" i="10"/>
  <c r="ER15" i="10"/>
  <c r="ER43" i="10"/>
  <c r="ER13" i="10"/>
  <c r="ER7" i="10"/>
  <c r="ER22" i="10"/>
  <c r="ER42" i="10"/>
  <c r="ER33" i="10"/>
  <c r="ER29" i="10"/>
  <c r="ER27" i="10"/>
  <c r="ER12" i="10"/>
  <c r="ER31" i="10"/>
  <c r="ER6" i="10"/>
  <c r="ER18" i="10"/>
  <c r="ER11" i="10"/>
  <c r="ER36" i="10"/>
  <c r="ER5" i="10"/>
  <c r="D28" i="12"/>
  <c r="C27" i="12" s="1"/>
  <c r="F27" i="12" s="1"/>
  <c r="D34" i="12"/>
  <c r="U45" i="12"/>
  <c r="V46" i="12"/>
  <c r="ER49" i="13" s="1"/>
  <c r="V46" i="14"/>
  <c r="ER49" i="15" s="1"/>
  <c r="U45" i="14"/>
  <c r="F28" i="12"/>
  <c r="N28" i="12" s="1"/>
  <c r="F34" i="12"/>
  <c r="N34" i="12" s="1"/>
  <c r="D35" i="12"/>
  <c r="D33" i="12"/>
  <c r="D36" i="12"/>
  <c r="D29" i="12"/>
  <c r="D32" i="12"/>
  <c r="D30" i="12"/>
  <c r="F33" i="14"/>
  <c r="D33" i="14"/>
  <c r="D31" i="12"/>
  <c r="D34" i="14"/>
  <c r="F34" i="14"/>
  <c r="D29" i="14"/>
  <c r="F29" i="14"/>
  <c r="F30" i="14"/>
  <c r="D30" i="14"/>
  <c r="D36" i="14"/>
  <c r="F36" i="14"/>
  <c r="F28" i="14"/>
  <c r="D28" i="14"/>
  <c r="C27" i="14" s="1"/>
  <c r="F35" i="14"/>
  <c r="D35" i="14"/>
  <c r="H33" i="15"/>
  <c r="H32" i="15"/>
  <c r="H24" i="15"/>
  <c r="H28" i="15"/>
  <c r="H26" i="15"/>
  <c r="H23" i="15"/>
  <c r="H21" i="15"/>
  <c r="H20" i="15"/>
  <c r="H29" i="15"/>
  <c r="H27" i="15"/>
  <c r="H19" i="15"/>
  <c r="H31" i="15"/>
  <c r="H13" i="15"/>
  <c r="H30" i="15"/>
  <c r="H25" i="15"/>
  <c r="H22" i="15"/>
  <c r="H15" i="15"/>
  <c r="H14" i="15"/>
  <c r="H9" i="15"/>
  <c r="H8" i="15"/>
  <c r="H6" i="15"/>
  <c r="H4" i="15"/>
  <c r="H17" i="15"/>
  <c r="H11" i="15"/>
  <c r="H5" i="15"/>
  <c r="H18" i="15"/>
  <c r="H12" i="15"/>
  <c r="H7" i="15"/>
  <c r="H16" i="15"/>
  <c r="H10" i="15"/>
  <c r="CB32" i="15"/>
  <c r="CM31" i="15"/>
  <c r="CB31" i="15"/>
  <c r="CX30" i="15"/>
  <c r="S30" i="15"/>
  <c r="AD29" i="15"/>
  <c r="AO28" i="15"/>
  <c r="AD28" i="15"/>
  <c r="S28" i="15"/>
  <c r="AO27" i="15"/>
  <c r="DI25" i="15"/>
  <c r="CX25" i="15"/>
  <c r="AO24" i="15"/>
  <c r="AD24" i="15"/>
  <c r="DI23" i="15"/>
  <c r="AO23" i="15"/>
  <c r="S23" i="15"/>
  <c r="CB22" i="15"/>
  <c r="DI32" i="15"/>
  <c r="AD31" i="15"/>
  <c r="DI29" i="15"/>
  <c r="DI28" i="15"/>
  <c r="DI27" i="15"/>
  <c r="CX27" i="15"/>
  <c r="CM27" i="15"/>
  <c r="AD27" i="15"/>
  <c r="CM26" i="15"/>
  <c r="CB26" i="15"/>
  <c r="S26" i="15"/>
  <c r="CM25" i="15"/>
  <c r="CB25" i="15"/>
  <c r="S24" i="15"/>
  <c r="CX23" i="15"/>
  <c r="AD23" i="15"/>
  <c r="DI22" i="15"/>
  <c r="AD33" i="15"/>
  <c r="AD32" i="15"/>
  <c r="DI31" i="15"/>
  <c r="CM30" i="15"/>
  <c r="CX28" i="15"/>
  <c r="CX26" i="15"/>
  <c r="AD26" i="15"/>
  <c r="S25" i="15"/>
  <c r="CM24" i="15"/>
  <c r="DI21" i="15"/>
  <c r="AD21" i="15"/>
  <c r="AO20" i="15"/>
  <c r="AD20" i="15"/>
  <c r="S20" i="15"/>
  <c r="CM33" i="15"/>
  <c r="CX32" i="15"/>
  <c r="CM32" i="15"/>
  <c r="DI30" i="15"/>
  <c r="S29" i="15"/>
  <c r="S27" i="15"/>
  <c r="AD25" i="15"/>
  <c r="CX24" i="15"/>
  <c r="AO22" i="15"/>
  <c r="AD22" i="15"/>
  <c r="CX21" i="15"/>
  <c r="CM21" i="15"/>
  <c r="S21" i="15"/>
  <c r="CX20" i="15"/>
  <c r="CX19" i="15"/>
  <c r="CB19" i="15"/>
  <c r="AD19" i="15"/>
  <c r="DI18" i="15"/>
  <c r="CB23" i="15"/>
  <c r="CX22" i="15"/>
  <c r="DI20" i="15"/>
  <c r="DI19" i="15"/>
  <c r="CX18" i="15"/>
  <c r="S18" i="15"/>
  <c r="DI17" i="15"/>
  <c r="CM17" i="15"/>
  <c r="AO17" i="15"/>
  <c r="S17" i="15"/>
  <c r="S15" i="15"/>
  <c r="AO14" i="15"/>
  <c r="S11" i="15"/>
  <c r="DI10" i="15"/>
  <c r="AD7" i="15"/>
  <c r="AO6" i="15"/>
  <c r="S6" i="15"/>
  <c r="DI4" i="15"/>
  <c r="CM4" i="15"/>
  <c r="S4" i="15"/>
  <c r="DI3" i="15"/>
  <c r="CX3" i="15"/>
  <c r="CM3" i="15"/>
  <c r="AD3" i="15"/>
  <c r="H3" i="15"/>
  <c r="CX31" i="15"/>
  <c r="S31" i="15"/>
  <c r="CX29" i="15"/>
  <c r="AO26" i="15"/>
  <c r="DI24" i="15"/>
  <c r="DI16" i="15"/>
  <c r="CM16" i="15"/>
  <c r="AO16" i="15"/>
  <c r="S16" i="15"/>
  <c r="DI14" i="15"/>
  <c r="AD14" i="15"/>
  <c r="CX13" i="15"/>
  <c r="DI12" i="15"/>
  <c r="CX12" i="15"/>
  <c r="CX11" i="15"/>
  <c r="S10" i="15"/>
  <c r="DI9" i="15"/>
  <c r="CM9" i="15"/>
  <c r="AO9" i="15"/>
  <c r="AO8" i="15"/>
  <c r="AD8" i="15"/>
  <c r="S8" i="15"/>
  <c r="S7" i="15"/>
  <c r="DI6" i="15"/>
  <c r="AO5" i="15"/>
  <c r="S5" i="15"/>
  <c r="CM29" i="15"/>
  <c r="CM20" i="15"/>
  <c r="AD18" i="15"/>
  <c r="AD17" i="15"/>
  <c r="CX15" i="15"/>
  <c r="CB15" i="15"/>
  <c r="AD15" i="15"/>
  <c r="CM13" i="15"/>
  <c r="AD13" i="15"/>
  <c r="S13" i="15"/>
  <c r="CM12" i="15"/>
  <c r="AD9" i="15"/>
  <c r="S9" i="15"/>
  <c r="CX8" i="15"/>
  <c r="CX6" i="15"/>
  <c r="AD6" i="15"/>
  <c r="DI5" i="15"/>
  <c r="CM5" i="15"/>
  <c r="AD30" i="15"/>
  <c r="DI26" i="15"/>
  <c r="S22" i="15"/>
  <c r="CM19" i="15"/>
  <c r="CB16" i="15"/>
  <c r="DI15" i="15"/>
  <c r="AO15" i="15"/>
  <c r="CM14" i="15"/>
  <c r="AD10" i="15"/>
  <c r="CX7" i="15"/>
  <c r="CX4" i="15"/>
  <c r="AO25" i="15"/>
  <c r="CB21" i="15"/>
  <c r="CX14" i="15"/>
  <c r="AO11" i="15"/>
  <c r="CM7" i="15"/>
  <c r="AO4" i="15"/>
  <c r="AO3" i="15"/>
  <c r="DI33" i="15"/>
  <c r="CM23" i="15"/>
  <c r="AO21" i="15"/>
  <c r="S19" i="15"/>
  <c r="CM18" i="15"/>
  <c r="AO18" i="15"/>
  <c r="CB17" i="15"/>
  <c r="AD16" i="15"/>
  <c r="S14" i="15"/>
  <c r="DI13" i="15"/>
  <c r="AO13" i="15"/>
  <c r="S12" i="15"/>
  <c r="DI11" i="15"/>
  <c r="CM11" i="15"/>
  <c r="AD11" i="15"/>
  <c r="CM10" i="15"/>
  <c r="DI8" i="15"/>
  <c r="DI7" i="15"/>
  <c r="AD5" i="15"/>
  <c r="AD4" i="15"/>
  <c r="CB30" i="15"/>
  <c r="CM28" i="15"/>
  <c r="CB24" i="15"/>
  <c r="CM22" i="15"/>
  <c r="AO19" i="15"/>
  <c r="CX17" i="15"/>
  <c r="CM15" i="15"/>
  <c r="AO12" i="15"/>
  <c r="CX10" i="15"/>
  <c r="AO10" i="15"/>
  <c r="CX9" i="15"/>
  <c r="AO7" i="15"/>
  <c r="CX5" i="15"/>
  <c r="CX16" i="15"/>
  <c r="AD12" i="15"/>
  <c r="CM6" i="15"/>
  <c r="S3" i="15"/>
  <c r="D32" i="14"/>
  <c r="F32" i="14"/>
  <c r="F31" i="14"/>
  <c r="D31" i="14"/>
  <c r="CM33" i="13"/>
  <c r="H31" i="13"/>
  <c r="DI30" i="13"/>
  <c r="DI29" i="13"/>
  <c r="CX29" i="13"/>
  <c r="CM29" i="13"/>
  <c r="CB29" i="13"/>
  <c r="AO28" i="13"/>
  <c r="CM27" i="13"/>
  <c r="CB27" i="13"/>
  <c r="AD27" i="13"/>
  <c r="S27" i="13"/>
  <c r="H27" i="13"/>
  <c r="CM31" i="13"/>
  <c r="CX28" i="13"/>
  <c r="CM28" i="13"/>
  <c r="AD28" i="13"/>
  <c r="S28" i="13"/>
  <c r="H28" i="13"/>
  <c r="AO27" i="13"/>
  <c r="CB26" i="13"/>
  <c r="AO26" i="13"/>
  <c r="CX25" i="13"/>
  <c r="H25" i="13"/>
  <c r="CX24" i="13"/>
  <c r="AD24" i="13"/>
  <c r="CB23" i="13"/>
  <c r="AO23" i="13"/>
  <c r="CX32" i="13"/>
  <c r="AD32" i="13"/>
  <c r="DI31" i="13"/>
  <c r="CX31" i="13"/>
  <c r="H30" i="13"/>
  <c r="H29" i="13"/>
  <c r="DI27" i="13"/>
  <c r="CM26" i="13"/>
  <c r="AD26" i="13"/>
  <c r="DI25" i="13"/>
  <c r="CB25" i="13"/>
  <c r="CM24" i="13"/>
  <c r="CB24" i="13"/>
  <c r="AO24" i="13"/>
  <c r="H23" i="13"/>
  <c r="CX22" i="13"/>
  <c r="CM22" i="13"/>
  <c r="CB22" i="13"/>
  <c r="AO22" i="13"/>
  <c r="AD33" i="13"/>
  <c r="AD30" i="13"/>
  <c r="AD29" i="13"/>
  <c r="CB28" i="13"/>
  <c r="CM25" i="13"/>
  <c r="DI23" i="13"/>
  <c r="AD23" i="13"/>
  <c r="S23" i="13"/>
  <c r="S22" i="13"/>
  <c r="H22" i="13"/>
  <c r="DI21" i="13"/>
  <c r="AO21" i="13"/>
  <c r="CX20" i="13"/>
  <c r="CB20" i="13"/>
  <c r="CX19" i="13"/>
  <c r="CM19" i="13"/>
  <c r="CB19" i="13"/>
  <c r="DI18" i="13"/>
  <c r="CX18" i="13"/>
  <c r="CM18" i="13"/>
  <c r="CB18" i="13"/>
  <c r="H18" i="13"/>
  <c r="CM17" i="13"/>
  <c r="CB17" i="13"/>
  <c r="CX16" i="13"/>
  <c r="CM16" i="13"/>
  <c r="S16" i="13"/>
  <c r="DI15" i="13"/>
  <c r="S15" i="13"/>
  <c r="CX14" i="13"/>
  <c r="AD14" i="13"/>
  <c r="CX13" i="13"/>
  <c r="AD13" i="13"/>
  <c r="DI12" i="13"/>
  <c r="CX11" i="13"/>
  <c r="CM11" i="13"/>
  <c r="AO11" i="13"/>
  <c r="CX10" i="13"/>
  <c r="AO10" i="13"/>
  <c r="H10" i="13"/>
  <c r="AO9" i="13"/>
  <c r="H8" i="13"/>
  <c r="DI33" i="13"/>
  <c r="H32" i="13"/>
  <c r="AD31" i="13"/>
  <c r="CB30" i="13"/>
  <c r="S29" i="13"/>
  <c r="CX27" i="13"/>
  <c r="CM21" i="13"/>
  <c r="H20" i="13"/>
  <c r="DI19" i="13"/>
  <c r="AO18" i="13"/>
  <c r="AD18" i="13"/>
  <c r="CX17" i="13"/>
  <c r="AO17" i="13"/>
  <c r="H16" i="13"/>
  <c r="CB15" i="13"/>
  <c r="S14" i="13"/>
  <c r="DI13" i="13"/>
  <c r="H13" i="13"/>
  <c r="CX12" i="13"/>
  <c r="CM12" i="13"/>
  <c r="DI10" i="13"/>
  <c r="DI9" i="13"/>
  <c r="CM9" i="13"/>
  <c r="DI7" i="13"/>
  <c r="S7" i="13"/>
  <c r="DI6" i="13"/>
  <c r="CX5" i="13"/>
  <c r="CM5" i="13"/>
  <c r="AD5" i="13"/>
  <c r="DI4" i="13"/>
  <c r="CX4" i="13"/>
  <c r="AO4" i="13"/>
  <c r="AD4" i="13"/>
  <c r="S4" i="13"/>
  <c r="H4" i="13"/>
  <c r="S31" i="13"/>
  <c r="CM30" i="13"/>
  <c r="AO25" i="13"/>
  <c r="AD22" i="13"/>
  <c r="CX21" i="13"/>
  <c r="CB21" i="13"/>
  <c r="AD15" i="13"/>
  <c r="AO12" i="13"/>
  <c r="AD12" i="13"/>
  <c r="H12" i="13"/>
  <c r="AD11" i="13"/>
  <c r="DI8" i="13"/>
  <c r="AO8" i="13"/>
  <c r="AO7" i="13"/>
  <c r="AO6" i="13"/>
  <c r="S5" i="13"/>
  <c r="H33" i="13"/>
  <c r="CB31" i="13"/>
  <c r="CX30" i="13"/>
  <c r="S30" i="13"/>
  <c r="CX26" i="13"/>
  <c r="S25" i="13"/>
  <c r="DI22" i="13"/>
  <c r="AD21" i="13"/>
  <c r="H21" i="13"/>
  <c r="AO20" i="13"/>
  <c r="AD20" i="13"/>
  <c r="S20" i="13"/>
  <c r="H19" i="13"/>
  <c r="S18" i="13"/>
  <c r="AD17" i="13"/>
  <c r="S17" i="13"/>
  <c r="DI16" i="13"/>
  <c r="CB16" i="13"/>
  <c r="AO16" i="13"/>
  <c r="DI14" i="13"/>
  <c r="AO13" i="13"/>
  <c r="S12" i="13"/>
  <c r="DI11" i="13"/>
  <c r="CX9" i="13"/>
  <c r="AD9" i="13"/>
  <c r="S9" i="13"/>
  <c r="S8" i="13"/>
  <c r="CX6" i="13"/>
  <c r="AD6" i="13"/>
  <c r="H5" i="13"/>
  <c r="CM32" i="13"/>
  <c r="S26" i="13"/>
  <c r="H26" i="13"/>
  <c r="AD25" i="13"/>
  <c r="DI24" i="13"/>
  <c r="S24" i="13"/>
  <c r="H24" i="13"/>
  <c r="CM23" i="13"/>
  <c r="AD19" i="13"/>
  <c r="S19" i="13"/>
  <c r="H17" i="13"/>
  <c r="AD16" i="13"/>
  <c r="CX15" i="13"/>
  <c r="CM15" i="13"/>
  <c r="AO15" i="13"/>
  <c r="CM14" i="13"/>
  <c r="AO14" i="13"/>
  <c r="H14" i="13"/>
  <c r="H11" i="13"/>
  <c r="AD10" i="13"/>
  <c r="S10" i="13"/>
  <c r="H9" i="13"/>
  <c r="CM8" i="13"/>
  <c r="AD8" i="13"/>
  <c r="CX7" i="13"/>
  <c r="CM7" i="13"/>
  <c r="S6" i="13"/>
  <c r="DI5" i="13"/>
  <c r="DI3" i="13"/>
  <c r="CM3" i="13"/>
  <c r="CB32" i="13"/>
  <c r="DI28" i="13"/>
  <c r="DI26" i="13"/>
  <c r="DI20" i="13"/>
  <c r="CM20" i="13"/>
  <c r="CM10" i="13"/>
  <c r="H6" i="13"/>
  <c r="CX3" i="13"/>
  <c r="AD3" i="13"/>
  <c r="H3" i="13"/>
  <c r="CM13" i="13"/>
  <c r="H7" i="13"/>
  <c r="CM6" i="13"/>
  <c r="AO3" i="13"/>
  <c r="CX23" i="13"/>
  <c r="AO19" i="13"/>
  <c r="H15" i="13"/>
  <c r="AO5" i="13"/>
  <c r="DI32" i="13"/>
  <c r="S21" i="13"/>
  <c r="S13" i="13"/>
  <c r="S11" i="13"/>
  <c r="CM4" i="13"/>
  <c r="CX8" i="13"/>
  <c r="AD7" i="13"/>
  <c r="S3" i="13"/>
  <c r="DI17" i="13"/>
  <c r="Q35" i="12"/>
  <c r="Q36" i="12"/>
  <c r="R36" i="12" s="1"/>
  <c r="N31" i="12"/>
  <c r="Q31" i="12"/>
  <c r="N32" i="12"/>
  <c r="Q32" i="12"/>
  <c r="N30" i="12"/>
  <c r="Q30" i="12"/>
  <c r="N29" i="12"/>
  <c r="Q29" i="12"/>
  <c r="N33" i="12"/>
  <c r="Q33" i="12"/>
  <c r="N35" i="12"/>
  <c r="H36" i="12"/>
  <c r="H35" i="12" s="1"/>
  <c r="N36" i="12"/>
  <c r="O36" i="12" s="1"/>
  <c r="S54" i="9"/>
  <c r="H30" i="10"/>
  <c r="H27" i="10"/>
  <c r="H24" i="10"/>
  <c r="H32" i="10"/>
  <c r="H33" i="10"/>
  <c r="H28" i="10"/>
  <c r="H26" i="10"/>
  <c r="H16" i="10"/>
  <c r="H11" i="10"/>
  <c r="H9" i="10"/>
  <c r="H22" i="10"/>
  <c r="H31" i="10"/>
  <c r="H25" i="10"/>
  <c r="H20" i="10"/>
  <c r="H19" i="10"/>
  <c r="H18" i="10"/>
  <c r="H17" i="10"/>
  <c r="H14" i="10"/>
  <c r="H13" i="10"/>
  <c r="H7" i="10"/>
  <c r="H6" i="10"/>
  <c r="H4" i="10"/>
  <c r="H29" i="10"/>
  <c r="H12" i="10"/>
  <c r="H10" i="10"/>
  <c r="H8" i="10"/>
  <c r="H23" i="10"/>
  <c r="H21" i="10"/>
  <c r="H15" i="10"/>
  <c r="H5" i="10"/>
  <c r="DI33" i="10"/>
  <c r="DI31" i="10"/>
  <c r="DI27" i="10"/>
  <c r="DI25" i="10"/>
  <c r="DI23" i="10"/>
  <c r="DI21" i="10"/>
  <c r="DI19" i="10"/>
  <c r="DI18" i="10"/>
  <c r="DI16" i="10"/>
  <c r="DI14" i="10"/>
  <c r="DI12" i="10"/>
  <c r="DI8" i="10"/>
  <c r="DI6" i="10"/>
  <c r="DI4" i="10"/>
  <c r="CM9" i="10"/>
  <c r="CM10" i="10"/>
  <c r="CM11" i="10"/>
  <c r="CM12" i="10"/>
  <c r="CM13" i="10"/>
  <c r="CM14" i="10"/>
  <c r="CM15" i="10"/>
  <c r="DI15" i="10"/>
  <c r="DI11" i="10"/>
  <c r="DI7" i="10"/>
  <c r="CX4" i="10"/>
  <c r="CX8" i="10"/>
  <c r="CX12" i="10"/>
  <c r="CX16" i="10"/>
  <c r="CX20" i="10"/>
  <c r="CX24" i="10"/>
  <c r="CX28" i="10"/>
  <c r="CX32" i="10"/>
  <c r="CM16" i="10"/>
  <c r="CM17" i="10"/>
  <c r="CM18" i="10"/>
  <c r="CM19" i="10"/>
  <c r="CM20" i="10"/>
  <c r="CM21" i="10"/>
  <c r="CM22" i="10"/>
  <c r="CM23" i="10"/>
  <c r="DI32" i="10"/>
  <c r="DI28" i="10"/>
  <c r="DI24" i="10"/>
  <c r="DI20" i="10"/>
  <c r="CX7" i="10"/>
  <c r="CX11" i="10"/>
  <c r="CX15" i="10"/>
  <c r="CX19" i="10"/>
  <c r="CX23" i="10"/>
  <c r="CX27" i="10"/>
  <c r="CX31" i="10"/>
  <c r="CM5" i="10"/>
  <c r="CM7" i="10"/>
  <c r="DI29" i="10"/>
  <c r="DI26" i="10"/>
  <c r="DI17" i="10"/>
  <c r="DI13" i="10"/>
  <c r="CX18" i="10"/>
  <c r="CM4" i="10"/>
  <c r="CM27" i="10"/>
  <c r="CM31" i="10"/>
  <c r="CB21" i="10"/>
  <c r="CB22" i="10"/>
  <c r="CB23" i="10"/>
  <c r="CB24" i="10"/>
  <c r="CB25" i="10"/>
  <c r="CB26" i="10"/>
  <c r="CB30" i="10"/>
  <c r="CB31" i="10"/>
  <c r="CB32" i="10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CX21" i="10"/>
  <c r="CX22" i="10"/>
  <c r="CX25" i="10"/>
  <c r="CX26" i="10"/>
  <c r="CX29" i="10"/>
  <c r="CX30" i="10"/>
  <c r="CX3" i="10"/>
  <c r="CM26" i="10"/>
  <c r="CM30" i="10"/>
  <c r="CB19" i="10"/>
  <c r="CB15" i="10"/>
  <c r="AO3" i="10"/>
  <c r="AD3" i="10"/>
  <c r="DI30" i="10"/>
  <c r="DI10" i="10"/>
  <c r="CX9" i="10"/>
  <c r="DI3" i="10"/>
  <c r="CB16" i="10"/>
  <c r="CB17" i="10"/>
  <c r="AD21" i="10"/>
  <c r="AD25" i="10"/>
  <c r="AD29" i="10"/>
  <c r="AD33" i="10"/>
  <c r="S6" i="10"/>
  <c r="S10" i="10"/>
  <c r="S14" i="10"/>
  <c r="S18" i="10"/>
  <c r="DI22" i="10"/>
  <c r="DI9" i="10"/>
  <c r="CX6" i="10"/>
  <c r="CX14" i="10"/>
  <c r="CX17" i="10"/>
  <c r="CM6" i="10"/>
  <c r="CM24" i="10"/>
  <c r="CM25" i="10"/>
  <c r="CM28" i="10"/>
  <c r="CM29" i="10"/>
  <c r="CM32" i="10"/>
  <c r="CM3" i="10"/>
  <c r="AD24" i="10"/>
  <c r="AD28" i="10"/>
  <c r="AD32" i="10"/>
  <c r="S5" i="10"/>
  <c r="S9" i="10"/>
  <c r="S13" i="10"/>
  <c r="S17" i="10"/>
  <c r="S3" i="10"/>
  <c r="CX10" i="10"/>
  <c r="CM33" i="10"/>
  <c r="S4" i="10"/>
  <c r="S15" i="10"/>
  <c r="CX5" i="10"/>
  <c r="S8" i="10"/>
  <c r="S19" i="10"/>
  <c r="S22" i="10"/>
  <c r="S25" i="10"/>
  <c r="S29" i="10"/>
  <c r="S31" i="10"/>
  <c r="DI5" i="10"/>
  <c r="CX13" i="10"/>
  <c r="AD23" i="10"/>
  <c r="AD31" i="10"/>
  <c r="S12" i="10"/>
  <c r="S20" i="10"/>
  <c r="S21" i="10"/>
  <c r="S23" i="10"/>
  <c r="AD30" i="10"/>
  <c r="AD27" i="10"/>
  <c r="S16" i="10"/>
  <c r="S24" i="10"/>
  <c r="S26" i="10"/>
  <c r="S28" i="10"/>
  <c r="AD26" i="10"/>
  <c r="S7" i="10"/>
  <c r="S11" i="10"/>
  <c r="S30" i="10"/>
  <c r="AD22" i="10"/>
  <c r="S27" i="10"/>
  <c r="H3" i="10"/>
  <c r="DI5" i="6"/>
  <c r="DI9" i="6"/>
  <c r="DI13" i="6"/>
  <c r="DI17" i="6"/>
  <c r="DI21" i="6"/>
  <c r="DI25" i="6"/>
  <c r="DI29" i="6"/>
  <c r="DI33" i="6"/>
  <c r="DI3" i="6"/>
  <c r="CX4" i="6"/>
  <c r="CX8" i="6"/>
  <c r="CX12" i="6"/>
  <c r="CX16" i="6"/>
  <c r="CX20" i="6"/>
  <c r="CX24" i="6"/>
  <c r="CX28" i="6"/>
  <c r="CX32" i="6"/>
  <c r="CM7" i="6"/>
  <c r="CM11" i="6"/>
  <c r="CM15" i="6"/>
  <c r="CM19" i="6"/>
  <c r="CM23" i="6"/>
  <c r="CM27" i="6"/>
  <c r="CM31" i="6"/>
  <c r="CB18" i="6"/>
  <c r="CB22" i="6"/>
  <c r="CB26" i="6"/>
  <c r="CB30" i="6"/>
  <c r="AO6" i="6"/>
  <c r="AO10" i="6"/>
  <c r="AO14" i="6"/>
  <c r="AO18" i="6"/>
  <c r="AO22" i="6"/>
  <c r="AO26" i="6"/>
  <c r="AO3" i="6"/>
  <c r="AD7" i="6"/>
  <c r="AD11" i="6"/>
  <c r="AD15" i="6"/>
  <c r="AD19" i="6"/>
  <c r="AD23" i="6"/>
  <c r="AD27" i="6"/>
  <c r="AD31" i="6"/>
  <c r="AD3" i="6"/>
  <c r="S4" i="6"/>
  <c r="S8" i="6"/>
  <c r="S12" i="6"/>
  <c r="S16" i="6"/>
  <c r="S20" i="6"/>
  <c r="S24" i="6"/>
  <c r="S28" i="6"/>
  <c r="S3" i="6"/>
  <c r="H6" i="6"/>
  <c r="H10" i="6"/>
  <c r="H14" i="6"/>
  <c r="H18" i="6"/>
  <c r="H22" i="6"/>
  <c r="H26" i="6"/>
  <c r="H30" i="6"/>
  <c r="H3" i="6"/>
  <c r="DI7" i="6"/>
  <c r="DI15" i="6"/>
  <c r="DI23" i="6"/>
  <c r="DI31" i="6"/>
  <c r="CX10" i="6"/>
  <c r="CX18" i="6"/>
  <c r="CX26" i="6"/>
  <c r="CM5" i="6"/>
  <c r="CM13" i="6"/>
  <c r="DI6" i="6"/>
  <c r="DI10" i="6"/>
  <c r="DI14" i="6"/>
  <c r="DI18" i="6"/>
  <c r="DI22" i="6"/>
  <c r="DI26" i="6"/>
  <c r="DI30" i="6"/>
  <c r="CX5" i="6"/>
  <c r="CX9" i="6"/>
  <c r="CX13" i="6"/>
  <c r="CX17" i="6"/>
  <c r="CX21" i="6"/>
  <c r="CX25" i="6"/>
  <c r="CX29" i="6"/>
  <c r="CM4" i="6"/>
  <c r="CM8" i="6"/>
  <c r="CM12" i="6"/>
  <c r="CM16" i="6"/>
  <c r="CM20" i="6"/>
  <c r="CM24" i="6"/>
  <c r="CM28" i="6"/>
  <c r="CM32" i="6"/>
  <c r="CB15" i="6"/>
  <c r="CB19" i="6"/>
  <c r="CB23" i="6"/>
  <c r="CB27" i="6"/>
  <c r="CB31" i="6"/>
  <c r="AO7" i="6"/>
  <c r="AO11" i="6"/>
  <c r="AO15" i="6"/>
  <c r="AO19" i="6"/>
  <c r="AO23" i="6"/>
  <c r="AO27" i="6"/>
  <c r="AD4" i="6"/>
  <c r="AD8" i="6"/>
  <c r="AD12" i="6"/>
  <c r="AD16" i="6"/>
  <c r="AD20" i="6"/>
  <c r="AD24" i="6"/>
  <c r="AD28" i="6"/>
  <c r="AD32" i="6"/>
  <c r="S5" i="6"/>
  <c r="S9" i="6"/>
  <c r="S13" i="6"/>
  <c r="S17" i="6"/>
  <c r="S21" i="6"/>
  <c r="S25" i="6"/>
  <c r="S29" i="6"/>
  <c r="H7" i="6"/>
  <c r="H11" i="6"/>
  <c r="H15" i="6"/>
  <c r="H19" i="6"/>
  <c r="H23" i="6"/>
  <c r="H27" i="6"/>
  <c r="H31" i="6"/>
  <c r="DI11" i="6"/>
  <c r="DI19" i="6"/>
  <c r="DI27" i="6"/>
  <c r="CX6" i="6"/>
  <c r="CX14" i="6"/>
  <c r="CX22" i="6"/>
  <c r="CX30" i="6"/>
  <c r="CM9" i="6"/>
  <c r="CM17" i="6"/>
  <c r="DI8" i="6"/>
  <c r="DI24" i="6"/>
  <c r="CX7" i="6"/>
  <c r="CX23" i="6"/>
  <c r="CM10" i="6"/>
  <c r="CM22" i="6"/>
  <c r="CM30" i="6"/>
  <c r="CB16" i="6"/>
  <c r="CB24" i="6"/>
  <c r="CB32" i="6"/>
  <c r="AO4" i="6"/>
  <c r="AO12" i="6"/>
  <c r="AO20" i="6"/>
  <c r="AO28" i="6"/>
  <c r="AD9" i="6"/>
  <c r="AD17" i="6"/>
  <c r="AD25" i="6"/>
  <c r="AD33" i="6"/>
  <c r="S11" i="6"/>
  <c r="S19" i="6"/>
  <c r="S27" i="6"/>
  <c r="H4" i="6"/>
  <c r="H12" i="6"/>
  <c r="H20" i="6"/>
  <c r="H28" i="6"/>
  <c r="CX15" i="6"/>
  <c r="CM26" i="6"/>
  <c r="AO16" i="6"/>
  <c r="AD13" i="6"/>
  <c r="AD29" i="6"/>
  <c r="S7" i="6"/>
  <c r="S23" i="6"/>
  <c r="H8" i="6"/>
  <c r="H24" i="6"/>
  <c r="DI20" i="6"/>
  <c r="CX19" i="6"/>
  <c r="CM21" i="6"/>
  <c r="CB21" i="6"/>
  <c r="AO9" i="6"/>
  <c r="AO25" i="6"/>
  <c r="AD6" i="6"/>
  <c r="AD14" i="6"/>
  <c r="AD30" i="6"/>
  <c r="S10" i="6"/>
  <c r="S26" i="6"/>
  <c r="H17" i="6"/>
  <c r="H33" i="6"/>
  <c r="DI12" i="6"/>
  <c r="DI28" i="6"/>
  <c r="CX11" i="6"/>
  <c r="CX27" i="6"/>
  <c r="CX3" i="6"/>
  <c r="CM14" i="6"/>
  <c r="CM25" i="6"/>
  <c r="CM33" i="6"/>
  <c r="CB17" i="6"/>
  <c r="CB25" i="6"/>
  <c r="AO5" i="6"/>
  <c r="AO13" i="6"/>
  <c r="AO21" i="6"/>
  <c r="AD10" i="6"/>
  <c r="AD18" i="6"/>
  <c r="AD26" i="6"/>
  <c r="S6" i="6"/>
  <c r="S14" i="6"/>
  <c r="S22" i="6"/>
  <c r="S30" i="6"/>
  <c r="H5" i="6"/>
  <c r="H13" i="6"/>
  <c r="H21" i="6"/>
  <c r="H29" i="6"/>
  <c r="DI16" i="6"/>
  <c r="DI32" i="6"/>
  <c r="CX31" i="6"/>
  <c r="CM18" i="6"/>
  <c r="CM3" i="6"/>
  <c r="CB20" i="6"/>
  <c r="CB28" i="6"/>
  <c r="AO8" i="6"/>
  <c r="AO24" i="6"/>
  <c r="AD5" i="6"/>
  <c r="AD21" i="6"/>
  <c r="S15" i="6"/>
  <c r="S31" i="6"/>
  <c r="H16" i="6"/>
  <c r="H32" i="6"/>
  <c r="DI4" i="6"/>
  <c r="CM6" i="6"/>
  <c r="CM29" i="6"/>
  <c r="CB29" i="6"/>
  <c r="AO17" i="6"/>
  <c r="AD22" i="6"/>
  <c r="S18" i="6"/>
  <c r="H9" i="6"/>
  <c r="H25" i="6"/>
  <c r="AA54" i="9"/>
  <c r="EZ6" i="6"/>
  <c r="FA6" i="6" s="1"/>
  <c r="FB6" i="6" s="1"/>
  <c r="G48" i="4"/>
  <c r="EZ6" i="10"/>
  <c r="G84" i="4"/>
  <c r="AD53" i="3"/>
  <c r="Z53" i="3"/>
  <c r="N82" i="3" s="1"/>
  <c r="AB53" i="3"/>
  <c r="R53" i="3"/>
  <c r="R54" i="3" s="1"/>
  <c r="EZ3" i="15" s="1"/>
  <c r="V53" i="3"/>
  <c r="T53" i="3"/>
  <c r="D27" i="12" l="1"/>
  <c r="C26" i="12" s="1"/>
  <c r="F26" i="12" s="1"/>
  <c r="U44" i="14"/>
  <c r="V45" i="14"/>
  <c r="ER48" i="15" s="1"/>
  <c r="U44" i="12"/>
  <c r="V45" i="12"/>
  <c r="ER48" i="13" s="1"/>
  <c r="Q34" i="12"/>
  <c r="H34" i="12"/>
  <c r="H33" i="12" s="1"/>
  <c r="H32" i="12" s="1"/>
  <c r="H31" i="12" s="1"/>
  <c r="H30" i="12" s="1"/>
  <c r="H29" i="12" s="1"/>
  <c r="H28" i="12" s="1"/>
  <c r="H27" i="12" s="1"/>
  <c r="Q28" i="12"/>
  <c r="Q34" i="14"/>
  <c r="N34" i="14"/>
  <c r="Q28" i="14"/>
  <c r="N28" i="14"/>
  <c r="N30" i="14"/>
  <c r="Q30" i="14"/>
  <c r="N31" i="14"/>
  <c r="Q31" i="14"/>
  <c r="F27" i="14"/>
  <c r="D27" i="14"/>
  <c r="C26" i="14" s="1"/>
  <c r="N32" i="14"/>
  <c r="Q32" i="14"/>
  <c r="Q33" i="14"/>
  <c r="N33" i="14"/>
  <c r="DE33" i="15"/>
  <c r="CI33" i="15"/>
  <c r="Z33" i="15"/>
  <c r="D33" i="15"/>
  <c r="CT32" i="15"/>
  <c r="DE31" i="15"/>
  <c r="Z31" i="15"/>
  <c r="O31" i="15"/>
  <c r="CI30" i="15"/>
  <c r="Z30" i="15"/>
  <c r="DE29" i="15"/>
  <c r="CT29" i="15"/>
  <c r="O29" i="15"/>
  <c r="DE28" i="15"/>
  <c r="CT28" i="15"/>
  <c r="CI28" i="15"/>
  <c r="Z27" i="15"/>
  <c r="O27" i="15"/>
  <c r="BX26" i="15"/>
  <c r="D26" i="15"/>
  <c r="AK25" i="15"/>
  <c r="Z25" i="15"/>
  <c r="DE24" i="15"/>
  <c r="CT24" i="15"/>
  <c r="CT23" i="15"/>
  <c r="CI23" i="15"/>
  <c r="Z23" i="15"/>
  <c r="D23" i="15"/>
  <c r="Z32" i="15"/>
  <c r="CT31" i="15"/>
  <c r="BX30" i="15"/>
  <c r="D28" i="15"/>
  <c r="DE26" i="15"/>
  <c r="AK26" i="15"/>
  <c r="O25" i="15"/>
  <c r="D25" i="15"/>
  <c r="CI24" i="15"/>
  <c r="BX24" i="15"/>
  <c r="CT22" i="15"/>
  <c r="CI22" i="15"/>
  <c r="AK28" i="15"/>
  <c r="DE27" i="15"/>
  <c r="BX25" i="15"/>
  <c r="O23" i="15"/>
  <c r="Z22" i="15"/>
  <c r="O22" i="15"/>
  <c r="CI21" i="15"/>
  <c r="BX21" i="15"/>
  <c r="O21" i="15"/>
  <c r="CT20" i="15"/>
  <c r="AK20" i="15"/>
  <c r="Z20" i="15"/>
  <c r="O20" i="15"/>
  <c r="D20" i="15"/>
  <c r="CT19" i="15"/>
  <c r="BX19" i="15"/>
  <c r="Z19" i="15"/>
  <c r="D19" i="15"/>
  <c r="CT18" i="15"/>
  <c r="BX32" i="15"/>
  <c r="BX31" i="15"/>
  <c r="D31" i="15"/>
  <c r="CT30" i="15"/>
  <c r="O28" i="15"/>
  <c r="CT26" i="15"/>
  <c r="CI26" i="15"/>
  <c r="Z26" i="15"/>
  <c r="O26" i="15"/>
  <c r="CT25" i="15"/>
  <c r="CI25" i="15"/>
  <c r="AK24" i="15"/>
  <c r="DE23" i="15"/>
  <c r="AK23" i="15"/>
  <c r="DE22" i="15"/>
  <c r="DE20" i="15"/>
  <c r="CI20" i="15"/>
  <c r="DE32" i="15"/>
  <c r="D32" i="15"/>
  <c r="CI31" i="15"/>
  <c r="CI29" i="15"/>
  <c r="DE25" i="15"/>
  <c r="D24" i="15"/>
  <c r="D21" i="15"/>
  <c r="CI19" i="15"/>
  <c r="D18" i="15"/>
  <c r="DE16" i="15"/>
  <c r="CI16" i="15"/>
  <c r="AK16" i="15"/>
  <c r="O16" i="15"/>
  <c r="DE14" i="15"/>
  <c r="CT14" i="15"/>
  <c r="D14" i="15"/>
  <c r="CT13" i="15"/>
  <c r="AK13" i="15"/>
  <c r="Z13" i="15"/>
  <c r="CI12" i="15"/>
  <c r="CT11" i="15"/>
  <c r="D11" i="15"/>
  <c r="DE10" i="15"/>
  <c r="AK10" i="15"/>
  <c r="O10" i="15"/>
  <c r="D10" i="15"/>
  <c r="DE9" i="15"/>
  <c r="CI9" i="15"/>
  <c r="Z9" i="15"/>
  <c r="DE8" i="15"/>
  <c r="O7" i="15"/>
  <c r="D7" i="15"/>
  <c r="CT6" i="15"/>
  <c r="CI6" i="15"/>
  <c r="CI32" i="15"/>
  <c r="DE30" i="15"/>
  <c r="O30" i="15"/>
  <c r="D29" i="15"/>
  <c r="CI27" i="15"/>
  <c r="BX23" i="15"/>
  <c r="AK22" i="15"/>
  <c r="Z21" i="15"/>
  <c r="DE19" i="15"/>
  <c r="DE18" i="15"/>
  <c r="CI18" i="15"/>
  <c r="AK18" i="15"/>
  <c r="Z18" i="15"/>
  <c r="CT17" i="15"/>
  <c r="BX17" i="15"/>
  <c r="Z17" i="15"/>
  <c r="D17" i="15"/>
  <c r="DE15" i="15"/>
  <c r="CT15" i="15"/>
  <c r="CI15" i="15"/>
  <c r="BX15" i="15"/>
  <c r="AK15" i="15"/>
  <c r="Z15" i="15"/>
  <c r="CI14" i="15"/>
  <c r="AK11" i="15"/>
  <c r="Z11" i="15"/>
  <c r="CT10" i="15"/>
  <c r="CT8" i="15"/>
  <c r="AK8" i="15"/>
  <c r="Z8" i="15"/>
  <c r="O8" i="15"/>
  <c r="D8" i="15"/>
  <c r="AK7" i="15"/>
  <c r="Z6" i="15"/>
  <c r="DE5" i="15"/>
  <c r="CT5" i="15"/>
  <c r="CI5" i="15"/>
  <c r="Z5" i="15"/>
  <c r="O5" i="15"/>
  <c r="D5" i="15"/>
  <c r="CT4" i="15"/>
  <c r="AK4" i="15"/>
  <c r="Z4" i="15"/>
  <c r="AK3" i="15"/>
  <c r="O3" i="15"/>
  <c r="AK27" i="15"/>
  <c r="CT21" i="15"/>
  <c r="O18" i="15"/>
  <c r="CT16" i="15"/>
  <c r="O14" i="15"/>
  <c r="D13" i="15"/>
  <c r="AK12" i="15"/>
  <c r="O12" i="15"/>
  <c r="CT7" i="15"/>
  <c r="AK6" i="15"/>
  <c r="DE4" i="15"/>
  <c r="DE3" i="15"/>
  <c r="CI3" i="15"/>
  <c r="Z3" i="15"/>
  <c r="D3" i="15"/>
  <c r="Z29" i="15"/>
  <c r="D27" i="15"/>
  <c r="AK17" i="15"/>
  <c r="Z16" i="15"/>
  <c r="D16" i="15"/>
  <c r="DE13" i="15"/>
  <c r="O13" i="15"/>
  <c r="CT12" i="15"/>
  <c r="CI11" i="15"/>
  <c r="CI10" i="15"/>
  <c r="O9" i="15"/>
  <c r="DE6" i="15"/>
  <c r="O6" i="15"/>
  <c r="CT3" i="15"/>
  <c r="Z28" i="15"/>
  <c r="AK19" i="15"/>
  <c r="DE17" i="15"/>
  <c r="CI17" i="15"/>
  <c r="O15" i="15"/>
  <c r="AK14" i="15"/>
  <c r="DE11" i="15"/>
  <c r="CI4" i="15"/>
  <c r="D30" i="15"/>
  <c r="Z24" i="15"/>
  <c r="BX22" i="15"/>
  <c r="D22" i="15"/>
  <c r="O17" i="15"/>
  <c r="CI13" i="15"/>
  <c r="Z12" i="15"/>
  <c r="D12" i="15"/>
  <c r="AK9" i="15"/>
  <c r="CI7" i="15"/>
  <c r="Z7" i="15"/>
  <c r="D6" i="15"/>
  <c r="AK5" i="15"/>
  <c r="D4" i="15"/>
  <c r="CT27" i="15"/>
  <c r="DE21" i="15"/>
  <c r="AK21" i="15"/>
  <c r="O19" i="15"/>
  <c r="Z14" i="15"/>
  <c r="O11" i="15"/>
  <c r="D9" i="15"/>
  <c r="O4" i="15"/>
  <c r="O24" i="15"/>
  <c r="BX16" i="15"/>
  <c r="D15" i="15"/>
  <c r="DE12" i="15"/>
  <c r="Z10" i="15"/>
  <c r="CT9" i="15"/>
  <c r="DE7" i="15"/>
  <c r="Q35" i="14"/>
  <c r="N35" i="14"/>
  <c r="Q36" i="14"/>
  <c r="R36" i="14" s="1"/>
  <c r="N36" i="14"/>
  <c r="O36" i="14" s="1"/>
  <c r="H36" i="14"/>
  <c r="H35" i="14" s="1"/>
  <c r="H34" i="14" s="1"/>
  <c r="H33" i="14" s="1"/>
  <c r="H32" i="14" s="1"/>
  <c r="H31" i="14" s="1"/>
  <c r="H30" i="14" s="1"/>
  <c r="H29" i="14" s="1"/>
  <c r="H28" i="14" s="1"/>
  <c r="N29" i="14"/>
  <c r="Q29" i="14"/>
  <c r="S36" i="12"/>
  <c r="R35" i="12"/>
  <c r="N27" i="12"/>
  <c r="Q27" i="12"/>
  <c r="DE32" i="13"/>
  <c r="CT32" i="13"/>
  <c r="CI32" i="13"/>
  <c r="Z32" i="13"/>
  <c r="DE31" i="13"/>
  <c r="CT31" i="13"/>
  <c r="BX31" i="13"/>
  <c r="Z31" i="13"/>
  <c r="CI30" i="13"/>
  <c r="BX30" i="13"/>
  <c r="Z30" i="13"/>
  <c r="O30" i="13"/>
  <c r="Z29" i="13"/>
  <c r="O29" i="13"/>
  <c r="DE28" i="13"/>
  <c r="CT28" i="13"/>
  <c r="O28" i="13"/>
  <c r="Z33" i="13"/>
  <c r="D33" i="13"/>
  <c r="D31" i="13"/>
  <c r="D30" i="13"/>
  <c r="D29" i="13"/>
  <c r="DE27" i="13"/>
  <c r="CT27" i="13"/>
  <c r="Z27" i="13"/>
  <c r="DE26" i="13"/>
  <c r="CT26" i="13"/>
  <c r="O26" i="13"/>
  <c r="BX25" i="13"/>
  <c r="AK25" i="13"/>
  <c r="Z25" i="13"/>
  <c r="O24" i="13"/>
  <c r="CT23" i="13"/>
  <c r="DE33" i="13"/>
  <c r="CI33" i="13"/>
  <c r="D32" i="13"/>
  <c r="CI31" i="13"/>
  <c r="O31" i="13"/>
  <c r="DE29" i="13"/>
  <c r="CI28" i="13"/>
  <c r="D27" i="13"/>
  <c r="BX26" i="13"/>
  <c r="Z23" i="13"/>
  <c r="O22" i="13"/>
  <c r="DE30" i="13"/>
  <c r="CT30" i="13"/>
  <c r="CT29" i="13"/>
  <c r="CI26" i="13"/>
  <c r="AK26" i="13"/>
  <c r="DE25" i="13"/>
  <c r="D24" i="13"/>
  <c r="AK22" i="13"/>
  <c r="BX21" i="13"/>
  <c r="Z20" i="13"/>
  <c r="D20" i="13"/>
  <c r="O19" i="13"/>
  <c r="D17" i="13"/>
  <c r="CT15" i="13"/>
  <c r="BX15" i="13"/>
  <c r="AK15" i="13"/>
  <c r="O13" i="13"/>
  <c r="DE12" i="13"/>
  <c r="Z11" i="13"/>
  <c r="Z9" i="13"/>
  <c r="AK8" i="13"/>
  <c r="Z8" i="13"/>
  <c r="BX32" i="13"/>
  <c r="AK28" i="13"/>
  <c r="D28" i="13"/>
  <c r="O25" i="13"/>
  <c r="D25" i="13"/>
  <c r="DE24" i="13"/>
  <c r="CT24" i="13"/>
  <c r="BX22" i="13"/>
  <c r="D22" i="13"/>
  <c r="DE21" i="13"/>
  <c r="CT20" i="13"/>
  <c r="CI20" i="13"/>
  <c r="CI19" i="13"/>
  <c r="AK19" i="13"/>
  <c r="Z19" i="13"/>
  <c r="D19" i="13"/>
  <c r="DE18" i="13"/>
  <c r="CT18" i="13"/>
  <c r="CI17" i="13"/>
  <c r="Z16" i="13"/>
  <c r="Z15" i="13"/>
  <c r="CT14" i="13"/>
  <c r="AK14" i="13"/>
  <c r="D14" i="13"/>
  <c r="Z13" i="13"/>
  <c r="O12" i="13"/>
  <c r="CI11" i="13"/>
  <c r="AK11" i="13"/>
  <c r="O11" i="13"/>
  <c r="AK10" i="13"/>
  <c r="D9" i="13"/>
  <c r="DE8" i="13"/>
  <c r="O8" i="13"/>
  <c r="D8" i="13"/>
  <c r="DE6" i="13"/>
  <c r="CT6" i="13"/>
  <c r="CI6" i="13"/>
  <c r="Z6" i="13"/>
  <c r="D6" i="13"/>
  <c r="AK5" i="13"/>
  <c r="O5" i="13"/>
  <c r="CT4" i="13"/>
  <c r="CI4" i="13"/>
  <c r="AK4" i="13"/>
  <c r="Z4" i="13"/>
  <c r="O4" i="13"/>
  <c r="D4" i="13"/>
  <c r="O3" i="13"/>
  <c r="CI24" i="13"/>
  <c r="AK24" i="13"/>
  <c r="CI23" i="13"/>
  <c r="DE19" i="13"/>
  <c r="BX19" i="13"/>
  <c r="CI18" i="13"/>
  <c r="DE17" i="13"/>
  <c r="CT17" i="13"/>
  <c r="BX17" i="13"/>
  <c r="DE15" i="13"/>
  <c r="D15" i="13"/>
  <c r="CI14" i="13"/>
  <c r="DE13" i="13"/>
  <c r="CT13" i="13"/>
  <c r="D11" i="13"/>
  <c r="DE10" i="13"/>
  <c r="CI10" i="13"/>
  <c r="Z10" i="13"/>
  <c r="CI9" i="13"/>
  <c r="CT8" i="13"/>
  <c r="DE7" i="13"/>
  <c r="CT7" i="13"/>
  <c r="CI7" i="13"/>
  <c r="O6" i="13"/>
  <c r="CT5" i="13"/>
  <c r="CI5" i="13"/>
  <c r="DE3" i="13"/>
  <c r="CT3" i="13"/>
  <c r="AK27" i="13"/>
  <c r="Z26" i="13"/>
  <c r="AK23" i="13"/>
  <c r="Z22" i="13"/>
  <c r="CT21" i="13"/>
  <c r="CI21" i="13"/>
  <c r="O21" i="13"/>
  <c r="DE20" i="13"/>
  <c r="O15" i="13"/>
  <c r="CI13" i="13"/>
  <c r="CI12" i="13"/>
  <c r="D12" i="13"/>
  <c r="CT11" i="13"/>
  <c r="AK7" i="13"/>
  <c r="Z7" i="13"/>
  <c r="O7" i="13"/>
  <c r="D7" i="13"/>
  <c r="DE5" i="13"/>
  <c r="Z5" i="13"/>
  <c r="AK3" i="13"/>
  <c r="Z3" i="13"/>
  <c r="D3" i="13"/>
  <c r="CT25" i="13"/>
  <c r="BX24" i="13"/>
  <c r="O23" i="13"/>
  <c r="D23" i="13"/>
  <c r="CI22" i="13"/>
  <c r="AK21" i="13"/>
  <c r="O20" i="13"/>
  <c r="AK17" i="13"/>
  <c r="DE14" i="13"/>
  <c r="Z14" i="13"/>
  <c r="AK13" i="13"/>
  <c r="AK12" i="13"/>
  <c r="Z12" i="13"/>
  <c r="CT10" i="13"/>
  <c r="D10" i="13"/>
  <c r="DE9" i="13"/>
  <c r="AK9" i="13"/>
  <c r="AK6" i="13"/>
  <c r="D5" i="13"/>
  <c r="DE4" i="13"/>
  <c r="O27" i="13"/>
  <c r="Z18" i="13"/>
  <c r="D18" i="13"/>
  <c r="DE16" i="13"/>
  <c r="D13" i="13"/>
  <c r="CT12" i="13"/>
  <c r="DE11" i="13"/>
  <c r="O9" i="13"/>
  <c r="D26" i="13"/>
  <c r="DE22" i="13"/>
  <c r="Z17" i="13"/>
  <c r="CT16" i="13"/>
  <c r="O16" i="13"/>
  <c r="O14" i="13"/>
  <c r="O10" i="13"/>
  <c r="CT9" i="13"/>
  <c r="CI29" i="13"/>
  <c r="CI27" i="13"/>
  <c r="CI25" i="13"/>
  <c r="Z21" i="13"/>
  <c r="D21" i="13"/>
  <c r="AK20" i="13"/>
  <c r="CT19" i="13"/>
  <c r="O17" i="13"/>
  <c r="CI16" i="13"/>
  <c r="AK16" i="13"/>
  <c r="CI15" i="13"/>
  <c r="CT22" i="13"/>
  <c r="AK18" i="13"/>
  <c r="O18" i="13"/>
  <c r="D16" i="13"/>
  <c r="CI3" i="13"/>
  <c r="Z28" i="13"/>
  <c r="Z24" i="13"/>
  <c r="DE23" i="13"/>
  <c r="BX23" i="13"/>
  <c r="BX16" i="13"/>
  <c r="P36" i="12"/>
  <c r="O35" i="12"/>
  <c r="DE32" i="10"/>
  <c r="DE30" i="10"/>
  <c r="DE29" i="10"/>
  <c r="DE28" i="10"/>
  <c r="DE26" i="10"/>
  <c r="DE24" i="10"/>
  <c r="DE22" i="10"/>
  <c r="DE20" i="10"/>
  <c r="DE17" i="10"/>
  <c r="DE15" i="10"/>
  <c r="DE13" i="10"/>
  <c r="DE9" i="10"/>
  <c r="DE7" i="10"/>
  <c r="DE5" i="10"/>
  <c r="DE3" i="10"/>
  <c r="CT3" i="10"/>
  <c r="CI9" i="10"/>
  <c r="CI10" i="10"/>
  <c r="CI11" i="10"/>
  <c r="CI12" i="10"/>
  <c r="CI13" i="10"/>
  <c r="CI14" i="10"/>
  <c r="CI15" i="10"/>
  <c r="CI16" i="10"/>
  <c r="DE16" i="10"/>
  <c r="DE12" i="10"/>
  <c r="DE8" i="10"/>
  <c r="DE4" i="10"/>
  <c r="CT5" i="10"/>
  <c r="CT9" i="10"/>
  <c r="CT13" i="10"/>
  <c r="CT17" i="10"/>
  <c r="CT21" i="10"/>
  <c r="CT25" i="10"/>
  <c r="CT29" i="10"/>
  <c r="CI4" i="10"/>
  <c r="CI6" i="10"/>
  <c r="CI17" i="10"/>
  <c r="CI18" i="10"/>
  <c r="CI19" i="10"/>
  <c r="CI20" i="10"/>
  <c r="CI21" i="10"/>
  <c r="CI22" i="10"/>
  <c r="CI23" i="10"/>
  <c r="DE33" i="10"/>
  <c r="DE25" i="10"/>
  <c r="DE21" i="10"/>
  <c r="CT4" i="10"/>
  <c r="CT8" i="10"/>
  <c r="CT12" i="10"/>
  <c r="CT16" i="10"/>
  <c r="CT20" i="10"/>
  <c r="CT24" i="10"/>
  <c r="CT28" i="10"/>
  <c r="CT32" i="10"/>
  <c r="DE27" i="10"/>
  <c r="DE18" i="10"/>
  <c r="DE14" i="10"/>
  <c r="CT22" i="10"/>
  <c r="CT26" i="10"/>
  <c r="CT30" i="10"/>
  <c r="CI24" i="10"/>
  <c r="CI28" i="10"/>
  <c r="CI32" i="10"/>
  <c r="BX21" i="10"/>
  <c r="BX22" i="10"/>
  <c r="BX23" i="10"/>
  <c r="BX24" i="10"/>
  <c r="BX25" i="10"/>
  <c r="BX26" i="10"/>
  <c r="BX30" i="10"/>
  <c r="BX31" i="10"/>
  <c r="BX32" i="10"/>
  <c r="AK4" i="10"/>
  <c r="AK5" i="10"/>
  <c r="AK6" i="10"/>
  <c r="AK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Z4" i="10"/>
  <c r="Z5" i="10"/>
  <c r="Z6" i="10"/>
  <c r="Z7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CT7" i="10"/>
  <c r="CT11" i="10"/>
  <c r="CT15" i="10"/>
  <c r="CI7" i="10"/>
  <c r="CI27" i="10"/>
  <c r="CI31" i="10"/>
  <c r="CI3" i="10"/>
  <c r="BX19" i="10"/>
  <c r="DE31" i="10"/>
  <c r="DE11" i="10"/>
  <c r="CT6" i="10"/>
  <c r="CT14" i="10"/>
  <c r="CT19" i="10"/>
  <c r="CT27" i="10"/>
  <c r="CI25" i="10"/>
  <c r="CI29" i="10"/>
  <c r="Z22" i="10"/>
  <c r="Z26" i="10"/>
  <c r="Z30" i="10"/>
  <c r="O7" i="10"/>
  <c r="O11" i="10"/>
  <c r="O15" i="10"/>
  <c r="O19" i="10"/>
  <c r="O3" i="10"/>
  <c r="D4" i="10"/>
  <c r="D8" i="10"/>
  <c r="D12" i="10"/>
  <c r="D16" i="10"/>
  <c r="D20" i="10"/>
  <c r="D24" i="10"/>
  <c r="D28" i="10"/>
  <c r="D32" i="10"/>
  <c r="DE23" i="10"/>
  <c r="DE10" i="10"/>
  <c r="CT18" i="10"/>
  <c r="CI5" i="10"/>
  <c r="CI33" i="10"/>
  <c r="Z21" i="10"/>
  <c r="Z25" i="10"/>
  <c r="Z29" i="10"/>
  <c r="Z33" i="10"/>
  <c r="O6" i="10"/>
  <c r="O10" i="10"/>
  <c r="O14" i="10"/>
  <c r="O18" i="10"/>
  <c r="D5" i="10"/>
  <c r="D9" i="10"/>
  <c r="D13" i="10"/>
  <c r="D17" i="10"/>
  <c r="D21" i="10"/>
  <c r="D25" i="10"/>
  <c r="D29" i="10"/>
  <c r="D33" i="10"/>
  <c r="DE19" i="10"/>
  <c r="CI26" i="10"/>
  <c r="Z24" i="10"/>
  <c r="Z28" i="10"/>
  <c r="Z32" i="10"/>
  <c r="O5" i="10"/>
  <c r="O16" i="10"/>
  <c r="CT10" i="10"/>
  <c r="CT31" i="10"/>
  <c r="BX16" i="10"/>
  <c r="AK3" i="10"/>
  <c r="O4" i="10"/>
  <c r="O9" i="10"/>
  <c r="O20" i="10"/>
  <c r="O27" i="10"/>
  <c r="O30" i="10"/>
  <c r="D10" i="10"/>
  <c r="D18" i="10"/>
  <c r="D26" i="10"/>
  <c r="D3" i="10"/>
  <c r="DE6" i="10"/>
  <c r="CI30" i="10"/>
  <c r="O13" i="10"/>
  <c r="O24" i="10"/>
  <c r="O28" i="10"/>
  <c r="D11" i="10"/>
  <c r="D22" i="10"/>
  <c r="D31" i="10"/>
  <c r="BX17" i="10"/>
  <c r="O26" i="10"/>
  <c r="O29" i="10"/>
  <c r="D14" i="10"/>
  <c r="D15" i="10"/>
  <c r="Z23" i="10"/>
  <c r="Z31" i="10"/>
  <c r="Z3" i="10"/>
  <c r="O8" i="10"/>
  <c r="O12" i="10"/>
  <c r="O22" i="10"/>
  <c r="O23" i="10"/>
  <c r="O31" i="10"/>
  <c r="D7" i="10"/>
  <c r="D19" i="10"/>
  <c r="D30" i="10"/>
  <c r="BX15" i="10"/>
  <c r="Z27" i="10"/>
  <c r="O25" i="10"/>
  <c r="D23" i="10"/>
  <c r="CT23" i="10"/>
  <c r="O17" i="10"/>
  <c r="O21" i="10"/>
  <c r="D6" i="10"/>
  <c r="D27" i="10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AK4" i="6"/>
  <c r="AK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BX16" i="6"/>
  <c r="BX17" i="6"/>
  <c r="BX19" i="6"/>
  <c r="BX21" i="6"/>
  <c r="BX22" i="6"/>
  <c r="BX24" i="6"/>
  <c r="BX31" i="6"/>
  <c r="CI6" i="6"/>
  <c r="CI11" i="6"/>
  <c r="CI15" i="6"/>
  <c r="CI19" i="6"/>
  <c r="CI20" i="6"/>
  <c r="CI21" i="6"/>
  <c r="CI22" i="6"/>
  <c r="CI23" i="6"/>
  <c r="CI24" i="6"/>
  <c r="CI25" i="6"/>
  <c r="CI26" i="6"/>
  <c r="CI27" i="6"/>
  <c r="CI28" i="6"/>
  <c r="CI29" i="6"/>
  <c r="CI30" i="6"/>
  <c r="CI31" i="6"/>
  <c r="CI32" i="6"/>
  <c r="CI33" i="6"/>
  <c r="CT4" i="6"/>
  <c r="CT6" i="6"/>
  <c r="CT8" i="6"/>
  <c r="CT10" i="6"/>
  <c r="CT12" i="6"/>
  <c r="CT14" i="6"/>
  <c r="CT16" i="6"/>
  <c r="CT18" i="6"/>
  <c r="CT20" i="6"/>
  <c r="CT22" i="6"/>
  <c r="CT24" i="6"/>
  <c r="CT26" i="6"/>
  <c r="CT28" i="6"/>
  <c r="CT30" i="6"/>
  <c r="CT32" i="6"/>
  <c r="BX26" i="6"/>
  <c r="CI4" i="6"/>
  <c r="CI9" i="6"/>
  <c r="CI13" i="6"/>
  <c r="CI17" i="6"/>
  <c r="CT5" i="6"/>
  <c r="CT7" i="6"/>
  <c r="CT9" i="6"/>
  <c r="CT11" i="6"/>
  <c r="CT13" i="6"/>
  <c r="CT15" i="6"/>
  <c r="CT17" i="6"/>
  <c r="CT19" i="6"/>
  <c r="CT21" i="6"/>
  <c r="CT23" i="6"/>
  <c r="CT25" i="6"/>
  <c r="CT27" i="6"/>
  <c r="CT29" i="6"/>
  <c r="CT31" i="6"/>
  <c r="DE4" i="6"/>
  <c r="DE5" i="6"/>
  <c r="DE6" i="6"/>
  <c r="DE7" i="6"/>
  <c r="DE8" i="6"/>
  <c r="DE9" i="6"/>
  <c r="DE10" i="6"/>
  <c r="BX30" i="6"/>
  <c r="CI10" i="6"/>
  <c r="CI18" i="6"/>
  <c r="O4" i="6"/>
  <c r="BX23" i="6"/>
  <c r="CI5" i="6"/>
  <c r="CI14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DE25" i="6"/>
  <c r="DE26" i="6"/>
  <c r="DE27" i="6"/>
  <c r="DE28" i="6"/>
  <c r="DE29" i="6"/>
  <c r="DE30" i="6"/>
  <c r="DE31" i="6"/>
  <c r="DE32" i="6"/>
  <c r="DE33" i="6"/>
  <c r="BX25" i="6"/>
  <c r="CI16" i="6"/>
  <c r="BX15" i="6"/>
  <c r="O8" i="6"/>
  <c r="O12" i="6"/>
  <c r="O16" i="6"/>
  <c r="O20" i="6"/>
  <c r="O24" i="6"/>
  <c r="O28" i="6"/>
  <c r="D6" i="6"/>
  <c r="D10" i="6"/>
  <c r="D14" i="6"/>
  <c r="D18" i="6"/>
  <c r="D22" i="6"/>
  <c r="D26" i="6"/>
  <c r="D30" i="6"/>
  <c r="D3" i="6"/>
  <c r="CI12" i="6"/>
  <c r="DE3" i="6"/>
  <c r="AK3" i="6"/>
  <c r="O5" i="6"/>
  <c r="O9" i="6"/>
  <c r="O13" i="6"/>
  <c r="O17" i="6"/>
  <c r="O21" i="6"/>
  <c r="O25" i="6"/>
  <c r="O29" i="6"/>
  <c r="D7" i="6"/>
  <c r="CI7" i="6"/>
  <c r="CT3" i="6"/>
  <c r="Z3" i="6"/>
  <c r="O3" i="6"/>
  <c r="O6" i="6"/>
  <c r="O10" i="6"/>
  <c r="O14" i="6"/>
  <c r="O18" i="6"/>
  <c r="O22" i="6"/>
  <c r="O26" i="6"/>
  <c r="O30" i="6"/>
  <c r="D4" i="6"/>
  <c r="D8" i="6"/>
  <c r="D12" i="6"/>
  <c r="D16" i="6"/>
  <c r="D20" i="6"/>
  <c r="D24" i="6"/>
  <c r="D28" i="6"/>
  <c r="D32" i="6"/>
  <c r="BX32" i="6"/>
  <c r="DE11" i="6"/>
  <c r="CI3" i="6"/>
  <c r="O7" i="6"/>
  <c r="O11" i="6"/>
  <c r="O15" i="6"/>
  <c r="O19" i="6"/>
  <c r="O23" i="6"/>
  <c r="O27" i="6"/>
  <c r="O31" i="6"/>
  <c r="D5" i="6"/>
  <c r="D9" i="6"/>
  <c r="D13" i="6"/>
  <c r="D17" i="6"/>
  <c r="D21" i="6"/>
  <c r="D25" i="6"/>
  <c r="D29" i="6"/>
  <c r="D33" i="6"/>
  <c r="D15" i="6"/>
  <c r="D31" i="6"/>
  <c r="D19" i="6"/>
  <c r="D23" i="6"/>
  <c r="D11" i="6"/>
  <c r="D27" i="6"/>
  <c r="Z54" i="3"/>
  <c r="FB6" i="10"/>
  <c r="FA6" i="10"/>
  <c r="EZ3" i="10"/>
  <c r="G81" i="4"/>
  <c r="S54" i="3"/>
  <c r="FF6" i="10"/>
  <c r="FC6" i="10" s="1"/>
  <c r="FD6" i="10" s="1"/>
  <c r="FG6" i="10" s="1"/>
  <c r="FF6" i="6"/>
  <c r="FC6" i="6" s="1"/>
  <c r="FD6" i="6" s="1"/>
  <c r="FG6" i="6" s="1"/>
  <c r="D26" i="12" l="1"/>
  <c r="C25" i="12" s="1"/>
  <c r="D25" i="12" s="1"/>
  <c r="C24" i="12" s="1"/>
  <c r="U43" i="12"/>
  <c r="V44" i="12"/>
  <c r="ER47" i="13" s="1"/>
  <c r="U43" i="14"/>
  <c r="V44" i="14"/>
  <c r="ER47" i="15" s="1"/>
  <c r="EZ57" i="15"/>
  <c r="O35" i="14"/>
  <c r="P36" i="14"/>
  <c r="R35" i="14"/>
  <c r="S36" i="14"/>
  <c r="N27" i="14"/>
  <c r="Q27" i="14"/>
  <c r="H27" i="14"/>
  <c r="F26" i="14"/>
  <c r="D26" i="14"/>
  <c r="C25" i="14" s="1"/>
  <c r="EZ3" i="13"/>
  <c r="P37" i="12"/>
  <c r="ED40" i="13" s="1"/>
  <c r="ED39" i="13"/>
  <c r="S37" i="12"/>
  <c r="EG40" i="13" s="1"/>
  <c r="EG39" i="13"/>
  <c r="N26" i="12"/>
  <c r="Q26" i="12"/>
  <c r="R34" i="12"/>
  <c r="S35" i="12"/>
  <c r="EG38" i="13" s="1"/>
  <c r="O34" i="12"/>
  <c r="P35" i="12"/>
  <c r="ED38" i="13" s="1"/>
  <c r="H26" i="12"/>
  <c r="G45" i="4"/>
  <c r="EZ3" i="6"/>
  <c r="AA54" i="3"/>
  <c r="EZ57" i="10"/>
  <c r="FE6" i="6"/>
  <c r="FE6" i="10"/>
  <c r="F25" i="12" l="1"/>
  <c r="H25" i="12" s="1"/>
  <c r="ER90" i="13"/>
  <c r="ER91" i="13"/>
  <c r="U42" i="14"/>
  <c r="V43" i="14"/>
  <c r="ER46" i="15" s="1"/>
  <c r="U42" i="12"/>
  <c r="V43" i="12"/>
  <c r="ER46" i="13" s="1"/>
  <c r="FD57" i="15"/>
  <c r="S37" i="14"/>
  <c r="EG40" i="15" s="1"/>
  <c r="EG39" i="15"/>
  <c r="P37" i="14"/>
  <c r="ED40" i="15" s="1"/>
  <c r="ED39" i="15"/>
  <c r="FH57" i="15"/>
  <c r="FA57" i="15"/>
  <c r="FC57" i="15" s="1"/>
  <c r="EZ57" i="13"/>
  <c r="FA57" i="13" s="1"/>
  <c r="FC57" i="13" s="1"/>
  <c r="Q26" i="14"/>
  <c r="H26" i="14"/>
  <c r="N26" i="14"/>
  <c r="P35" i="14"/>
  <c r="ED38" i="15" s="1"/>
  <c r="O34" i="14"/>
  <c r="R34" i="14"/>
  <c r="S35" i="14"/>
  <c r="EG38" i="15" s="1"/>
  <c r="D25" i="14"/>
  <c r="C24" i="14" s="1"/>
  <c r="F25" i="14"/>
  <c r="ER89" i="13"/>
  <c r="R33" i="12"/>
  <c r="S34" i="12"/>
  <c r="EG37" i="13" s="1"/>
  <c r="O33" i="12"/>
  <c r="P34" i="12"/>
  <c r="ED37" i="13" s="1"/>
  <c r="F24" i="12"/>
  <c r="D24" i="12"/>
  <c r="C23" i="12" s="1"/>
  <c r="EZ57" i="6"/>
  <c r="FB57" i="6" s="1"/>
  <c r="FF57" i="10"/>
  <c r="FF3" i="10" s="1"/>
  <c r="FC3" i="10" s="1"/>
  <c r="FB57" i="10"/>
  <c r="Q25" i="12" l="1"/>
  <c r="N25" i="12"/>
  <c r="V42" i="12"/>
  <c r="ER45" i="13" s="1"/>
  <c r="U41" i="12"/>
  <c r="U41" i="14"/>
  <c r="V42" i="14"/>
  <c r="ER45" i="15" s="1"/>
  <c r="ER91" i="15"/>
  <c r="ER89" i="15"/>
  <c r="ER90" i="15"/>
  <c r="FH57" i="13"/>
  <c r="FD57" i="13"/>
  <c r="F24" i="14"/>
  <c r="D24" i="14"/>
  <c r="C23" i="14" s="1"/>
  <c r="H25" i="14"/>
  <c r="Q25" i="14"/>
  <c r="N25" i="14"/>
  <c r="P34" i="14"/>
  <c r="ED37" i="15" s="1"/>
  <c r="O33" i="14"/>
  <c r="R33" i="14"/>
  <c r="S34" i="14"/>
  <c r="EG37" i="15" s="1"/>
  <c r="ER88" i="13"/>
  <c r="N24" i="12"/>
  <c r="Q24" i="12"/>
  <c r="R32" i="12"/>
  <c r="S33" i="12"/>
  <c r="EG36" i="13" s="1"/>
  <c r="H24" i="12"/>
  <c r="O32" i="12"/>
  <c r="P33" i="12"/>
  <c r="ED36" i="13" s="1"/>
  <c r="F23" i="12"/>
  <c r="D23" i="12"/>
  <c r="C22" i="12" s="1"/>
  <c r="FF57" i="6"/>
  <c r="FF3" i="6" s="1"/>
  <c r="FC3" i="6" s="1"/>
  <c r="FD3" i="6" s="1"/>
  <c r="FG3" i="6" s="1"/>
  <c r="FA3" i="10"/>
  <c r="FB3" i="10" s="1"/>
  <c r="FA3" i="6"/>
  <c r="FB3" i="6" s="1"/>
  <c r="U40" i="14" l="1"/>
  <c r="V41" i="14"/>
  <c r="ER44" i="15" s="1"/>
  <c r="U40" i="12"/>
  <c r="V41" i="12"/>
  <c r="ER44" i="13" s="1"/>
  <c r="ER88" i="15"/>
  <c r="F23" i="14"/>
  <c r="D23" i="14"/>
  <c r="C22" i="14" s="1"/>
  <c r="O32" i="14"/>
  <c r="P33" i="14"/>
  <c r="ED36" i="15" s="1"/>
  <c r="R32" i="14"/>
  <c r="S33" i="14"/>
  <c r="EG36" i="15" s="1"/>
  <c r="H24" i="14"/>
  <c r="Q24" i="14"/>
  <c r="N24" i="14"/>
  <c r="ER87" i="13"/>
  <c r="H23" i="12"/>
  <c r="R31" i="12"/>
  <c r="S32" i="12"/>
  <c r="EG35" i="13" s="1"/>
  <c r="N23" i="12"/>
  <c r="Q23" i="12"/>
  <c r="O31" i="12"/>
  <c r="P32" i="12"/>
  <c r="ED35" i="13" s="1"/>
  <c r="F22" i="12"/>
  <c r="D22" i="12"/>
  <c r="C21" i="12" s="1"/>
  <c r="FE3" i="6"/>
  <c r="V40" i="14" l="1"/>
  <c r="ER43" i="15" s="1"/>
  <c r="U39" i="14"/>
  <c r="U39" i="12"/>
  <c r="V40" i="12"/>
  <c r="ER43" i="13" s="1"/>
  <c r="ER87" i="15"/>
  <c r="R31" i="14"/>
  <c r="S32" i="14"/>
  <c r="EG35" i="15" s="1"/>
  <c r="F22" i="14"/>
  <c r="D22" i="14"/>
  <c r="C21" i="14" s="1"/>
  <c r="O31" i="14"/>
  <c r="P32" i="14"/>
  <c r="ED35" i="15" s="1"/>
  <c r="Q23" i="14"/>
  <c r="H23" i="14"/>
  <c r="N23" i="14"/>
  <c r="ER86" i="13"/>
  <c r="N22" i="12"/>
  <c r="Q22" i="12"/>
  <c r="R30" i="12"/>
  <c r="S31" i="12"/>
  <c r="EG34" i="13" s="1"/>
  <c r="H22" i="12"/>
  <c r="O30" i="12"/>
  <c r="P31" i="12"/>
  <c r="ED34" i="13" s="1"/>
  <c r="F21" i="12"/>
  <c r="D21" i="12"/>
  <c r="C20" i="12" s="1"/>
  <c r="U38" i="12" l="1"/>
  <c r="V39" i="12"/>
  <c r="ER42" i="13" s="1"/>
  <c r="U38" i="14"/>
  <c r="V39" i="14"/>
  <c r="ER42" i="15" s="1"/>
  <c r="ER86" i="15"/>
  <c r="D21" i="14"/>
  <c r="C20" i="14" s="1"/>
  <c r="F21" i="14"/>
  <c r="H22" i="14"/>
  <c r="Q22" i="14"/>
  <c r="N22" i="14"/>
  <c r="P31" i="14"/>
  <c r="ED34" i="15" s="1"/>
  <c r="O30" i="14"/>
  <c r="S31" i="14"/>
  <c r="EG34" i="15" s="1"/>
  <c r="R30" i="14"/>
  <c r="ER85" i="13"/>
  <c r="N21" i="12"/>
  <c r="Q21" i="12"/>
  <c r="R29" i="12"/>
  <c r="S30" i="12"/>
  <c r="EG33" i="13" s="1"/>
  <c r="H21" i="12"/>
  <c r="O29" i="12"/>
  <c r="P30" i="12"/>
  <c r="ED33" i="13" s="1"/>
  <c r="F20" i="12"/>
  <c r="D20" i="12"/>
  <c r="C19" i="12" s="1"/>
  <c r="V38" i="14" l="1"/>
  <c r="ER41" i="15" s="1"/>
  <c r="U37" i="14"/>
  <c r="U37" i="12"/>
  <c r="V38" i="12"/>
  <c r="ER41" i="13" s="1"/>
  <c r="ER85" i="15"/>
  <c r="N21" i="14"/>
  <c r="H21" i="14"/>
  <c r="Q21" i="14"/>
  <c r="P30" i="14"/>
  <c r="ED33" i="15" s="1"/>
  <c r="O29" i="14"/>
  <c r="S30" i="14"/>
  <c r="EG33" i="15" s="1"/>
  <c r="R29" i="14"/>
  <c r="D20" i="14"/>
  <c r="C19" i="14" s="1"/>
  <c r="F20" i="14"/>
  <c r="ER84" i="13"/>
  <c r="Q20" i="12"/>
  <c r="R28" i="12"/>
  <c r="S29" i="12"/>
  <c r="EG32" i="13" s="1"/>
  <c r="H20" i="12"/>
  <c r="N20" i="12"/>
  <c r="O28" i="12"/>
  <c r="P29" i="12"/>
  <c r="ED32" i="13" s="1"/>
  <c r="F19" i="12"/>
  <c r="D19" i="12"/>
  <c r="C18" i="12" s="1"/>
  <c r="H19" i="12" l="1"/>
  <c r="U36" i="14"/>
  <c r="V37" i="14"/>
  <c r="ER40" i="15" s="1"/>
  <c r="V37" i="12"/>
  <c r="ER40" i="13" s="1"/>
  <c r="U36" i="12"/>
  <c r="ER84" i="15"/>
  <c r="S29" i="14"/>
  <c r="EG32" i="15" s="1"/>
  <c r="R28" i="14"/>
  <c r="F19" i="14"/>
  <c r="D19" i="14"/>
  <c r="C18" i="14" s="1"/>
  <c r="H20" i="14"/>
  <c r="N20" i="14"/>
  <c r="Q20" i="14"/>
  <c r="O28" i="14"/>
  <c r="P29" i="14"/>
  <c r="ED32" i="15" s="1"/>
  <c r="ER83" i="13"/>
  <c r="R27" i="12"/>
  <c r="S28" i="12"/>
  <c r="EG31" i="13" s="1"/>
  <c r="N19" i="12"/>
  <c r="Q19" i="12"/>
  <c r="O27" i="12"/>
  <c r="P28" i="12"/>
  <c r="ED31" i="13" s="1"/>
  <c r="F18" i="12"/>
  <c r="D18" i="12"/>
  <c r="C17" i="12" s="1"/>
  <c r="V36" i="12" l="1"/>
  <c r="ER39" i="13" s="1"/>
  <c r="U35" i="12"/>
  <c r="V36" i="14"/>
  <c r="ER39" i="15" s="1"/>
  <c r="U35" i="14"/>
  <c r="ER83" i="15"/>
  <c r="D18" i="14"/>
  <c r="C17" i="14" s="1"/>
  <c r="F18" i="14"/>
  <c r="H19" i="14"/>
  <c r="N19" i="14"/>
  <c r="Q19" i="14"/>
  <c r="O27" i="14"/>
  <c r="P28" i="14"/>
  <c r="ED31" i="15" s="1"/>
  <c r="S28" i="14"/>
  <c r="EG31" i="15" s="1"/>
  <c r="R27" i="14"/>
  <c r="ER82" i="13"/>
  <c r="Q18" i="12"/>
  <c r="R26" i="12"/>
  <c r="S27" i="12"/>
  <c r="EG30" i="13" s="1"/>
  <c r="H18" i="12"/>
  <c r="N18" i="12"/>
  <c r="O26" i="12"/>
  <c r="P27" i="12"/>
  <c r="ED30" i="13" s="1"/>
  <c r="F17" i="12"/>
  <c r="D17" i="12"/>
  <c r="C16" i="12" s="1"/>
  <c r="V35" i="12" l="1"/>
  <c r="ER38" i="13" s="1"/>
  <c r="U34" i="12"/>
  <c r="U34" i="14"/>
  <c r="V35" i="14"/>
  <c r="ER38" i="15" s="1"/>
  <c r="ER82" i="15"/>
  <c r="O26" i="14"/>
  <c r="P27" i="14"/>
  <c r="ED30" i="15" s="1"/>
  <c r="Q18" i="14"/>
  <c r="N18" i="14"/>
  <c r="H18" i="14"/>
  <c r="S27" i="14"/>
  <c r="EG30" i="15" s="1"/>
  <c r="R26" i="14"/>
  <c r="F17" i="14"/>
  <c r="D17" i="14"/>
  <c r="C16" i="14" s="1"/>
  <c r="ER81" i="13"/>
  <c r="N17" i="12"/>
  <c r="Q17" i="12"/>
  <c r="R25" i="12"/>
  <c r="S26" i="12"/>
  <c r="EG29" i="13" s="1"/>
  <c r="O25" i="12"/>
  <c r="P26" i="12"/>
  <c r="ED29" i="13" s="1"/>
  <c r="H17" i="12"/>
  <c r="F16" i="12"/>
  <c r="D16" i="12"/>
  <c r="C15" i="12" s="1"/>
  <c r="ER81" i="15" l="1"/>
  <c r="V34" i="12"/>
  <c r="ER37" i="13" s="1"/>
  <c r="U33" i="12"/>
  <c r="V34" i="14"/>
  <c r="ER37" i="15" s="1"/>
  <c r="U33" i="14"/>
  <c r="D16" i="14"/>
  <c r="C15" i="14" s="1"/>
  <c r="F16" i="14"/>
  <c r="Q17" i="14"/>
  <c r="N17" i="14"/>
  <c r="H17" i="14"/>
  <c r="R25" i="14"/>
  <c r="S26" i="14"/>
  <c r="EG29" i="15" s="1"/>
  <c r="P26" i="14"/>
  <c r="ED29" i="15" s="1"/>
  <c r="O25" i="14"/>
  <c r="ER80" i="13"/>
  <c r="Q16" i="12"/>
  <c r="R24" i="12"/>
  <c r="S25" i="12"/>
  <c r="EG28" i="13" s="1"/>
  <c r="O24" i="12"/>
  <c r="P25" i="12"/>
  <c r="ED28" i="13" s="1"/>
  <c r="H16" i="12"/>
  <c r="N16" i="12"/>
  <c r="F15" i="12"/>
  <c r="D15" i="12"/>
  <c r="C14" i="12" s="1"/>
  <c r="V33" i="12" l="1"/>
  <c r="ER36" i="13" s="1"/>
  <c r="U32" i="12"/>
  <c r="V33" i="14"/>
  <c r="ER36" i="15" s="1"/>
  <c r="U32" i="14"/>
  <c r="ER80" i="15"/>
  <c r="R24" i="14"/>
  <c r="S25" i="14"/>
  <c r="EG28" i="15" s="1"/>
  <c r="Q16" i="14"/>
  <c r="H16" i="14"/>
  <c r="N16" i="14"/>
  <c r="P25" i="14"/>
  <c r="ED28" i="15" s="1"/>
  <c r="O24" i="14"/>
  <c r="F15" i="14"/>
  <c r="D15" i="14"/>
  <c r="C14" i="14" s="1"/>
  <c r="ER79" i="13"/>
  <c r="N15" i="12"/>
  <c r="Q15" i="12"/>
  <c r="H15" i="12"/>
  <c r="R23" i="12"/>
  <c r="S24" i="12"/>
  <c r="EG27" i="13" s="1"/>
  <c r="O23" i="12"/>
  <c r="P24" i="12"/>
  <c r="ED27" i="13" s="1"/>
  <c r="F14" i="12"/>
  <c r="D14" i="12"/>
  <c r="C13" i="12" s="1"/>
  <c r="V32" i="14" l="1"/>
  <c r="ER35" i="15" s="1"/>
  <c r="U31" i="14"/>
  <c r="V32" i="12"/>
  <c r="ER35" i="13" s="1"/>
  <c r="U31" i="12"/>
  <c r="ER79" i="15"/>
  <c r="O23" i="14"/>
  <c r="P24" i="14"/>
  <c r="ED27" i="15" s="1"/>
  <c r="D14" i="14"/>
  <c r="C13" i="14" s="1"/>
  <c r="F14" i="14"/>
  <c r="Q15" i="14"/>
  <c r="N15" i="14"/>
  <c r="H15" i="14"/>
  <c r="S24" i="14"/>
  <c r="EG27" i="15" s="1"/>
  <c r="R23" i="14"/>
  <c r="ER78" i="13"/>
  <c r="N14" i="12"/>
  <c r="Q14" i="12"/>
  <c r="R22" i="12"/>
  <c r="S23" i="12"/>
  <c r="EG26" i="13" s="1"/>
  <c r="O22" i="12"/>
  <c r="P23" i="12"/>
  <c r="ED26" i="13" s="1"/>
  <c r="H14" i="12"/>
  <c r="F13" i="12"/>
  <c r="D13" i="12"/>
  <c r="C12" i="12" s="1"/>
  <c r="V31" i="14" l="1"/>
  <c r="ER34" i="15" s="1"/>
  <c r="U30" i="14"/>
  <c r="V31" i="12"/>
  <c r="ER34" i="13" s="1"/>
  <c r="U30" i="12"/>
  <c r="ER78" i="15"/>
  <c r="H14" i="14"/>
  <c r="Q14" i="14"/>
  <c r="N14" i="14"/>
  <c r="F13" i="14"/>
  <c r="D13" i="14"/>
  <c r="C12" i="14" s="1"/>
  <c r="R22" i="14"/>
  <c r="S23" i="14"/>
  <c r="EG26" i="15" s="1"/>
  <c r="O22" i="14"/>
  <c r="P23" i="14"/>
  <c r="ED26" i="15" s="1"/>
  <c r="ER77" i="13"/>
  <c r="N13" i="12"/>
  <c r="Q13" i="12"/>
  <c r="R21" i="12"/>
  <c r="S22" i="12"/>
  <c r="EG25" i="13" s="1"/>
  <c r="O21" i="12"/>
  <c r="P22" i="12"/>
  <c r="ED25" i="13" s="1"/>
  <c r="H13" i="12"/>
  <c r="F12" i="12"/>
  <c r="D12" i="12"/>
  <c r="C11" i="12" s="1"/>
  <c r="V30" i="12" l="1"/>
  <c r="ER33" i="13" s="1"/>
  <c r="U29" i="12"/>
  <c r="V30" i="14"/>
  <c r="ER33" i="15" s="1"/>
  <c r="U29" i="14"/>
  <c r="ER77" i="15"/>
  <c r="F12" i="14"/>
  <c r="D12" i="14"/>
  <c r="C11" i="14" s="1"/>
  <c r="R21" i="14"/>
  <c r="S22" i="14"/>
  <c r="EG25" i="15" s="1"/>
  <c r="O21" i="14"/>
  <c r="P22" i="14"/>
  <c r="ED25" i="15" s="1"/>
  <c r="N13" i="14"/>
  <c r="Q13" i="14"/>
  <c r="H13" i="14"/>
  <c r="ER76" i="13"/>
  <c r="R20" i="12"/>
  <c r="S21" i="12"/>
  <c r="EG24" i="13" s="1"/>
  <c r="N12" i="12"/>
  <c r="Q12" i="12"/>
  <c r="O20" i="12"/>
  <c r="P21" i="12"/>
  <c r="ED24" i="13" s="1"/>
  <c r="H12" i="12"/>
  <c r="F11" i="12"/>
  <c r="D11" i="12"/>
  <c r="C10" i="12" s="1"/>
  <c r="V29" i="14" l="1"/>
  <c r="ER32" i="15" s="1"/>
  <c r="U28" i="14"/>
  <c r="V29" i="12"/>
  <c r="ER32" i="13" s="1"/>
  <c r="U28" i="12"/>
  <c r="ER76" i="15"/>
  <c r="R20" i="14"/>
  <c r="S21" i="14"/>
  <c r="EG24" i="15" s="1"/>
  <c r="F11" i="14"/>
  <c r="D11" i="14"/>
  <c r="C10" i="14" s="1"/>
  <c r="P21" i="14"/>
  <c r="ED24" i="15" s="1"/>
  <c r="O20" i="14"/>
  <c r="Q12" i="14"/>
  <c r="H12" i="14"/>
  <c r="N12" i="14"/>
  <c r="ER75" i="13"/>
  <c r="N11" i="12"/>
  <c r="Q11" i="12"/>
  <c r="R19" i="12"/>
  <c r="S20" i="12"/>
  <c r="EG23" i="13" s="1"/>
  <c r="O19" i="12"/>
  <c r="P20" i="12"/>
  <c r="ED23" i="13" s="1"/>
  <c r="H11" i="12"/>
  <c r="D10" i="12"/>
  <c r="C9" i="12" s="1"/>
  <c r="F10" i="12"/>
  <c r="V28" i="12" l="1"/>
  <c r="ER31" i="13" s="1"/>
  <c r="U27" i="12"/>
  <c r="V28" i="14"/>
  <c r="ER31" i="15" s="1"/>
  <c r="U27" i="14"/>
  <c r="ER75" i="15"/>
  <c r="F10" i="14"/>
  <c r="D10" i="14"/>
  <c r="C9" i="14" s="1"/>
  <c r="H11" i="14"/>
  <c r="N11" i="14"/>
  <c r="Q11" i="14"/>
  <c r="O19" i="14"/>
  <c r="P20" i="14"/>
  <c r="ED23" i="15" s="1"/>
  <c r="R19" i="14"/>
  <c r="S20" i="14"/>
  <c r="EG23" i="15" s="1"/>
  <c r="ER74" i="13"/>
  <c r="H10" i="12"/>
  <c r="R18" i="12"/>
  <c r="S19" i="12"/>
  <c r="EG22" i="13" s="1"/>
  <c r="N10" i="12"/>
  <c r="Q10" i="12"/>
  <c r="O18" i="12"/>
  <c r="P19" i="12"/>
  <c r="ED22" i="13" s="1"/>
  <c r="D9" i="12"/>
  <c r="C8" i="12" s="1"/>
  <c r="F9" i="12"/>
  <c r="V27" i="14" l="1"/>
  <c r="ER30" i="15" s="1"/>
  <c r="U26" i="14"/>
  <c r="V27" i="12"/>
  <c r="ER30" i="13" s="1"/>
  <c r="U26" i="12"/>
  <c r="ER74" i="15"/>
  <c r="P19" i="14"/>
  <c r="ED22" i="15" s="1"/>
  <c r="O18" i="14"/>
  <c r="D9" i="14"/>
  <c r="C8" i="14" s="1"/>
  <c r="F9" i="14"/>
  <c r="R18" i="14"/>
  <c r="S19" i="14"/>
  <c r="EG22" i="15" s="1"/>
  <c r="N10" i="14"/>
  <c r="H10" i="14"/>
  <c r="Q10" i="14"/>
  <c r="ER73" i="13"/>
  <c r="N9" i="12"/>
  <c r="Q9" i="12"/>
  <c r="R17" i="12"/>
  <c r="S18" i="12"/>
  <c r="EG21" i="13" s="1"/>
  <c r="H9" i="12"/>
  <c r="FD3" i="13" s="1"/>
  <c r="O17" i="12"/>
  <c r="P18" i="12"/>
  <c r="ED21" i="13" s="1"/>
  <c r="F8" i="12"/>
  <c r="D8" i="12"/>
  <c r="C7" i="12" s="1"/>
  <c r="V26" i="12" l="1"/>
  <c r="ER29" i="13" s="1"/>
  <c r="U25" i="12"/>
  <c r="V26" i="14"/>
  <c r="ER29" i="15" s="1"/>
  <c r="U25" i="14"/>
  <c r="ER73" i="15"/>
  <c r="D8" i="14"/>
  <c r="C7" i="14" s="1"/>
  <c r="F8" i="14"/>
  <c r="S18" i="14"/>
  <c r="EG21" i="15" s="1"/>
  <c r="R17" i="14"/>
  <c r="P18" i="14"/>
  <c r="ED21" i="15" s="1"/>
  <c r="O17" i="14"/>
  <c r="Q9" i="14"/>
  <c r="H9" i="14"/>
  <c r="N9" i="14"/>
  <c r="ER72" i="13"/>
  <c r="N8" i="12"/>
  <c r="Q8" i="12"/>
  <c r="R16" i="12"/>
  <c r="S17" i="12"/>
  <c r="EG20" i="13" s="1"/>
  <c r="O16" i="12"/>
  <c r="P17" i="12"/>
  <c r="ED20" i="13" s="1"/>
  <c r="H8" i="12"/>
  <c r="F7" i="12"/>
  <c r="D7" i="12"/>
  <c r="C6" i="12" s="1"/>
  <c r="V25" i="14" l="1"/>
  <c r="ER28" i="15" s="1"/>
  <c r="U24" i="14"/>
  <c r="V25" i="12"/>
  <c r="ER28" i="13" s="1"/>
  <c r="U24" i="12"/>
  <c r="ER72" i="15"/>
  <c r="O16" i="14"/>
  <c r="P17" i="14"/>
  <c r="ED20" i="15" s="1"/>
  <c r="H8" i="14"/>
  <c r="N8" i="14"/>
  <c r="Q8" i="14"/>
  <c r="S17" i="14"/>
  <c r="EG20" i="15" s="1"/>
  <c r="R16" i="14"/>
  <c r="D7" i="14"/>
  <c r="C6" i="14" s="1"/>
  <c r="F7" i="14"/>
  <c r="ER71" i="13"/>
  <c r="N7" i="12"/>
  <c r="Q7" i="12"/>
  <c r="R15" i="12"/>
  <c r="S16" i="12"/>
  <c r="EG19" i="13" s="1"/>
  <c r="O15" i="12"/>
  <c r="P16" i="12"/>
  <c r="ED19" i="13" s="1"/>
  <c r="H7" i="12"/>
  <c r="F6" i="12"/>
  <c r="D6" i="12"/>
  <c r="C5" i="12" s="1"/>
  <c r="ER71" i="15" l="1"/>
  <c r="V24" i="14"/>
  <c r="ER27" i="15" s="1"/>
  <c r="U23" i="14"/>
  <c r="V24" i="12"/>
  <c r="ER27" i="13" s="1"/>
  <c r="U23" i="12"/>
  <c r="S16" i="14"/>
  <c r="EG19" i="15" s="1"/>
  <c r="R15" i="14"/>
  <c r="F6" i="14"/>
  <c r="D6" i="14"/>
  <c r="C5" i="14" s="1"/>
  <c r="H7" i="14"/>
  <c r="N7" i="14"/>
  <c r="Q7" i="14"/>
  <c r="P16" i="14"/>
  <c r="ED19" i="15" s="1"/>
  <c r="O15" i="14"/>
  <c r="ER70" i="13"/>
  <c r="R14" i="12"/>
  <c r="S15" i="12"/>
  <c r="EG18" i="13" s="1"/>
  <c r="N6" i="12"/>
  <c r="Q6" i="12"/>
  <c r="H6" i="12"/>
  <c r="O14" i="12"/>
  <c r="P15" i="12"/>
  <c r="ED18" i="13" s="1"/>
  <c r="F5" i="12"/>
  <c r="D5" i="12"/>
  <c r="C4" i="12" s="1"/>
  <c r="V23" i="14" l="1"/>
  <c r="ER26" i="15" s="1"/>
  <c r="U22" i="14"/>
  <c r="V23" i="12"/>
  <c r="ER26" i="13" s="1"/>
  <c r="U22" i="12"/>
  <c r="ER70" i="15"/>
  <c r="D5" i="14"/>
  <c r="C4" i="14" s="1"/>
  <c r="F5" i="14"/>
  <c r="Q6" i="14"/>
  <c r="H6" i="14"/>
  <c r="N6" i="14"/>
  <c r="ER69" i="13"/>
  <c r="S15" i="14"/>
  <c r="EG18" i="15" s="1"/>
  <c r="R14" i="14"/>
  <c r="P15" i="14"/>
  <c r="ED18" i="15" s="1"/>
  <c r="O14" i="14"/>
  <c r="N5" i="12"/>
  <c r="Q5" i="12"/>
  <c r="R13" i="12"/>
  <c r="S14" i="12"/>
  <c r="EG17" i="13" s="1"/>
  <c r="H5" i="12"/>
  <c r="O13" i="12"/>
  <c r="P14" i="12"/>
  <c r="ED17" i="13" s="1"/>
  <c r="F4" i="12"/>
  <c r="D4" i="12"/>
  <c r="C3" i="12" s="1"/>
  <c r="V22" i="12" l="1"/>
  <c r="ER25" i="13" s="1"/>
  <c r="U21" i="12"/>
  <c r="V22" i="14"/>
  <c r="ER25" i="15" s="1"/>
  <c r="U21" i="14"/>
  <c r="ER69" i="15"/>
  <c r="H5" i="14"/>
  <c r="N5" i="14"/>
  <c r="Q5" i="14"/>
  <c r="O13" i="14"/>
  <c r="P14" i="14"/>
  <c r="ED17" i="15" s="1"/>
  <c r="S14" i="14"/>
  <c r="EG17" i="15" s="1"/>
  <c r="R13" i="14"/>
  <c r="F4" i="14"/>
  <c r="D4" i="14"/>
  <c r="C3" i="14" s="1"/>
  <c r="ER68" i="13"/>
  <c r="N4" i="12"/>
  <c r="Q4" i="12"/>
  <c r="R12" i="12"/>
  <c r="S13" i="12"/>
  <c r="EG16" i="13" s="1"/>
  <c r="H4" i="12"/>
  <c r="O12" i="12"/>
  <c r="P13" i="12"/>
  <c r="ED16" i="13" s="1"/>
  <c r="F3" i="12"/>
  <c r="D3" i="12"/>
  <c r="C2" i="12" s="1"/>
  <c r="V21" i="14" l="1"/>
  <c r="ER24" i="15" s="1"/>
  <c r="U20" i="14"/>
  <c r="V21" i="12"/>
  <c r="ER24" i="13" s="1"/>
  <c r="U20" i="12"/>
  <c r="ER68" i="15"/>
  <c r="O12" i="14"/>
  <c r="P13" i="14"/>
  <c r="ED16" i="15" s="1"/>
  <c r="R12" i="14"/>
  <c r="S13" i="14"/>
  <c r="EG16" i="15" s="1"/>
  <c r="H4" i="14"/>
  <c r="Q4" i="14"/>
  <c r="N4" i="14"/>
  <c r="F3" i="14"/>
  <c r="D3" i="14"/>
  <c r="C2" i="14" s="1"/>
  <c r="ER67" i="13"/>
  <c r="N3" i="12"/>
  <c r="Q3" i="12"/>
  <c r="R11" i="12"/>
  <c r="S12" i="12"/>
  <c r="EG15" i="13" s="1"/>
  <c r="H3" i="12"/>
  <c r="O11" i="12"/>
  <c r="P12" i="12"/>
  <c r="ED15" i="13" s="1"/>
  <c r="D2" i="12"/>
  <c r="F2" i="12"/>
  <c r="U19" i="14" l="1"/>
  <c r="V20" i="14"/>
  <c r="ER23" i="15" s="1"/>
  <c r="V20" i="12"/>
  <c r="ER23" i="13" s="1"/>
  <c r="U19" i="12"/>
  <c r="ER67" i="15"/>
  <c r="Q3" i="14"/>
  <c r="N3" i="14"/>
  <c r="H3" i="14"/>
  <c r="R11" i="14"/>
  <c r="S12" i="14"/>
  <c r="EG15" i="15" s="1"/>
  <c r="F2" i="14"/>
  <c r="D2" i="14"/>
  <c r="P12" i="14"/>
  <c r="ED15" i="15" s="1"/>
  <c r="O11" i="14"/>
  <c r="ER66" i="13"/>
  <c r="N2" i="12"/>
  <c r="Q2" i="12"/>
  <c r="R10" i="12"/>
  <c r="S11" i="12"/>
  <c r="EG14" i="13" s="1"/>
  <c r="H2" i="12"/>
  <c r="O10" i="12"/>
  <c r="P11" i="12"/>
  <c r="ED14" i="13" s="1"/>
  <c r="FD3" i="15" l="1"/>
  <c r="FE3" i="15" s="1"/>
  <c r="V19" i="12"/>
  <c r="ER22" i="13" s="1"/>
  <c r="U18" i="12"/>
  <c r="V19" i="14"/>
  <c r="ER22" i="15" s="1"/>
  <c r="U18" i="14"/>
  <c r="ER66" i="15"/>
  <c r="FE3" i="13"/>
  <c r="FB10" i="15"/>
  <c r="S11" i="14"/>
  <c r="EG14" i="15" s="1"/>
  <c r="R10" i="14"/>
  <c r="H35" i="3"/>
  <c r="EZ44" i="15" s="1"/>
  <c r="H2" i="14"/>
  <c r="N2" i="14"/>
  <c r="Q2" i="14"/>
  <c r="P11" i="14"/>
  <c r="ED14" i="15" s="1"/>
  <c r="O10" i="14"/>
  <c r="FB10" i="13"/>
  <c r="ER65" i="13"/>
  <c r="R9" i="12"/>
  <c r="S10" i="12"/>
  <c r="EG13" i="13" s="1"/>
  <c r="O9" i="12"/>
  <c r="P10" i="12"/>
  <c r="ED13" i="13" s="1"/>
  <c r="FG3" i="15" l="1"/>
  <c r="FN3" i="15"/>
  <c r="V18" i="14"/>
  <c r="ER21" i="15" s="1"/>
  <c r="U17" i="14"/>
  <c r="V18" i="12"/>
  <c r="ER21" i="13" s="1"/>
  <c r="U17" i="12"/>
  <c r="FN3" i="13"/>
  <c r="FG3" i="13"/>
  <c r="ER65" i="15"/>
  <c r="H36" i="9"/>
  <c r="EZ44" i="13"/>
  <c r="H36" i="3"/>
  <c r="FD13" i="15" s="1"/>
  <c r="R9" i="14"/>
  <c r="S10" i="14"/>
  <c r="EG13" i="15" s="1"/>
  <c r="O9" i="14"/>
  <c r="P10" i="14"/>
  <c r="ED13" i="15" s="1"/>
  <c r="EZ44" i="10"/>
  <c r="EZ44" i="6"/>
  <c r="ER64" i="13"/>
  <c r="R8" i="12"/>
  <c r="S9" i="12"/>
  <c r="EG12" i="13" s="1"/>
  <c r="O8" i="12"/>
  <c r="P9" i="12"/>
  <c r="ED12" i="13" s="1"/>
  <c r="V17" i="12" l="1"/>
  <c r="ER20" i="13" s="1"/>
  <c r="U16" i="12"/>
  <c r="V17" i="14"/>
  <c r="ER20" i="15" s="1"/>
  <c r="U16" i="14"/>
  <c r="ER64" i="15"/>
  <c r="P29" i="4"/>
  <c r="FI13" i="10" s="1"/>
  <c r="FD13" i="13"/>
  <c r="S9" i="14"/>
  <c r="EG12" i="15" s="1"/>
  <c r="R8" i="14"/>
  <c r="P9" i="14"/>
  <c r="ED12" i="15" s="1"/>
  <c r="O8" i="14"/>
  <c r="ER63" i="13"/>
  <c r="R7" i="12"/>
  <c r="S8" i="12"/>
  <c r="EG11" i="13" s="1"/>
  <c r="O7" i="12"/>
  <c r="P7" i="12" s="1"/>
  <c r="ED10" i="13" s="1"/>
  <c r="P8" i="12"/>
  <c r="ED11" i="13" s="1"/>
  <c r="V16" i="14" l="1"/>
  <c r="ER19" i="15" s="1"/>
  <c r="U15" i="14"/>
  <c r="V16" i="12"/>
  <c r="ER19" i="13" s="1"/>
  <c r="U15" i="12"/>
  <c r="FI18" i="10"/>
  <c r="ER63" i="15"/>
  <c r="FI13" i="6"/>
  <c r="FI18" i="6"/>
  <c r="S8" i="14"/>
  <c r="EG11" i="15" s="1"/>
  <c r="R7" i="14"/>
  <c r="P8" i="14"/>
  <c r="ED11" i="15" s="1"/>
  <c r="O7" i="14"/>
  <c r="ER62" i="13"/>
  <c r="R6" i="12"/>
  <c r="R5" i="12" s="1"/>
  <c r="R4" i="12" s="1"/>
  <c r="R3" i="12" s="1"/>
  <c r="R2" i="12" s="1"/>
  <c r="S7" i="12"/>
  <c r="EG10" i="13" s="1"/>
  <c r="ER61" i="13" s="1"/>
  <c r="FB57" i="13" s="1"/>
  <c r="O6" i="12"/>
  <c r="V15" i="12" l="1"/>
  <c r="ER18" i="13" s="1"/>
  <c r="U14" i="12"/>
  <c r="U14" i="14"/>
  <c r="V15" i="14"/>
  <c r="ER18" i="15" s="1"/>
  <c r="ER62" i="15"/>
  <c r="R6" i="14"/>
  <c r="S7" i="14"/>
  <c r="EG10" i="15" s="1"/>
  <c r="O6" i="14"/>
  <c r="P7" i="14"/>
  <c r="ED10" i="15" s="1"/>
  <c r="O5" i="12"/>
  <c r="U13" i="14" l="1"/>
  <c r="V14" i="14"/>
  <c r="ER17" i="15" s="1"/>
  <c r="V14" i="12"/>
  <c r="ER17" i="13" s="1"/>
  <c r="U13" i="12"/>
  <c r="ER61" i="15"/>
  <c r="R5" i="14"/>
  <c r="S6" i="14"/>
  <c r="EG9" i="15" s="1"/>
  <c r="O5" i="14"/>
  <c r="P6" i="14"/>
  <c r="ED9" i="15" s="1"/>
  <c r="O4" i="12"/>
  <c r="V13" i="12" l="1"/>
  <c r="ER16" i="13" s="1"/>
  <c r="U12" i="12"/>
  <c r="U12" i="14"/>
  <c r="V13" i="14"/>
  <c r="ER16" i="15" s="1"/>
  <c r="ER60" i="15"/>
  <c r="O4" i="14"/>
  <c r="P5" i="14"/>
  <c r="ED8" i="15" s="1"/>
  <c r="R4" i="14"/>
  <c r="S5" i="14"/>
  <c r="EG8" i="15" s="1"/>
  <c r="O3" i="12"/>
  <c r="V12" i="14" l="1"/>
  <c r="ER15" i="15" s="1"/>
  <c r="U11" i="14"/>
  <c r="V12" i="12"/>
  <c r="ER15" i="13" s="1"/>
  <c r="U11" i="12"/>
  <c r="ER59" i="15"/>
  <c r="O3" i="14"/>
  <c r="P4" i="14"/>
  <c r="ED7" i="15" s="1"/>
  <c r="R3" i="14"/>
  <c r="S4" i="14"/>
  <c r="EG7" i="15" s="1"/>
  <c r="O2" i="12"/>
  <c r="V11" i="14" l="1"/>
  <c r="ER14" i="15" s="1"/>
  <c r="U10" i="14"/>
  <c r="V11" i="12"/>
  <c r="ER14" i="13" s="1"/>
  <c r="U10" i="12"/>
  <c r="ER58" i="15"/>
  <c r="R2" i="14"/>
  <c r="S2" i="14" s="1"/>
  <c r="EG5" i="15" s="1"/>
  <c r="S3" i="14"/>
  <c r="EG6" i="15" s="1"/>
  <c r="O2" i="14"/>
  <c r="P2" i="14" s="1"/>
  <c r="ED5" i="15" s="1"/>
  <c r="P3" i="14"/>
  <c r="ED6" i="15" s="1"/>
  <c r="V6" i="3"/>
  <c r="V8" i="3"/>
  <c r="V13" i="3"/>
  <c r="V9" i="3"/>
  <c r="V11" i="3"/>
  <c r="V12" i="3"/>
  <c r="R63" i="3"/>
  <c r="S63" i="3" s="1"/>
  <c r="Z63" i="3"/>
  <c r="AA63" i="3" s="1"/>
  <c r="V10" i="3"/>
  <c r="R62" i="3"/>
  <c r="S62" i="3" s="1"/>
  <c r="R59" i="3"/>
  <c r="S59" i="3" s="1"/>
  <c r="Z59" i="3"/>
  <c r="AA59" i="3" s="1"/>
  <c r="Z60" i="3"/>
  <c r="AA60" i="3" s="1"/>
  <c r="Z64" i="3"/>
  <c r="AA64" i="3" s="1"/>
  <c r="R61" i="3"/>
  <c r="S61" i="3" s="1"/>
  <c r="Z61" i="3"/>
  <c r="AA61" i="3" s="1"/>
  <c r="R64" i="3"/>
  <c r="S64" i="3" s="1"/>
  <c r="R60" i="3"/>
  <c r="S60" i="3" s="1"/>
  <c r="Z62" i="3"/>
  <c r="AA62" i="3" s="1"/>
  <c r="Z58" i="3"/>
  <c r="AA58" i="3" s="1"/>
  <c r="R58" i="3"/>
  <c r="S58" i="3" s="1"/>
  <c r="FH3" i="6"/>
  <c r="FI3" i="6" s="1"/>
  <c r="V10" i="12" l="1"/>
  <c r="ER13" i="13" s="1"/>
  <c r="U9" i="12"/>
  <c r="V10" i="14"/>
  <c r="ER13" i="15" s="1"/>
  <c r="U9" i="14"/>
  <c r="ER57" i="15"/>
  <c r="ER56" i="15"/>
  <c r="FB57" i="15" s="1"/>
  <c r="AB66" i="3"/>
  <c r="AD66" i="3"/>
  <c r="Z66" i="3"/>
  <c r="Z67" i="3" s="1"/>
  <c r="R66" i="3"/>
  <c r="R67" i="3" s="1"/>
  <c r="EZ4" i="15" s="1"/>
  <c r="FN4" i="15" s="1"/>
  <c r="U8" i="14" l="1"/>
  <c r="V9" i="14"/>
  <c r="ER12" i="15" s="1"/>
  <c r="V9" i="12"/>
  <c r="ER12" i="13" s="1"/>
  <c r="U8" i="12"/>
  <c r="EZ58" i="15"/>
  <c r="FB58" i="15" s="1"/>
  <c r="FD4" i="15"/>
  <c r="FE4" i="15" s="1"/>
  <c r="FG4" i="15" s="1"/>
  <c r="EZ48" i="15"/>
  <c r="FA3" i="15"/>
  <c r="F29" i="15"/>
  <c r="G29" i="15" s="1"/>
  <c r="Q7" i="15"/>
  <c r="R7" i="15" s="1"/>
  <c r="Q5" i="15"/>
  <c r="R5" i="15" s="1"/>
  <c r="Q4" i="15"/>
  <c r="R4" i="15" s="1"/>
  <c r="F33" i="15"/>
  <c r="G33" i="15" s="1"/>
  <c r="F32" i="15"/>
  <c r="G32" i="15" s="1"/>
  <c r="F30" i="15"/>
  <c r="G30" i="15" s="1"/>
  <c r="Q11" i="15"/>
  <c r="R11" i="15" s="1"/>
  <c r="Q10" i="15"/>
  <c r="R10" i="15" s="1"/>
  <c r="Q8" i="15"/>
  <c r="R8" i="15" s="1"/>
  <c r="F31" i="15"/>
  <c r="G31" i="15" s="1"/>
  <c r="Q14" i="15"/>
  <c r="R14" i="15" s="1"/>
  <c r="Q12" i="15"/>
  <c r="R12" i="15" s="1"/>
  <c r="Q13" i="15"/>
  <c r="R13" i="15" s="1"/>
  <c r="DG11" i="15"/>
  <c r="DH11" i="15" s="1"/>
  <c r="DG10" i="15"/>
  <c r="DH10" i="15" s="1"/>
  <c r="Q9" i="15"/>
  <c r="R9" i="15" s="1"/>
  <c r="Q6" i="15"/>
  <c r="R6" i="15" s="1"/>
  <c r="Q3" i="15"/>
  <c r="DG7" i="15"/>
  <c r="DH7" i="15" s="1"/>
  <c r="Q15" i="15"/>
  <c r="R15" i="15" s="1"/>
  <c r="AB4" i="15"/>
  <c r="AC4" i="15" s="1"/>
  <c r="CK18" i="15"/>
  <c r="CL18" i="15" s="1"/>
  <c r="CV13" i="15"/>
  <c r="CW13" i="15" s="1"/>
  <c r="DG32" i="15"/>
  <c r="DH32" i="15" s="1"/>
  <c r="AB19" i="15"/>
  <c r="AC19" i="15" s="1"/>
  <c r="AB28" i="15"/>
  <c r="AC28" i="15" s="1"/>
  <c r="BZ17" i="15"/>
  <c r="CA17" i="15" s="1"/>
  <c r="Q21" i="15"/>
  <c r="R21" i="15" s="1"/>
  <c r="AB27" i="15"/>
  <c r="AC27" i="15" s="1"/>
  <c r="F6" i="15"/>
  <c r="G6" i="15" s="1"/>
  <c r="F27" i="15"/>
  <c r="G27" i="15" s="1"/>
  <c r="AB8" i="15"/>
  <c r="AC8" i="15" s="1"/>
  <c r="F7" i="15"/>
  <c r="G7" i="15" s="1"/>
  <c r="CK20" i="15"/>
  <c r="CL20" i="15" s="1"/>
  <c r="Q23" i="15"/>
  <c r="R23" i="15" s="1"/>
  <c r="CV29" i="15"/>
  <c r="CW29" i="15" s="1"/>
  <c r="CV27" i="15"/>
  <c r="CW27" i="15" s="1"/>
  <c r="DG17" i="15"/>
  <c r="DH17" i="15" s="1"/>
  <c r="DG3" i="15"/>
  <c r="AM7" i="15"/>
  <c r="AN7" i="15" s="1"/>
  <c r="F17" i="15"/>
  <c r="G17" i="15" s="1"/>
  <c r="CK32" i="15"/>
  <c r="CL32" i="15" s="1"/>
  <c r="CK16" i="15"/>
  <c r="CL16" i="15" s="1"/>
  <c r="AM24" i="15"/>
  <c r="AN24" i="15" s="1"/>
  <c r="CV19" i="15"/>
  <c r="CW19" i="15" s="1"/>
  <c r="CV22" i="15"/>
  <c r="CW22" i="15" s="1"/>
  <c r="DG24" i="15"/>
  <c r="DH24" i="15" s="1"/>
  <c r="AB31" i="15"/>
  <c r="AC31" i="15" s="1"/>
  <c r="CK24" i="15"/>
  <c r="CL24" i="15" s="1"/>
  <c r="CV32" i="15"/>
  <c r="CW32" i="15" s="1"/>
  <c r="CK17" i="15"/>
  <c r="CL17" i="15" s="1"/>
  <c r="AM4" i="15"/>
  <c r="AN4" i="15" s="1"/>
  <c r="DG18" i="15"/>
  <c r="DH18" i="15" s="1"/>
  <c r="AM16" i="15"/>
  <c r="AN16" i="15" s="1"/>
  <c r="BZ19" i="15"/>
  <c r="CA19" i="15" s="1"/>
  <c r="CV24" i="15"/>
  <c r="CW24" i="15" s="1"/>
  <c r="Q19" i="15"/>
  <c r="R19" i="15" s="1"/>
  <c r="AB24" i="15"/>
  <c r="AC24" i="15" s="1"/>
  <c r="CV12" i="15"/>
  <c r="CW12" i="15" s="1"/>
  <c r="AM12" i="15"/>
  <c r="AN12" i="15" s="1"/>
  <c r="CV5" i="15"/>
  <c r="CW5" i="15" s="1"/>
  <c r="CK15" i="15"/>
  <c r="CL15" i="15" s="1"/>
  <c r="CK6" i="15"/>
  <c r="CL6" i="15" s="1"/>
  <c r="AM13" i="15"/>
  <c r="AN13" i="15" s="1"/>
  <c r="DG22" i="15"/>
  <c r="DH22" i="15" s="1"/>
  <c r="F20" i="15"/>
  <c r="G20" i="15" s="1"/>
  <c r="AB25" i="15"/>
  <c r="AC25" i="15" s="1"/>
  <c r="DG31" i="15"/>
  <c r="DH31" i="15" s="1"/>
  <c r="Q30" i="15"/>
  <c r="R30" i="15" s="1"/>
  <c r="Q17" i="15"/>
  <c r="R17" i="15" s="1"/>
  <c r="F13" i="15"/>
  <c r="G13" i="15" s="1"/>
  <c r="CV15" i="15"/>
  <c r="CW15" i="15" s="1"/>
  <c r="AB9" i="15"/>
  <c r="AC9" i="15" s="1"/>
  <c r="DG25" i="15"/>
  <c r="DH25" i="15" s="1"/>
  <c r="CV25" i="15"/>
  <c r="CW25" i="15" s="1"/>
  <c r="AM9" i="15"/>
  <c r="AN9" i="15" s="1"/>
  <c r="AB15" i="15"/>
  <c r="AC15" i="15" s="1"/>
  <c r="BZ31" i="15"/>
  <c r="CA31" i="15" s="1"/>
  <c r="CV23" i="15"/>
  <c r="CW23" i="15" s="1"/>
  <c r="CV9" i="15"/>
  <c r="CW9" i="15" s="1"/>
  <c r="CV3" i="15"/>
  <c r="AB5" i="15"/>
  <c r="AC5" i="15" s="1"/>
  <c r="BZ23" i="15"/>
  <c r="CA23" i="15" s="1"/>
  <c r="CK19" i="15"/>
  <c r="CL19" i="15" s="1"/>
  <c r="AB20" i="15"/>
  <c r="AC20" i="15" s="1"/>
  <c r="F26" i="15"/>
  <c r="G26" i="15" s="1"/>
  <c r="AB14" i="15"/>
  <c r="AC14" i="15" s="1"/>
  <c r="BZ22" i="15"/>
  <c r="CA22" i="15" s="1"/>
  <c r="AB29" i="15"/>
  <c r="AC29" i="15" s="1"/>
  <c r="CK5" i="15"/>
  <c r="CL5" i="15" s="1"/>
  <c r="BZ15" i="15"/>
  <c r="CK27" i="15"/>
  <c r="CL27" i="15" s="1"/>
  <c r="CV14" i="15"/>
  <c r="CW14" i="15" s="1"/>
  <c r="DG20" i="15"/>
  <c r="DH20" i="15" s="1"/>
  <c r="CV18" i="15"/>
  <c r="CW18" i="15" s="1"/>
  <c r="BZ25" i="15"/>
  <c r="CA25" i="15" s="1"/>
  <c r="AB23" i="15"/>
  <c r="AC23" i="15" s="1"/>
  <c r="DG29" i="15"/>
  <c r="DH29" i="15" s="1"/>
  <c r="AB22" i="15"/>
  <c r="AC22" i="15" s="1"/>
  <c r="Q29" i="15"/>
  <c r="R29" i="15" s="1"/>
  <c r="F22" i="15"/>
  <c r="G22" i="15" s="1"/>
  <c r="CK3" i="15"/>
  <c r="DG15" i="15"/>
  <c r="DH15" i="15" s="1"/>
  <c r="CK12" i="15"/>
  <c r="CL12" i="15" s="1"/>
  <c r="Q28" i="15"/>
  <c r="R28" i="15" s="1"/>
  <c r="F28" i="15"/>
  <c r="G28" i="15" s="1"/>
  <c r="DG12" i="15"/>
  <c r="DH12" i="15" s="1"/>
  <c r="CK13" i="15"/>
  <c r="CL13" i="15" s="1"/>
  <c r="DG6" i="15"/>
  <c r="DH6" i="15" s="1"/>
  <c r="DG4" i="15"/>
  <c r="DH4" i="15" s="1"/>
  <c r="F5" i="15"/>
  <c r="G5" i="15" s="1"/>
  <c r="CK14" i="15"/>
  <c r="CL14" i="15" s="1"/>
  <c r="AB21" i="15"/>
  <c r="AC21" i="15" s="1"/>
  <c r="F11" i="15"/>
  <c r="G11" i="15" s="1"/>
  <c r="F24" i="15"/>
  <c r="G24" i="15" s="1"/>
  <c r="F19" i="15"/>
  <c r="G19" i="15" s="1"/>
  <c r="DG27" i="15"/>
  <c r="DH27" i="15" s="1"/>
  <c r="CK23" i="15"/>
  <c r="CL23" i="15" s="1"/>
  <c r="AB30" i="15"/>
  <c r="AC30" i="15" s="1"/>
  <c r="BZ24" i="15"/>
  <c r="CA24" i="15" s="1"/>
  <c r="F9" i="15"/>
  <c r="G9" i="15" s="1"/>
  <c r="AM17" i="15"/>
  <c r="AN17" i="15" s="1"/>
  <c r="DG5" i="15"/>
  <c r="DH5" i="15" s="1"/>
  <c r="AM22" i="15"/>
  <c r="AN22" i="15" s="1"/>
  <c r="Q16" i="15"/>
  <c r="R16" i="15" s="1"/>
  <c r="AM23" i="15"/>
  <c r="AN23" i="15" s="1"/>
  <c r="F15" i="15"/>
  <c r="G15" i="15" s="1"/>
  <c r="AM6" i="15"/>
  <c r="AN6" i="15" s="1"/>
  <c r="AM28" i="15"/>
  <c r="AN28" i="15" s="1"/>
  <c r="CK30" i="15"/>
  <c r="CL30" i="15" s="1"/>
  <c r="F12" i="15"/>
  <c r="G12" i="15" s="1"/>
  <c r="CV7" i="15"/>
  <c r="CW7" i="15" s="1"/>
  <c r="AM15" i="15"/>
  <c r="AN15" i="15" s="1"/>
  <c r="AM10" i="15"/>
  <c r="AN10" i="15" s="1"/>
  <c r="Q26" i="15"/>
  <c r="R26" i="15" s="1"/>
  <c r="F25" i="15"/>
  <c r="G25" i="15" s="1"/>
  <c r="AB10" i="15"/>
  <c r="AC10" i="15" s="1"/>
  <c r="AB7" i="15"/>
  <c r="AC7" i="15" s="1"/>
  <c r="CK11" i="15"/>
  <c r="CL11" i="15" s="1"/>
  <c r="CV16" i="15"/>
  <c r="CW16" i="15" s="1"/>
  <c r="AM8" i="15"/>
  <c r="AN8" i="15" s="1"/>
  <c r="AB18" i="15"/>
  <c r="AC18" i="15" s="1"/>
  <c r="DG9" i="15"/>
  <c r="DH9" i="15" s="1"/>
  <c r="AM5" i="15"/>
  <c r="AN5" i="15" s="1"/>
  <c r="F18" i="15"/>
  <c r="G18" i="15" s="1"/>
  <c r="CV11" i="15"/>
  <c r="CW11" i="15" s="1"/>
  <c r="AM27" i="15"/>
  <c r="AN27" i="15" s="1"/>
  <c r="F23" i="15"/>
  <c r="G23" i="15" s="1"/>
  <c r="F21" i="15"/>
  <c r="G21" i="15" s="1"/>
  <c r="AM20" i="15"/>
  <c r="AN20" i="15" s="1"/>
  <c r="AB32" i="15"/>
  <c r="AC32" i="15" s="1"/>
  <c r="BZ21" i="15"/>
  <c r="CA21" i="15" s="1"/>
  <c r="DG8" i="15"/>
  <c r="DH8" i="15" s="1"/>
  <c r="AB3" i="15"/>
  <c r="DG26" i="15"/>
  <c r="DH26" i="15" s="1"/>
  <c r="CV17" i="15"/>
  <c r="CW17" i="15" s="1"/>
  <c r="Q24" i="15"/>
  <c r="R24" i="15" s="1"/>
  <c r="AM11" i="15"/>
  <c r="AN11" i="15" s="1"/>
  <c r="CK21" i="15"/>
  <c r="CL21" i="15" s="1"/>
  <c r="CV28" i="15"/>
  <c r="CW28" i="15" s="1"/>
  <c r="DG13" i="15"/>
  <c r="DH13" i="15" s="1"/>
  <c r="CK22" i="15"/>
  <c r="CL22" i="15" s="1"/>
  <c r="F3" i="15"/>
  <c r="F10" i="15"/>
  <c r="G10" i="15" s="1"/>
  <c r="CV31" i="15"/>
  <c r="CW31" i="15" s="1"/>
  <c r="CV10" i="15"/>
  <c r="CW10" i="15" s="1"/>
  <c r="AM21" i="15"/>
  <c r="AN21" i="15" s="1"/>
  <c r="DG33" i="15"/>
  <c r="DH33" i="15" s="1"/>
  <c r="AB12" i="15"/>
  <c r="AC12" i="15" s="1"/>
  <c r="DG19" i="15"/>
  <c r="DH19" i="15" s="1"/>
  <c r="AB26" i="15"/>
  <c r="AC26" i="15" s="1"/>
  <c r="Q25" i="15"/>
  <c r="R25" i="15" s="1"/>
  <c r="BZ16" i="15"/>
  <c r="CA16" i="15" s="1"/>
  <c r="AB6" i="15"/>
  <c r="AC6" i="15" s="1"/>
  <c r="CK28" i="15"/>
  <c r="CL28" i="15" s="1"/>
  <c r="Q18" i="15"/>
  <c r="R18" i="15" s="1"/>
  <c r="DG14" i="15"/>
  <c r="DH14" i="15" s="1"/>
  <c r="Q27" i="15"/>
  <c r="R27" i="15" s="1"/>
  <c r="CV6" i="15"/>
  <c r="CW6" i="15" s="1"/>
  <c r="CV21" i="15"/>
  <c r="CW21" i="15" s="1"/>
  <c r="CK4" i="15"/>
  <c r="CL4" i="15" s="1"/>
  <c r="BZ32" i="15"/>
  <c r="CA32" i="15" s="1"/>
  <c r="F16" i="15"/>
  <c r="G16" i="15" s="1"/>
  <c r="AB13" i="15"/>
  <c r="AC13" i="15" s="1"/>
  <c r="CV30" i="15"/>
  <c r="CW30" i="15" s="1"/>
  <c r="BZ30" i="15"/>
  <c r="CA30" i="15" s="1"/>
  <c r="Q20" i="15"/>
  <c r="R20" i="15" s="1"/>
  <c r="DG21" i="15"/>
  <c r="DH21" i="15" s="1"/>
  <c r="AB11" i="15"/>
  <c r="AC11" i="15" s="1"/>
  <c r="DG23" i="15"/>
  <c r="DH23" i="15" s="1"/>
  <c r="Q31" i="15"/>
  <c r="R31" i="15" s="1"/>
  <c r="AM19" i="15"/>
  <c r="AN19" i="15" s="1"/>
  <c r="AM3" i="15"/>
  <c r="AM18" i="15"/>
  <c r="AN18" i="15" s="1"/>
  <c r="DG16" i="15"/>
  <c r="DH16" i="15" s="1"/>
  <c r="Q22" i="15"/>
  <c r="R22" i="15" s="1"/>
  <c r="DG28" i="15"/>
  <c r="DH28" i="15" s="1"/>
  <c r="CV4" i="15"/>
  <c r="CW4" i="15" s="1"/>
  <c r="BZ26" i="15"/>
  <c r="CA26" i="15" s="1"/>
  <c r="CK10" i="15"/>
  <c r="CL10" i="15" s="1"/>
  <c r="DG30" i="15"/>
  <c r="DH30" i="15" s="1"/>
  <c r="F4" i="15"/>
  <c r="G4" i="15" s="1"/>
  <c r="AB16" i="15"/>
  <c r="AC16" i="15" s="1"/>
  <c r="F8" i="15"/>
  <c r="G8" i="15" s="1"/>
  <c r="CK25" i="15"/>
  <c r="CL25" i="15" s="1"/>
  <c r="AM26" i="15"/>
  <c r="AN26" i="15" s="1"/>
  <c r="CK33" i="15"/>
  <c r="CL33" i="15" s="1"/>
  <c r="CV26" i="15"/>
  <c r="CW26" i="15" s="1"/>
  <c r="CK31" i="15"/>
  <c r="CL31" i="15" s="1"/>
  <c r="AM25" i="15"/>
  <c r="AN25" i="15" s="1"/>
  <c r="CK9" i="15"/>
  <c r="CL9" i="15" s="1"/>
  <c r="CK7" i="15"/>
  <c r="CL7" i="15" s="1"/>
  <c r="CV8" i="15"/>
  <c r="CW8" i="15" s="1"/>
  <c r="CK26" i="15"/>
  <c r="CL26" i="15" s="1"/>
  <c r="F14" i="15"/>
  <c r="G14" i="15" s="1"/>
  <c r="AB33" i="15"/>
  <c r="AC33" i="15" s="1"/>
  <c r="CK29" i="15"/>
  <c r="CL29" i="15" s="1"/>
  <c r="AM14" i="15"/>
  <c r="AN14" i="15" s="1"/>
  <c r="AB17" i="15"/>
  <c r="AC17" i="15" s="1"/>
  <c r="CV20" i="15"/>
  <c r="CW20" i="15" s="1"/>
  <c r="AB54" i="3"/>
  <c r="CV5" i="6"/>
  <c r="CW5" i="6" s="1"/>
  <c r="CK8" i="13"/>
  <c r="AM5" i="13"/>
  <c r="AN5" i="13" s="1"/>
  <c r="Q10" i="13"/>
  <c r="R10" i="13" s="1"/>
  <c r="CK5" i="13"/>
  <c r="CL5" i="13" s="1"/>
  <c r="AB31" i="13"/>
  <c r="AC31" i="13" s="1"/>
  <c r="DG6" i="13"/>
  <c r="DH6" i="13" s="1"/>
  <c r="DG7" i="13"/>
  <c r="DH7" i="13" s="1"/>
  <c r="CK32" i="13"/>
  <c r="CL32" i="13" s="1"/>
  <c r="CV19" i="6"/>
  <c r="CW19" i="6" s="1"/>
  <c r="F33" i="6"/>
  <c r="G33" i="6" s="1"/>
  <c r="DG14" i="6"/>
  <c r="DH14" i="6" s="1"/>
  <c r="Q11" i="6"/>
  <c r="R11" i="6" s="1"/>
  <c r="AM15" i="6"/>
  <c r="AN15" i="6" s="1"/>
  <c r="AM26" i="6"/>
  <c r="AN26" i="6" s="1"/>
  <c r="CV6" i="13"/>
  <c r="CW6" i="13" s="1"/>
  <c r="AB17" i="13"/>
  <c r="AC17" i="13" s="1"/>
  <c r="F8" i="13"/>
  <c r="G8" i="13" s="1"/>
  <c r="F26" i="13"/>
  <c r="G26" i="13" s="1"/>
  <c r="AM8" i="13"/>
  <c r="AN8" i="13" s="1"/>
  <c r="CK19" i="13"/>
  <c r="CL19" i="13" s="1"/>
  <c r="CV18" i="6"/>
  <c r="CW18" i="6" s="1"/>
  <c r="Q22" i="6"/>
  <c r="R22" i="6" s="1"/>
  <c r="F19" i="13"/>
  <c r="G19" i="13" s="1"/>
  <c r="AM24" i="13"/>
  <c r="AN24" i="13" s="1"/>
  <c r="F27" i="13"/>
  <c r="G27" i="13" s="1"/>
  <c r="Q25" i="6"/>
  <c r="R25" i="6" s="1"/>
  <c r="DG8" i="6"/>
  <c r="DH8" i="6" s="1"/>
  <c r="F14" i="6"/>
  <c r="G14" i="6" s="1"/>
  <c r="F9" i="6"/>
  <c r="G9" i="6" s="1"/>
  <c r="AB32" i="6"/>
  <c r="AC32" i="6" s="1"/>
  <c r="Q29" i="13"/>
  <c r="R29" i="13" s="1"/>
  <c r="Q30" i="13"/>
  <c r="R30" i="13" s="1"/>
  <c r="CK6" i="13"/>
  <c r="CL6" i="13" s="1"/>
  <c r="CV16" i="6"/>
  <c r="CW16" i="6" s="1"/>
  <c r="Q23" i="6"/>
  <c r="R23" i="6" s="1"/>
  <c r="CV32" i="13"/>
  <c r="CW32" i="13" s="1"/>
  <c r="CK11" i="6"/>
  <c r="CL11" i="6" s="1"/>
  <c r="DG13" i="6"/>
  <c r="DH13" i="6" s="1"/>
  <c r="CK27" i="13"/>
  <c r="CL27" i="13" s="1"/>
  <c r="Q9" i="13"/>
  <c r="R9" i="13" s="1"/>
  <c r="CK12" i="13"/>
  <c r="CL12" i="13" s="1"/>
  <c r="F20" i="13"/>
  <c r="G20" i="13" s="1"/>
  <c r="Q31" i="6"/>
  <c r="R31" i="6" s="1"/>
  <c r="Q27" i="6"/>
  <c r="R27" i="6" s="1"/>
  <c r="AM11" i="6"/>
  <c r="AN11" i="6" s="1"/>
  <c r="DG28" i="6"/>
  <c r="DH28" i="6" s="1"/>
  <c r="DG31" i="13"/>
  <c r="DH31" i="13" s="1"/>
  <c r="DG17" i="6"/>
  <c r="DH17" i="6" s="1"/>
  <c r="AB28" i="6"/>
  <c r="AC28" i="6" s="1"/>
  <c r="AB7" i="13"/>
  <c r="AC7" i="13" s="1"/>
  <c r="CK14" i="6"/>
  <c r="CL14" i="6" s="1"/>
  <c r="DG33" i="6"/>
  <c r="DH33" i="6" s="1"/>
  <c r="CK8" i="6"/>
  <c r="Q4" i="13"/>
  <c r="R4" i="13" s="1"/>
  <c r="Q5" i="6"/>
  <c r="R5" i="6" s="1"/>
  <c r="Q8" i="6"/>
  <c r="R8" i="6" s="1"/>
  <c r="G46" i="4"/>
  <c r="F28" i="6"/>
  <c r="G28" i="6" s="1"/>
  <c r="AB22" i="13"/>
  <c r="AC22" i="13" s="1"/>
  <c r="AB21" i="13"/>
  <c r="AC21" i="13" s="1"/>
  <c r="CV14" i="13"/>
  <c r="CW14" i="13" s="1"/>
  <c r="BZ22" i="13"/>
  <c r="CA22" i="13" s="1"/>
  <c r="F5" i="13"/>
  <c r="G5" i="13" s="1"/>
  <c r="CV27" i="13"/>
  <c r="CW27" i="13" s="1"/>
  <c r="F28" i="13"/>
  <c r="G28" i="13" s="1"/>
  <c r="BZ19" i="13"/>
  <c r="CA19" i="13" s="1"/>
  <c r="CK18" i="6"/>
  <c r="CL18" i="6" s="1"/>
  <c r="CK13" i="6"/>
  <c r="CL13" i="6" s="1"/>
  <c r="BZ19" i="6"/>
  <c r="CA19" i="6" s="1"/>
  <c r="Q20" i="6"/>
  <c r="R20" i="6" s="1"/>
  <c r="AB14" i="13"/>
  <c r="AC14" i="13" s="1"/>
  <c r="F23" i="13"/>
  <c r="G23" i="13" s="1"/>
  <c r="AM22" i="13"/>
  <c r="AN22" i="13" s="1"/>
  <c r="F9" i="13"/>
  <c r="G9" i="13" s="1"/>
  <c r="DG28" i="13"/>
  <c r="DH28" i="13" s="1"/>
  <c r="DG9" i="6"/>
  <c r="DH9" i="6" s="1"/>
  <c r="Q28" i="6"/>
  <c r="R28" i="6" s="1"/>
  <c r="CK21" i="13"/>
  <c r="CL21" i="13" s="1"/>
  <c r="CK4" i="13"/>
  <c r="CL4" i="13" s="1"/>
  <c r="DG27" i="6"/>
  <c r="DH27" i="6" s="1"/>
  <c r="AM7" i="6"/>
  <c r="AN7" i="6" s="1"/>
  <c r="CK28" i="13"/>
  <c r="CL28" i="13" s="1"/>
  <c r="Q8" i="13"/>
  <c r="R8" i="13" s="1"/>
  <c r="DG11" i="6"/>
  <c r="DH11" i="6" s="1"/>
  <c r="DG21" i="6"/>
  <c r="DH21" i="6" s="1"/>
  <c r="CV12" i="6"/>
  <c r="CW12" i="6" s="1"/>
  <c r="CV17" i="13"/>
  <c r="CW17" i="13" s="1"/>
  <c r="F10" i="13"/>
  <c r="G10" i="13" s="1"/>
  <c r="AM28" i="13"/>
  <c r="AN28" i="13" s="1"/>
  <c r="F11" i="13"/>
  <c r="G11" i="13" s="1"/>
  <c r="CV29" i="13"/>
  <c r="CW29" i="13" s="1"/>
  <c r="AB18" i="13"/>
  <c r="AC18" i="13" s="1"/>
  <c r="F22" i="13"/>
  <c r="G22" i="13" s="1"/>
  <c r="CK24" i="6"/>
  <c r="CL24" i="6" s="1"/>
  <c r="AB17" i="6"/>
  <c r="AC17" i="6" s="1"/>
  <c r="CV28" i="6"/>
  <c r="CW28" i="6" s="1"/>
  <c r="DG20" i="13"/>
  <c r="DH20" i="13" s="1"/>
  <c r="CK22" i="13"/>
  <c r="CL22" i="13" s="1"/>
  <c r="CK21" i="6"/>
  <c r="CL21" i="6" s="1"/>
  <c r="Q24" i="6"/>
  <c r="R24" i="6" s="1"/>
  <c r="AM10" i="13"/>
  <c r="AN10" i="13" s="1"/>
  <c r="F23" i="6"/>
  <c r="G23" i="6" s="1"/>
  <c r="DG12" i="13"/>
  <c r="DH12" i="13" s="1"/>
  <c r="Q12" i="13"/>
  <c r="R12" i="13" s="1"/>
  <c r="BZ17" i="13"/>
  <c r="CA17" i="13" s="1"/>
  <c r="CK28" i="6"/>
  <c r="CL28" i="6" s="1"/>
  <c r="DG29" i="6"/>
  <c r="DH29" i="6" s="1"/>
  <c r="BZ17" i="6"/>
  <c r="CA17" i="6" s="1"/>
  <c r="CV17" i="6"/>
  <c r="CW17" i="6" s="1"/>
  <c r="AB9" i="6"/>
  <c r="AC9" i="6" s="1"/>
  <c r="AB9" i="13"/>
  <c r="AC9" i="13" s="1"/>
  <c r="BZ21" i="6"/>
  <c r="CA21" i="6" s="1"/>
  <c r="DG32" i="6"/>
  <c r="DH32" i="6" s="1"/>
  <c r="Q13" i="13"/>
  <c r="R13" i="13" s="1"/>
  <c r="CV10" i="13"/>
  <c r="CW10" i="13" s="1"/>
  <c r="DG16" i="13"/>
  <c r="DH16" i="13" s="1"/>
  <c r="Q21" i="13"/>
  <c r="R21" i="13" s="1"/>
  <c r="F24" i="13"/>
  <c r="G24" i="13" s="1"/>
  <c r="AB31" i="6"/>
  <c r="AC31" i="6" s="1"/>
  <c r="CK20" i="6"/>
  <c r="CL20" i="6" s="1"/>
  <c r="DG6" i="6"/>
  <c r="DH6" i="6" s="1"/>
  <c r="F29" i="13"/>
  <c r="G29" i="13" s="1"/>
  <c r="F31" i="13"/>
  <c r="G31" i="13" s="1"/>
  <c r="CK10" i="13"/>
  <c r="CL10" i="13" s="1"/>
  <c r="AM13" i="6"/>
  <c r="AN13" i="6" s="1"/>
  <c r="CV19" i="13"/>
  <c r="CW19" i="13" s="1"/>
  <c r="AB4" i="13"/>
  <c r="AC4" i="13" s="1"/>
  <c r="AM20" i="6"/>
  <c r="AN20" i="6" s="1"/>
  <c r="DG24" i="6"/>
  <c r="DH24" i="6" s="1"/>
  <c r="Q17" i="13"/>
  <c r="R17" i="13" s="1"/>
  <c r="F21" i="6"/>
  <c r="G21" i="6" s="1"/>
  <c r="AM18" i="6"/>
  <c r="AN18" i="6" s="1"/>
  <c r="AM12" i="6"/>
  <c r="AN12" i="6" s="1"/>
  <c r="AM25" i="13"/>
  <c r="AN25" i="13" s="1"/>
  <c r="CV11" i="13"/>
  <c r="CW11" i="13" s="1"/>
  <c r="AM28" i="6"/>
  <c r="AN28" i="6" s="1"/>
  <c r="CK6" i="6"/>
  <c r="CL6" i="6" s="1"/>
  <c r="AB10" i="13"/>
  <c r="AC10" i="13" s="1"/>
  <c r="AB18" i="6"/>
  <c r="AC18" i="6" s="1"/>
  <c r="Q4" i="6"/>
  <c r="R4" i="6" s="1"/>
  <c r="DG26" i="13"/>
  <c r="DH26" i="13" s="1"/>
  <c r="Q28" i="13"/>
  <c r="R28" i="13" s="1"/>
  <c r="CV12" i="13"/>
  <c r="CW12" i="13" s="1"/>
  <c r="F4" i="13"/>
  <c r="G4" i="13" s="1"/>
  <c r="CK5" i="6"/>
  <c r="CL5" i="6" s="1"/>
  <c r="CK33" i="6"/>
  <c r="CL33" i="6" s="1"/>
  <c r="AM6" i="13"/>
  <c r="AN6" i="13" s="1"/>
  <c r="F29" i="6"/>
  <c r="G29" i="6" s="1"/>
  <c r="DG12" i="6"/>
  <c r="DH12" i="6" s="1"/>
  <c r="CV10" i="6"/>
  <c r="CW10" i="6" s="1"/>
  <c r="CK30" i="6"/>
  <c r="CL30" i="6" s="1"/>
  <c r="CV26" i="13"/>
  <c r="CW26" i="13" s="1"/>
  <c r="Q5" i="13"/>
  <c r="R5" i="13" s="1"/>
  <c r="Q18" i="13"/>
  <c r="R18" i="13" s="1"/>
  <c r="DG32" i="13"/>
  <c r="DH32" i="13" s="1"/>
  <c r="AB13" i="6"/>
  <c r="AC13" i="6" s="1"/>
  <c r="AB5" i="13"/>
  <c r="AC5" i="13" s="1"/>
  <c r="CV25" i="6"/>
  <c r="CW25" i="6" s="1"/>
  <c r="F20" i="6"/>
  <c r="G20" i="6" s="1"/>
  <c r="AM7" i="13"/>
  <c r="AN7" i="13" s="1"/>
  <c r="BZ30" i="13"/>
  <c r="CA30" i="13" s="1"/>
  <c r="Q9" i="6"/>
  <c r="R9" i="6" s="1"/>
  <c r="AB24" i="6"/>
  <c r="AC24" i="6" s="1"/>
  <c r="DG30" i="13"/>
  <c r="DH30" i="13" s="1"/>
  <c r="CK26" i="13"/>
  <c r="CL26" i="13" s="1"/>
  <c r="CK23" i="13"/>
  <c r="CL23" i="13" s="1"/>
  <c r="Q13" i="6"/>
  <c r="R13" i="6" s="1"/>
  <c r="AM10" i="6"/>
  <c r="AN10" i="6" s="1"/>
  <c r="CV18" i="13"/>
  <c r="CW18" i="13" s="1"/>
  <c r="AB11" i="13"/>
  <c r="AC11" i="13" s="1"/>
  <c r="BZ16" i="6"/>
  <c r="CA16" i="6" s="1"/>
  <c r="AB19" i="6"/>
  <c r="AC19" i="6" s="1"/>
  <c r="CV29" i="6"/>
  <c r="CW29" i="6" s="1"/>
  <c r="DG29" i="13"/>
  <c r="DH29" i="13" s="1"/>
  <c r="CV20" i="6"/>
  <c r="CW20" i="6" s="1"/>
  <c r="AM14" i="6"/>
  <c r="AN14" i="6" s="1"/>
  <c r="AB28" i="13"/>
  <c r="AC28" i="13" s="1"/>
  <c r="F30" i="6"/>
  <c r="G30" i="6" s="1"/>
  <c r="AB26" i="13"/>
  <c r="AC26" i="13" s="1"/>
  <c r="AM21" i="13"/>
  <c r="AN21" i="13" s="1"/>
  <c r="CV9" i="6"/>
  <c r="CW9" i="6" s="1"/>
  <c r="CK7" i="6"/>
  <c r="CL7" i="6" s="1"/>
  <c r="AA67" i="3"/>
  <c r="Q19" i="13"/>
  <c r="R19" i="13" s="1"/>
  <c r="BZ30" i="6"/>
  <c r="CA30" i="6" s="1"/>
  <c r="CK12" i="6"/>
  <c r="CL12" i="6" s="1"/>
  <c r="CK9" i="6"/>
  <c r="CL9" i="6" s="1"/>
  <c r="Q24" i="13"/>
  <c r="R24" i="13" s="1"/>
  <c r="CV7" i="6"/>
  <c r="CW7" i="6" s="1"/>
  <c r="BZ24" i="6"/>
  <c r="CA24" i="6" s="1"/>
  <c r="BZ22" i="6"/>
  <c r="CA22" i="6" s="1"/>
  <c r="Q26" i="6"/>
  <c r="R26" i="6" s="1"/>
  <c r="Q16" i="13"/>
  <c r="R16" i="13" s="1"/>
  <c r="CK33" i="13"/>
  <c r="CL33" i="13" s="1"/>
  <c r="CK27" i="6"/>
  <c r="CL27" i="6" s="1"/>
  <c r="AM23" i="13"/>
  <c r="AN23" i="13" s="1"/>
  <c r="F15" i="6"/>
  <c r="G15" i="6" s="1"/>
  <c r="F17" i="6"/>
  <c r="G17" i="6" s="1"/>
  <c r="CV24" i="13"/>
  <c r="CW24" i="13" s="1"/>
  <c r="AB33" i="6"/>
  <c r="AC33" i="6" s="1"/>
  <c r="F6" i="6"/>
  <c r="G6" i="6" s="1"/>
  <c r="DG5" i="6"/>
  <c r="DH5" i="6" s="1"/>
  <c r="CV6" i="6"/>
  <c r="CW6" i="6" s="1"/>
  <c r="BZ31" i="13"/>
  <c r="CA31" i="13" s="1"/>
  <c r="Q19" i="6"/>
  <c r="R19" i="6" s="1"/>
  <c r="Q31" i="13"/>
  <c r="R31" i="13" s="1"/>
  <c r="CV11" i="6"/>
  <c r="CW11" i="6" s="1"/>
  <c r="AM16" i="6"/>
  <c r="AN16" i="6" s="1"/>
  <c r="F18" i="13"/>
  <c r="G18" i="13" s="1"/>
  <c r="DG10" i="6"/>
  <c r="DH10" i="6" s="1"/>
  <c r="F15" i="13"/>
  <c r="G15" i="13" s="1"/>
  <c r="BZ15" i="13"/>
  <c r="DG22" i="13"/>
  <c r="DH22" i="13" s="1"/>
  <c r="Q23" i="13"/>
  <c r="R23" i="13" s="1"/>
  <c r="CK17" i="13"/>
  <c r="CL17" i="13" s="1"/>
  <c r="F33" i="13"/>
  <c r="G33" i="13" s="1"/>
  <c r="AB15" i="6"/>
  <c r="AC15" i="6" s="1"/>
  <c r="CV8" i="6"/>
  <c r="CW8" i="6" s="1"/>
  <c r="CV15" i="6"/>
  <c r="CW15" i="6" s="1"/>
  <c r="Q30" i="6"/>
  <c r="R30" i="6" s="1"/>
  <c r="AM16" i="13"/>
  <c r="AN16" i="13" s="1"/>
  <c r="CV9" i="13"/>
  <c r="CW9" i="13" s="1"/>
  <c r="BZ25" i="13"/>
  <c r="CA25" i="13" s="1"/>
  <c r="AB27" i="6"/>
  <c r="AC27" i="6" s="1"/>
  <c r="AB33" i="13"/>
  <c r="AC33" i="13" s="1"/>
  <c r="CK30" i="13"/>
  <c r="CL30" i="13" s="1"/>
  <c r="BZ23" i="13"/>
  <c r="CA23" i="13" s="1"/>
  <c r="DG23" i="6"/>
  <c r="DH23" i="6" s="1"/>
  <c r="AB12" i="13"/>
  <c r="AC12" i="13" s="1"/>
  <c r="CV27" i="6"/>
  <c r="CW27" i="6" s="1"/>
  <c r="F26" i="6"/>
  <c r="G26" i="6" s="1"/>
  <c r="CV5" i="13"/>
  <c r="CW5" i="13" s="1"/>
  <c r="CV31" i="6"/>
  <c r="CW31" i="6" s="1"/>
  <c r="BZ26" i="6"/>
  <c r="CA26" i="6" s="1"/>
  <c r="CV4" i="6"/>
  <c r="CW4" i="6" s="1"/>
  <c r="BZ21" i="13"/>
  <c r="CA21" i="13" s="1"/>
  <c r="Q12" i="6"/>
  <c r="R12" i="6" s="1"/>
  <c r="F25" i="13"/>
  <c r="G25" i="13" s="1"/>
  <c r="F17" i="13"/>
  <c r="G17" i="13" s="1"/>
  <c r="CV13" i="6"/>
  <c r="CW13" i="6" s="1"/>
  <c r="DG3" i="13"/>
  <c r="CK9" i="13"/>
  <c r="CL9" i="13" s="1"/>
  <c r="Q25" i="13"/>
  <c r="R25" i="13" s="1"/>
  <c r="AM13" i="13"/>
  <c r="AN13" i="13" s="1"/>
  <c r="F6" i="13"/>
  <c r="G6" i="13" s="1"/>
  <c r="CK32" i="6"/>
  <c r="CL32" i="6" s="1"/>
  <c r="DG5" i="13"/>
  <c r="DH5" i="13" s="1"/>
  <c r="AB16" i="6"/>
  <c r="AC16" i="6" s="1"/>
  <c r="BZ16" i="13"/>
  <c r="CA16" i="13" s="1"/>
  <c r="AM3" i="6"/>
  <c r="AB6" i="13"/>
  <c r="AC6" i="13" s="1"/>
  <c r="CK29" i="6"/>
  <c r="CL29" i="6" s="1"/>
  <c r="DG4" i="13"/>
  <c r="DH4" i="13" s="1"/>
  <c r="DG26" i="6"/>
  <c r="DH26" i="6" s="1"/>
  <c r="AB10" i="6"/>
  <c r="AC10" i="6" s="1"/>
  <c r="AB24" i="13"/>
  <c r="AC24" i="13" s="1"/>
  <c r="DG22" i="6"/>
  <c r="DH22" i="6" s="1"/>
  <c r="AM20" i="13"/>
  <c r="AN20" i="13" s="1"/>
  <c r="F7" i="6"/>
  <c r="G7" i="6" s="1"/>
  <c r="F30" i="13"/>
  <c r="G30" i="13" s="1"/>
  <c r="CK10" i="6"/>
  <c r="CL10" i="6" s="1"/>
  <c r="AB26" i="6"/>
  <c r="AC26" i="6" s="1"/>
  <c r="CV16" i="13"/>
  <c r="CW16" i="13" s="1"/>
  <c r="Q21" i="6"/>
  <c r="R21" i="6" s="1"/>
  <c r="Q3" i="13"/>
  <c r="BZ32" i="13"/>
  <c r="CA32" i="13" s="1"/>
  <c r="AB29" i="13"/>
  <c r="AC29" i="13" s="1"/>
  <c r="DG19" i="13"/>
  <c r="DH19" i="13" s="1"/>
  <c r="BZ25" i="6"/>
  <c r="CA25" i="6" s="1"/>
  <c r="CK26" i="6"/>
  <c r="CL26" i="6" s="1"/>
  <c r="AM12" i="13"/>
  <c r="AN12" i="13" s="1"/>
  <c r="DG13" i="13"/>
  <c r="DH13" i="13" s="1"/>
  <c r="CK19" i="6"/>
  <c r="CL19" i="6" s="1"/>
  <c r="AM25" i="6"/>
  <c r="AN25" i="6" s="1"/>
  <c r="F31" i="6"/>
  <c r="G31" i="6" s="1"/>
  <c r="F22" i="6"/>
  <c r="G22" i="6" s="1"/>
  <c r="DG25" i="6"/>
  <c r="DH25" i="6" s="1"/>
  <c r="CV4" i="13"/>
  <c r="CW4" i="13" s="1"/>
  <c r="CK17" i="6"/>
  <c r="CL17" i="6" s="1"/>
  <c r="EZ4" i="13"/>
  <c r="FN4" i="13" s="1"/>
  <c r="F14" i="13"/>
  <c r="G14" i="13" s="1"/>
  <c r="AM9" i="13"/>
  <c r="AN9" i="13" s="1"/>
  <c r="CK18" i="13"/>
  <c r="CL18" i="13" s="1"/>
  <c r="AM21" i="6"/>
  <c r="AN21" i="6" s="1"/>
  <c r="AM17" i="13"/>
  <c r="AN17" i="13" s="1"/>
  <c r="AM8" i="6"/>
  <c r="AN8" i="6" s="1"/>
  <c r="AB20" i="13"/>
  <c r="AC20" i="13" s="1"/>
  <c r="AB32" i="13"/>
  <c r="AC32" i="13" s="1"/>
  <c r="CV20" i="13"/>
  <c r="CW20" i="13" s="1"/>
  <c r="AM27" i="6"/>
  <c r="AN27" i="6" s="1"/>
  <c r="DG21" i="13"/>
  <c r="DH21" i="13" s="1"/>
  <c r="CK11" i="13"/>
  <c r="CL11" i="13" s="1"/>
  <c r="AM11" i="13"/>
  <c r="AN11" i="13" s="1"/>
  <c r="DG17" i="13"/>
  <c r="DH17" i="13" s="1"/>
  <c r="CV21" i="6"/>
  <c r="CW21" i="6" s="1"/>
  <c r="F5" i="6"/>
  <c r="G5" i="6" s="1"/>
  <c r="AB20" i="6"/>
  <c r="AC20" i="6" s="1"/>
  <c r="F16" i="6"/>
  <c r="G16" i="6" s="1"/>
  <c r="AB22" i="6"/>
  <c r="AC22" i="6" s="1"/>
  <c r="CV7" i="13"/>
  <c r="CW7" i="13" s="1"/>
  <c r="DG9" i="13"/>
  <c r="DH9" i="13" s="1"/>
  <c r="AB12" i="6"/>
  <c r="AC12" i="6" s="1"/>
  <c r="AB8" i="13"/>
  <c r="AC8" i="13" s="1"/>
  <c r="AM14" i="13"/>
  <c r="AN14" i="13" s="1"/>
  <c r="F13" i="6"/>
  <c r="G13" i="6" s="1"/>
  <c r="F27" i="6"/>
  <c r="G27" i="6" s="1"/>
  <c r="F19" i="6"/>
  <c r="G19" i="6" s="1"/>
  <c r="CV3" i="13"/>
  <c r="F11" i="6"/>
  <c r="G11" i="6" s="1"/>
  <c r="AB3" i="6"/>
  <c r="Q3" i="6"/>
  <c r="F24" i="6"/>
  <c r="G24" i="6" s="1"/>
  <c r="EZ4" i="6"/>
  <c r="AB3" i="13"/>
  <c r="CV3" i="6"/>
  <c r="Q6" i="6"/>
  <c r="R6" i="6" s="1"/>
  <c r="AM4" i="6"/>
  <c r="AN4" i="6" s="1"/>
  <c r="AB5" i="6"/>
  <c r="AC5" i="6" s="1"/>
  <c r="CK13" i="13"/>
  <c r="CL13" i="13" s="1"/>
  <c r="F10" i="6"/>
  <c r="G10" i="6" s="1"/>
  <c r="AB16" i="13"/>
  <c r="AC16" i="13" s="1"/>
  <c r="CV23" i="13"/>
  <c r="CW23" i="13" s="1"/>
  <c r="CV21" i="13"/>
  <c r="CW21" i="13" s="1"/>
  <c r="CV22" i="13"/>
  <c r="CW22" i="13" s="1"/>
  <c r="Q20" i="13"/>
  <c r="R20" i="13" s="1"/>
  <c r="CV8" i="13"/>
  <c r="CW8" i="13" s="1"/>
  <c r="AB21" i="6"/>
  <c r="AC21" i="6" s="1"/>
  <c r="F16" i="13"/>
  <c r="G16" i="13" s="1"/>
  <c r="CK16" i="13"/>
  <c r="CL16" i="13" s="1"/>
  <c r="Q22" i="13"/>
  <c r="R22" i="13" s="1"/>
  <c r="DG27" i="13"/>
  <c r="DH27" i="13" s="1"/>
  <c r="DG15" i="13"/>
  <c r="DH15" i="13" s="1"/>
  <c r="CV26" i="6"/>
  <c r="CW26" i="6" s="1"/>
  <c r="AB6" i="6"/>
  <c r="AC6" i="6" s="1"/>
  <c r="CK22" i="6"/>
  <c r="CL22" i="6" s="1"/>
  <c r="F32" i="13"/>
  <c r="G32" i="13" s="1"/>
  <c r="F12" i="13"/>
  <c r="G12" i="13" s="1"/>
  <c r="AB30" i="13"/>
  <c r="AC30" i="13" s="1"/>
  <c r="AM26" i="13"/>
  <c r="AN26" i="13" s="1"/>
  <c r="AM19" i="13"/>
  <c r="AN19" i="13" s="1"/>
  <c r="CK25" i="13"/>
  <c r="CL25" i="13" s="1"/>
  <c r="AB4" i="6"/>
  <c r="AC4" i="6" s="1"/>
  <c r="AM15" i="13"/>
  <c r="AN15" i="13" s="1"/>
  <c r="BZ31" i="6"/>
  <c r="CA31" i="6" s="1"/>
  <c r="AM5" i="6"/>
  <c r="AN5" i="6" s="1"/>
  <c r="DG4" i="6"/>
  <c r="DH4" i="6" s="1"/>
  <c r="Q27" i="13"/>
  <c r="R27" i="13" s="1"/>
  <c r="DG30" i="6"/>
  <c r="DH30" i="6" s="1"/>
  <c r="CV24" i="6"/>
  <c r="CW24" i="6" s="1"/>
  <c r="DG11" i="13"/>
  <c r="DH11" i="13" s="1"/>
  <c r="AB15" i="13"/>
  <c r="AC15" i="13" s="1"/>
  <c r="Q17" i="6"/>
  <c r="R17" i="6" s="1"/>
  <c r="CK29" i="13"/>
  <c r="CL29" i="13" s="1"/>
  <c r="F13" i="13"/>
  <c r="G13" i="13" s="1"/>
  <c r="Q14" i="13"/>
  <c r="R14" i="13" s="1"/>
  <c r="AM22" i="6"/>
  <c r="AN22" i="6" s="1"/>
  <c r="AB23" i="6"/>
  <c r="AC23" i="6" s="1"/>
  <c r="CV25" i="13"/>
  <c r="CW25" i="13" s="1"/>
  <c r="CK24" i="13"/>
  <c r="CL24" i="13" s="1"/>
  <c r="AB14" i="6"/>
  <c r="AC14" i="6" s="1"/>
  <c r="F3" i="6"/>
  <c r="CK7" i="13"/>
  <c r="CL7" i="13" s="1"/>
  <c r="AB23" i="13"/>
  <c r="AC23" i="13" s="1"/>
  <c r="AM17" i="6"/>
  <c r="AN17" i="6" s="1"/>
  <c r="DG19" i="6"/>
  <c r="DH19" i="6" s="1"/>
  <c r="DG15" i="6"/>
  <c r="DH15" i="6" s="1"/>
  <c r="CV32" i="6"/>
  <c r="CW32" i="6" s="1"/>
  <c r="AB27" i="13"/>
  <c r="AC27" i="13" s="1"/>
  <c r="F3" i="13"/>
  <c r="BZ15" i="6"/>
  <c r="CV15" i="13"/>
  <c r="CW15" i="13" s="1"/>
  <c r="CK15" i="6"/>
  <c r="CL15" i="6" s="1"/>
  <c r="Q14" i="6"/>
  <c r="R14" i="6" s="1"/>
  <c r="DG3" i="6"/>
  <c r="Q16" i="6"/>
  <c r="R16" i="6" s="1"/>
  <c r="Q26" i="13"/>
  <c r="R26" i="13" s="1"/>
  <c r="AB11" i="6"/>
  <c r="AC11" i="6" s="1"/>
  <c r="AB19" i="13"/>
  <c r="AC19" i="13" s="1"/>
  <c r="DG25" i="13"/>
  <c r="DH25" i="13" s="1"/>
  <c r="CV30" i="13"/>
  <c r="CW30" i="13" s="1"/>
  <c r="CV13" i="13"/>
  <c r="CW13" i="13" s="1"/>
  <c r="AB13" i="13"/>
  <c r="AC13" i="13" s="1"/>
  <c r="AB8" i="6"/>
  <c r="AC8" i="6" s="1"/>
  <c r="DG7" i="6"/>
  <c r="DH7" i="6" s="1"/>
  <c r="CV23" i="6"/>
  <c r="CW23" i="6" s="1"/>
  <c r="DG8" i="13"/>
  <c r="DH8" i="13" s="1"/>
  <c r="CK3" i="13"/>
  <c r="F8" i="6"/>
  <c r="G8" i="6" s="1"/>
  <c r="Q7" i="13"/>
  <c r="R7" i="13" s="1"/>
  <c r="CK3" i="6"/>
  <c r="DG14" i="13"/>
  <c r="DH14" i="13" s="1"/>
  <c r="DG31" i="6"/>
  <c r="DH31" i="6" s="1"/>
  <c r="CV14" i="6"/>
  <c r="CW14" i="6" s="1"/>
  <c r="F12" i="6"/>
  <c r="G12" i="6" s="1"/>
  <c r="AM18" i="13"/>
  <c r="AN18" i="13" s="1"/>
  <c r="CK25" i="6"/>
  <c r="CL25" i="6" s="1"/>
  <c r="DG16" i="6"/>
  <c r="DH16" i="6" s="1"/>
  <c r="BZ24" i="13"/>
  <c r="CA24" i="13" s="1"/>
  <c r="AM6" i="6"/>
  <c r="AN6" i="6" s="1"/>
  <c r="BZ26" i="13"/>
  <c r="CA26" i="13" s="1"/>
  <c r="Q29" i="6"/>
  <c r="R29" i="6" s="1"/>
  <c r="CV28" i="13"/>
  <c r="CW28" i="13" s="1"/>
  <c r="AM24" i="6"/>
  <c r="AN24" i="6" s="1"/>
  <c r="CK15" i="13"/>
  <c r="CL15" i="13" s="1"/>
  <c r="BZ32" i="6"/>
  <c r="CA32" i="6" s="1"/>
  <c r="Q7" i="6"/>
  <c r="R7" i="6" s="1"/>
  <c r="AM9" i="6"/>
  <c r="AN9" i="6" s="1"/>
  <c r="CK31" i="13"/>
  <c r="CL31" i="13" s="1"/>
  <c r="Q6" i="13"/>
  <c r="R6" i="13" s="1"/>
  <c r="N86" i="3"/>
  <c r="F32" i="6"/>
  <c r="G32" i="6" s="1"/>
  <c r="DG24" i="13"/>
  <c r="DH24" i="13" s="1"/>
  <c r="CK14" i="13"/>
  <c r="CL14" i="13" s="1"/>
  <c r="AM23" i="6"/>
  <c r="AN23" i="6" s="1"/>
  <c r="AM19" i="6"/>
  <c r="AN19" i="6" s="1"/>
  <c r="AM3" i="13"/>
  <c r="F25" i="6"/>
  <c r="G25" i="6" s="1"/>
  <c r="Q15" i="6"/>
  <c r="R15" i="6" s="1"/>
  <c r="Q18" i="6"/>
  <c r="R18" i="6" s="1"/>
  <c r="F4" i="6"/>
  <c r="G4" i="6" s="1"/>
  <c r="DG18" i="13"/>
  <c r="DH18" i="13" s="1"/>
  <c r="F18" i="6"/>
  <c r="G18" i="6" s="1"/>
  <c r="AB29" i="6"/>
  <c r="AC29" i="6" s="1"/>
  <c r="CV31" i="13"/>
  <c r="CW31" i="13" s="1"/>
  <c r="AB25" i="13"/>
  <c r="AC25" i="13" s="1"/>
  <c r="F21" i="13"/>
  <c r="G21" i="13" s="1"/>
  <c r="DG20" i="6"/>
  <c r="DH20" i="6" s="1"/>
  <c r="AB30" i="6"/>
  <c r="AC30" i="6" s="1"/>
  <c r="AB7" i="6"/>
  <c r="AC7" i="6" s="1"/>
  <c r="Q10" i="6"/>
  <c r="R10" i="6" s="1"/>
  <c r="DG33" i="13"/>
  <c r="DH33" i="13" s="1"/>
  <c r="Q11" i="13"/>
  <c r="R11" i="13" s="1"/>
  <c r="CK20" i="13"/>
  <c r="CL20" i="13" s="1"/>
  <c r="DG10" i="13"/>
  <c r="DH10" i="13" s="1"/>
  <c r="CV30" i="6"/>
  <c r="CW30" i="6" s="1"/>
  <c r="Q15" i="13"/>
  <c r="R15" i="13" s="1"/>
  <c r="CK16" i="6"/>
  <c r="CL16" i="6" s="1"/>
  <c r="CK31" i="6"/>
  <c r="CL31" i="6" s="1"/>
  <c r="CK23" i="6"/>
  <c r="CL23" i="6" s="1"/>
  <c r="DG23" i="13"/>
  <c r="DH23" i="13" s="1"/>
  <c r="CK4" i="6"/>
  <c r="CL4" i="6" s="1"/>
  <c r="F7" i="13"/>
  <c r="G7" i="13" s="1"/>
  <c r="CV22" i="6"/>
  <c r="CW22" i="6" s="1"/>
  <c r="AM27" i="13"/>
  <c r="AN27" i="13" s="1"/>
  <c r="AM4" i="13"/>
  <c r="AN4" i="13" s="1"/>
  <c r="DG18" i="6"/>
  <c r="DH18" i="6" s="1"/>
  <c r="BZ23" i="6"/>
  <c r="CA23" i="6" s="1"/>
  <c r="AB25" i="6"/>
  <c r="AC25" i="6" s="1"/>
  <c r="Q16" i="10"/>
  <c r="R16" i="10" s="1"/>
  <c r="AM24" i="10"/>
  <c r="AN24" i="10" s="1"/>
  <c r="Q5" i="10"/>
  <c r="R5" i="10" s="1"/>
  <c r="CV4" i="10"/>
  <c r="CW4" i="10" s="1"/>
  <c r="Q22" i="10"/>
  <c r="R22" i="10" s="1"/>
  <c r="CV22" i="10"/>
  <c r="CW22" i="10" s="1"/>
  <c r="CK5" i="10"/>
  <c r="CL5" i="10" s="1"/>
  <c r="F4" i="10"/>
  <c r="G4" i="10" s="1"/>
  <c r="AB23" i="10"/>
  <c r="AC23" i="10" s="1"/>
  <c r="AB27" i="10"/>
  <c r="AC27" i="10" s="1"/>
  <c r="Q25" i="10"/>
  <c r="R25" i="10" s="1"/>
  <c r="F33" i="10"/>
  <c r="G33" i="10" s="1"/>
  <c r="CV32" i="10"/>
  <c r="CW32" i="10" s="1"/>
  <c r="Q11" i="10"/>
  <c r="R11" i="10" s="1"/>
  <c r="Q13" i="10"/>
  <c r="R13" i="10" s="1"/>
  <c r="DG28" i="10"/>
  <c r="DH28" i="10" s="1"/>
  <c r="F26" i="10"/>
  <c r="G26" i="10" s="1"/>
  <c r="CV9" i="10"/>
  <c r="CW9" i="10" s="1"/>
  <c r="Q10" i="10"/>
  <c r="R10" i="10" s="1"/>
  <c r="CK28" i="10"/>
  <c r="CL28" i="10" s="1"/>
  <c r="DG8" i="10"/>
  <c r="DH8" i="10" s="1"/>
  <c r="CK27" i="10"/>
  <c r="CL27" i="10" s="1"/>
  <c r="CV11" i="10"/>
  <c r="CW11" i="10" s="1"/>
  <c r="BZ23" i="10"/>
  <c r="CA23" i="10" s="1"/>
  <c r="Q31" i="10"/>
  <c r="R31" i="10" s="1"/>
  <c r="CK31" i="10"/>
  <c r="CL31" i="10" s="1"/>
  <c r="CV23" i="10"/>
  <c r="CW23" i="10" s="1"/>
  <c r="CK29" i="10"/>
  <c r="CL29" i="10" s="1"/>
  <c r="F14" i="10"/>
  <c r="G14" i="10" s="1"/>
  <c r="CV24" i="10"/>
  <c r="CW24" i="10" s="1"/>
  <c r="DG10" i="10"/>
  <c r="DH10" i="10" s="1"/>
  <c r="CV6" i="10"/>
  <c r="CW6" i="10" s="1"/>
  <c r="F10" i="10"/>
  <c r="G10" i="10" s="1"/>
  <c r="DG29" i="10"/>
  <c r="DH29" i="10" s="1"/>
  <c r="CK15" i="10"/>
  <c r="CL15" i="10" s="1"/>
  <c r="AM21" i="10"/>
  <c r="AN21" i="10" s="1"/>
  <c r="CV28" i="10"/>
  <c r="CW28" i="10" s="1"/>
  <c r="Q4" i="10"/>
  <c r="R4" i="10" s="1"/>
  <c r="F23" i="10"/>
  <c r="G23" i="10" s="1"/>
  <c r="F6" i="10"/>
  <c r="G6" i="10" s="1"/>
  <c r="Q26" i="10"/>
  <c r="R26" i="10" s="1"/>
  <c r="DG17" i="10"/>
  <c r="DH17" i="10" s="1"/>
  <c r="CV20" i="10"/>
  <c r="CW20" i="10" s="1"/>
  <c r="CK18" i="10"/>
  <c r="CL18" i="10" s="1"/>
  <c r="BZ25" i="10"/>
  <c r="CA25" i="10" s="1"/>
  <c r="CV10" i="10"/>
  <c r="CW10" i="10" s="1"/>
  <c r="Q12" i="10"/>
  <c r="R12" i="10" s="1"/>
  <c r="AM6" i="10"/>
  <c r="AN6" i="10" s="1"/>
  <c r="DG6" i="10"/>
  <c r="DH6" i="10" s="1"/>
  <c r="CK26" i="10"/>
  <c r="CL26" i="10" s="1"/>
  <c r="CV19" i="10"/>
  <c r="CW19" i="10" s="1"/>
  <c r="AB21" i="10"/>
  <c r="AC21" i="10" s="1"/>
  <c r="Q18" i="10"/>
  <c r="R18" i="10" s="1"/>
  <c r="CK9" i="10"/>
  <c r="CL9" i="10" s="1"/>
  <c r="CK13" i="10"/>
  <c r="CL13" i="10" s="1"/>
  <c r="F31" i="10"/>
  <c r="G31" i="10" s="1"/>
  <c r="AM18" i="10"/>
  <c r="AN18" i="10" s="1"/>
  <c r="Q30" i="10"/>
  <c r="R30" i="10" s="1"/>
  <c r="AB32" i="10"/>
  <c r="AC32" i="10" s="1"/>
  <c r="AM10" i="10"/>
  <c r="AN10" i="10" s="1"/>
  <c r="Q9" i="10"/>
  <c r="R9" i="10" s="1"/>
  <c r="AB22" i="10"/>
  <c r="AC22" i="10" s="1"/>
  <c r="F28" i="10"/>
  <c r="G28" i="10" s="1"/>
  <c r="AB28" i="10"/>
  <c r="AC28" i="10" s="1"/>
  <c r="AM27" i="10"/>
  <c r="AN27" i="10" s="1"/>
  <c r="F17" i="10"/>
  <c r="G17" i="10" s="1"/>
  <c r="Q28" i="10"/>
  <c r="R28" i="10" s="1"/>
  <c r="AM28" i="10"/>
  <c r="AN28" i="10" s="1"/>
  <c r="CV16" i="10"/>
  <c r="CW16" i="10" s="1"/>
  <c r="DG18" i="10"/>
  <c r="DH18" i="10" s="1"/>
  <c r="DG12" i="10"/>
  <c r="DH12" i="10" s="1"/>
  <c r="BZ19" i="10"/>
  <c r="CA19" i="10" s="1"/>
  <c r="AM20" i="10"/>
  <c r="AN20" i="10" s="1"/>
  <c r="Q17" i="10"/>
  <c r="R17" i="10" s="1"/>
  <c r="CK23" i="10"/>
  <c r="CL23" i="10" s="1"/>
  <c r="Q19" i="10"/>
  <c r="R19" i="10" s="1"/>
  <c r="G82" i="4"/>
  <c r="DG16" i="10"/>
  <c r="DH16" i="10" s="1"/>
  <c r="Q6" i="10"/>
  <c r="R6" i="10" s="1"/>
  <c r="Q15" i="10"/>
  <c r="R15" i="10" s="1"/>
  <c r="AB24" i="10"/>
  <c r="AC24" i="10" s="1"/>
  <c r="AB11" i="10"/>
  <c r="AC11" i="10" s="1"/>
  <c r="CV18" i="10"/>
  <c r="CW18" i="10" s="1"/>
  <c r="Q29" i="10"/>
  <c r="R29" i="10" s="1"/>
  <c r="AB15" i="10"/>
  <c r="AC15" i="10" s="1"/>
  <c r="AB25" i="10"/>
  <c r="AC25" i="10" s="1"/>
  <c r="AM17" i="10"/>
  <c r="AN17" i="10" s="1"/>
  <c r="Q24" i="10"/>
  <c r="R24" i="10" s="1"/>
  <c r="Q23" i="10"/>
  <c r="R23" i="10" s="1"/>
  <c r="AM19" i="10"/>
  <c r="AN19" i="10" s="1"/>
  <c r="BZ31" i="10"/>
  <c r="CA31" i="10" s="1"/>
  <c r="DG25" i="10"/>
  <c r="DH25" i="10" s="1"/>
  <c r="DG4" i="10"/>
  <c r="DH4" i="10" s="1"/>
  <c r="F30" i="10"/>
  <c r="G30" i="10" s="1"/>
  <c r="CK12" i="10"/>
  <c r="CL12" i="10" s="1"/>
  <c r="CK22" i="10"/>
  <c r="CL22" i="10" s="1"/>
  <c r="AB6" i="10"/>
  <c r="AC6" i="10" s="1"/>
  <c r="DG9" i="10"/>
  <c r="DH9" i="10" s="1"/>
  <c r="AB18" i="10"/>
  <c r="AC18" i="10" s="1"/>
  <c r="DG20" i="10"/>
  <c r="DH20" i="10" s="1"/>
  <c r="AB14" i="10"/>
  <c r="AC14" i="10" s="1"/>
  <c r="CV12" i="10"/>
  <c r="CW12" i="10" s="1"/>
  <c r="BZ17" i="10"/>
  <c r="CA17" i="10" s="1"/>
  <c r="AM9" i="10"/>
  <c r="AN9" i="10" s="1"/>
  <c r="AM23" i="10"/>
  <c r="AN23" i="10" s="1"/>
  <c r="Q27" i="10"/>
  <c r="R27" i="10" s="1"/>
  <c r="DG19" i="10"/>
  <c r="DH19" i="10" s="1"/>
  <c r="DG15" i="10"/>
  <c r="DH15" i="10" s="1"/>
  <c r="CV17" i="10"/>
  <c r="CW17" i="10" s="1"/>
  <c r="CV30" i="10"/>
  <c r="CW30" i="10" s="1"/>
  <c r="BZ21" i="10"/>
  <c r="CA21" i="10" s="1"/>
  <c r="AM8" i="10"/>
  <c r="AN8" i="10" s="1"/>
  <c r="AB26" i="10"/>
  <c r="AC26" i="10" s="1"/>
  <c r="AB19" i="10"/>
  <c r="AC19" i="10" s="1"/>
  <c r="Q20" i="10"/>
  <c r="R20" i="10" s="1"/>
  <c r="DG32" i="10"/>
  <c r="DH32" i="10" s="1"/>
  <c r="AM11" i="10"/>
  <c r="AN11" i="10" s="1"/>
  <c r="CV15" i="10"/>
  <c r="CW15" i="10" s="1"/>
  <c r="CK4" i="10"/>
  <c r="CL4" i="10" s="1"/>
  <c r="F27" i="10"/>
  <c r="G27" i="10" s="1"/>
  <c r="AB31" i="10"/>
  <c r="AC31" i="10" s="1"/>
  <c r="CK30" i="10"/>
  <c r="CL30" i="10" s="1"/>
  <c r="CV8" i="10"/>
  <c r="CW8" i="10" s="1"/>
  <c r="F24" i="10"/>
  <c r="G24" i="10" s="1"/>
  <c r="AB17" i="10"/>
  <c r="AC17" i="10" s="1"/>
  <c r="CV5" i="10"/>
  <c r="CW5" i="10" s="1"/>
  <c r="AB7" i="10"/>
  <c r="AC7" i="10" s="1"/>
  <c r="Q14" i="10"/>
  <c r="R14" i="10" s="1"/>
  <c r="Q8" i="10"/>
  <c r="R8" i="10" s="1"/>
  <c r="F12" i="10"/>
  <c r="G12" i="10" s="1"/>
  <c r="Q7" i="10"/>
  <c r="R7" i="10" s="1"/>
  <c r="CK14" i="10"/>
  <c r="CL14" i="10" s="1"/>
  <c r="CV13" i="10"/>
  <c r="CW13" i="10" s="1"/>
  <c r="AM12" i="10"/>
  <c r="AN12" i="10" s="1"/>
  <c r="F32" i="10"/>
  <c r="G32" i="10" s="1"/>
  <c r="CK16" i="10"/>
  <c r="CL16" i="10" s="1"/>
  <c r="DG11" i="10"/>
  <c r="DH11" i="10" s="1"/>
  <c r="BZ22" i="10"/>
  <c r="CA22" i="10" s="1"/>
  <c r="CV7" i="10"/>
  <c r="CW7" i="10" s="1"/>
  <c r="DG14" i="10"/>
  <c r="DH14" i="10" s="1"/>
  <c r="AM15" i="10"/>
  <c r="AN15" i="10" s="1"/>
  <c r="AM14" i="10"/>
  <c r="AN14" i="10" s="1"/>
  <c r="Q21" i="10"/>
  <c r="R21" i="10" s="1"/>
  <c r="AB13" i="10"/>
  <c r="AC13" i="10" s="1"/>
  <c r="DG27" i="10"/>
  <c r="DH27" i="10" s="1"/>
  <c r="CK20" i="10"/>
  <c r="CL20" i="10" s="1"/>
  <c r="CV29" i="10"/>
  <c r="CW29" i="10" s="1"/>
  <c r="F8" i="10"/>
  <c r="G8" i="10" s="1"/>
  <c r="DG24" i="10"/>
  <c r="DH24" i="10" s="1"/>
  <c r="F9" i="10"/>
  <c r="G9" i="10" s="1"/>
  <c r="DG31" i="10"/>
  <c r="DH31" i="10" s="1"/>
  <c r="F11" i="10"/>
  <c r="G11" i="10" s="1"/>
  <c r="CV21" i="10"/>
  <c r="CW21" i="10" s="1"/>
  <c r="DG26" i="10"/>
  <c r="DH26" i="10" s="1"/>
  <c r="CK19" i="10"/>
  <c r="CL19" i="10" s="1"/>
  <c r="CV14" i="10"/>
  <c r="CW14" i="10" s="1"/>
  <c r="BZ24" i="10"/>
  <c r="CA24" i="10" s="1"/>
  <c r="F15" i="10"/>
  <c r="G15" i="10" s="1"/>
  <c r="CK6" i="10"/>
  <c r="CL6" i="10" s="1"/>
  <c r="AB10" i="10"/>
  <c r="AC10" i="10" s="1"/>
  <c r="AB29" i="10"/>
  <c r="AC29" i="10" s="1"/>
  <c r="F19" i="10"/>
  <c r="G19" i="10" s="1"/>
  <c r="AM16" i="10"/>
  <c r="AN16" i="10" s="1"/>
  <c r="BZ16" i="10"/>
  <c r="CA16" i="10" s="1"/>
  <c r="DG21" i="10"/>
  <c r="DH21" i="10" s="1"/>
  <c r="AM5" i="10"/>
  <c r="AN5" i="10" s="1"/>
  <c r="F13" i="10"/>
  <c r="G13" i="10" s="1"/>
  <c r="AB16" i="10"/>
  <c r="AC16" i="10" s="1"/>
  <c r="CK21" i="10"/>
  <c r="CL21" i="10" s="1"/>
  <c r="CV25" i="10"/>
  <c r="CW25" i="10" s="1"/>
  <c r="CV26" i="10"/>
  <c r="CW26" i="10" s="1"/>
  <c r="F21" i="10"/>
  <c r="G21" i="10" s="1"/>
  <c r="AB8" i="10"/>
  <c r="AC8" i="10" s="1"/>
  <c r="AB9" i="10"/>
  <c r="AC9" i="10" s="1"/>
  <c r="CK10" i="10"/>
  <c r="CL10" i="10" s="1"/>
  <c r="AB30" i="10"/>
  <c r="AC30" i="10" s="1"/>
  <c r="CK25" i="10"/>
  <c r="CL25" i="10" s="1"/>
  <c r="DG33" i="10"/>
  <c r="DH33" i="10" s="1"/>
  <c r="F5" i="10"/>
  <c r="G5" i="10" s="1"/>
  <c r="CV3" i="10"/>
  <c r="CK33" i="10"/>
  <c r="CL33" i="10" s="1"/>
  <c r="F18" i="10"/>
  <c r="G18" i="10" s="1"/>
  <c r="BZ26" i="10"/>
  <c r="CA26" i="10" s="1"/>
  <c r="F20" i="10"/>
  <c r="G20" i="10" s="1"/>
  <c r="CK7" i="10"/>
  <c r="CL7" i="10" s="1"/>
  <c r="AM25" i="10"/>
  <c r="AN25" i="10" s="1"/>
  <c r="AM13" i="10"/>
  <c r="AN13" i="10" s="1"/>
  <c r="AM22" i="10"/>
  <c r="AN22" i="10" s="1"/>
  <c r="BZ32" i="10"/>
  <c r="CA32" i="10" s="1"/>
  <c r="CK32" i="10"/>
  <c r="CL32" i="10" s="1"/>
  <c r="AB3" i="10"/>
  <c r="AM3" i="10"/>
  <c r="AB12" i="10"/>
  <c r="AC12" i="10" s="1"/>
  <c r="F25" i="10"/>
  <c r="G25" i="10" s="1"/>
  <c r="DG7" i="10"/>
  <c r="DH7" i="10" s="1"/>
  <c r="DG30" i="10"/>
  <c r="DH30" i="10" s="1"/>
  <c r="F22" i="10"/>
  <c r="G22" i="10" s="1"/>
  <c r="CK11" i="10"/>
  <c r="CL11" i="10" s="1"/>
  <c r="CK17" i="10"/>
  <c r="CL17" i="10" s="1"/>
  <c r="F29" i="10"/>
  <c r="G29" i="10" s="1"/>
  <c r="F3" i="10"/>
  <c r="BZ15" i="10"/>
  <c r="AB33" i="10"/>
  <c r="AC33" i="10" s="1"/>
  <c r="DG22" i="10"/>
  <c r="DH22" i="10" s="1"/>
  <c r="AM26" i="10"/>
  <c r="AN26" i="10" s="1"/>
  <c r="AB4" i="10"/>
  <c r="AC4" i="10" s="1"/>
  <c r="AB5" i="10"/>
  <c r="AC5" i="10" s="1"/>
  <c r="DG23" i="10"/>
  <c r="DH23" i="10" s="1"/>
  <c r="CV27" i="10"/>
  <c r="CW27" i="10" s="1"/>
  <c r="CV31" i="10"/>
  <c r="CW31" i="10" s="1"/>
  <c r="DG3" i="10"/>
  <c r="EZ4" i="10"/>
  <c r="Q3" i="10"/>
  <c r="DG13" i="10"/>
  <c r="DH13" i="10" s="1"/>
  <c r="AM7" i="10"/>
  <c r="AN7" i="10" s="1"/>
  <c r="F7" i="10"/>
  <c r="G7" i="10" s="1"/>
  <c r="CK24" i="10"/>
  <c r="CL24" i="10" s="1"/>
  <c r="F16" i="10"/>
  <c r="G16" i="10" s="1"/>
  <c r="AB20" i="10"/>
  <c r="AC20" i="10" s="1"/>
  <c r="DG5" i="10"/>
  <c r="DH5" i="10" s="1"/>
  <c r="CK3" i="10"/>
  <c r="AM4" i="10"/>
  <c r="AN4" i="10" s="1"/>
  <c r="BZ30" i="10"/>
  <c r="CA30" i="10" s="1"/>
  <c r="FB3" i="15" l="1"/>
  <c r="FF3" i="15" s="1"/>
  <c r="FJ3" i="15" s="1"/>
  <c r="FL3" i="15" s="1"/>
  <c r="V8" i="12"/>
  <c r="ER11" i="13" s="1"/>
  <c r="U7" i="12"/>
  <c r="U7" i="14"/>
  <c r="V8" i="14"/>
  <c r="ER11" i="15" s="1"/>
  <c r="FH58" i="15"/>
  <c r="FA4" i="15"/>
  <c r="FB4" i="15" s="1"/>
  <c r="FA3" i="13"/>
  <c r="F37" i="15"/>
  <c r="D44" i="15" s="1"/>
  <c r="G3" i="15"/>
  <c r="G37" i="15" s="1"/>
  <c r="BZ37" i="15"/>
  <c r="D52" i="15" s="1"/>
  <c r="CA15" i="15"/>
  <c r="CA37" i="15" s="1"/>
  <c r="DH3" i="15"/>
  <c r="DH37" i="15" s="1"/>
  <c r="DG37" i="15"/>
  <c r="D55" i="15" s="1"/>
  <c r="AB37" i="15"/>
  <c r="D46" i="15" s="1"/>
  <c r="AC3" i="15"/>
  <c r="AC37" i="15" s="1"/>
  <c r="CK37" i="15"/>
  <c r="D53" i="15" s="1"/>
  <c r="CL3" i="15"/>
  <c r="CL37" i="15" s="1"/>
  <c r="R3" i="15"/>
  <c r="R37" i="15" s="1"/>
  <c r="Q37" i="15"/>
  <c r="D45" i="15" s="1"/>
  <c r="AM37" i="15"/>
  <c r="AN3" i="15"/>
  <c r="AN37" i="15" s="1"/>
  <c r="E47" i="15" s="1"/>
  <c r="CW3" i="15"/>
  <c r="CW37" i="15" s="1"/>
  <c r="CV37" i="15"/>
  <c r="D54" i="15" s="1"/>
  <c r="BZ37" i="10"/>
  <c r="D52" i="10" s="1"/>
  <c r="CA15" i="10"/>
  <c r="CA37" i="10" s="1"/>
  <c r="AM37" i="13"/>
  <c r="AN3" i="13"/>
  <c r="AN37" i="13" s="1"/>
  <c r="EZ58" i="13"/>
  <c r="EZ48" i="13"/>
  <c r="FD4" i="13"/>
  <c r="FE4" i="13" s="1"/>
  <c r="F37" i="10"/>
  <c r="D44" i="10" s="1"/>
  <c r="G3" i="10"/>
  <c r="G37" i="10" s="1"/>
  <c r="CL3" i="13"/>
  <c r="CL37" i="13" s="1"/>
  <c r="CK37" i="13"/>
  <c r="D53" i="13" s="1"/>
  <c r="CW3" i="6"/>
  <c r="CW37" i="6" s="1"/>
  <c r="CV37" i="6"/>
  <c r="D54" i="6" s="1"/>
  <c r="EZ48" i="10"/>
  <c r="EZ47" i="10" s="1"/>
  <c r="FB47" i="10" s="1"/>
  <c r="FD3" i="10" s="1"/>
  <c r="EZ58" i="10"/>
  <c r="AM37" i="10"/>
  <c r="AN3" i="10"/>
  <c r="AN37" i="10" s="1"/>
  <c r="CV37" i="10"/>
  <c r="D54" i="10" s="1"/>
  <c r="CW3" i="10"/>
  <c r="CW37" i="10" s="1"/>
  <c r="N99" i="3"/>
  <c r="N87" i="3"/>
  <c r="N88" i="3" s="1"/>
  <c r="CL3" i="6"/>
  <c r="CL37" i="6" s="1"/>
  <c r="CK37" i="6"/>
  <c r="D53" i="6" s="1"/>
  <c r="DG37" i="6"/>
  <c r="D55" i="6" s="1"/>
  <c r="DH3" i="6"/>
  <c r="DH37" i="6" s="1"/>
  <c r="CA15" i="6"/>
  <c r="CA37" i="6" s="1"/>
  <c r="BZ37" i="6"/>
  <c r="D52" i="6" s="1"/>
  <c r="AB37" i="13"/>
  <c r="D46" i="13" s="1"/>
  <c r="AC3" i="13"/>
  <c r="AC37" i="13" s="1"/>
  <c r="AC3" i="6"/>
  <c r="AC37" i="6" s="1"/>
  <c r="AB37" i="6"/>
  <c r="D46" i="6" s="1"/>
  <c r="AM37" i="6"/>
  <c r="AN3" i="6"/>
  <c r="AN37" i="6" s="1"/>
  <c r="CW3" i="13"/>
  <c r="CW37" i="13" s="1"/>
  <c r="CV37" i="13"/>
  <c r="D54" i="13" s="1"/>
  <c r="CA15" i="13"/>
  <c r="CA37" i="13" s="1"/>
  <c r="BZ37" i="13"/>
  <c r="D52" i="13" s="1"/>
  <c r="CL3" i="10"/>
  <c r="CL37" i="10" s="1"/>
  <c r="CK37" i="10"/>
  <c r="D53" i="10" s="1"/>
  <c r="Q37" i="10"/>
  <c r="D45" i="10" s="1"/>
  <c r="R3" i="10"/>
  <c r="R37" i="10" s="1"/>
  <c r="Q37" i="6"/>
  <c r="D45" i="6" s="1"/>
  <c r="R3" i="6"/>
  <c r="R37" i="6" s="1"/>
  <c r="DH3" i="10"/>
  <c r="DH37" i="10" s="1"/>
  <c r="DG37" i="10"/>
  <c r="D55" i="10" s="1"/>
  <c r="AB37" i="10"/>
  <c r="D46" i="10" s="1"/>
  <c r="AC3" i="10"/>
  <c r="AC37" i="10" s="1"/>
  <c r="F37" i="13"/>
  <c r="D44" i="13" s="1"/>
  <c r="G3" i="13"/>
  <c r="G37" i="13" s="1"/>
  <c r="G3" i="6"/>
  <c r="G37" i="6" s="1"/>
  <c r="F37" i="6"/>
  <c r="D44" i="6" s="1"/>
  <c r="EZ48" i="6"/>
  <c r="EZ47" i="6" s="1"/>
  <c r="FB47" i="6" s="1"/>
  <c r="EZ58" i="6"/>
  <c r="R3" i="13"/>
  <c r="R37" i="13" s="1"/>
  <c r="Q37" i="13"/>
  <c r="D45" i="13" s="1"/>
  <c r="DH3" i="13"/>
  <c r="DH37" i="13" s="1"/>
  <c r="DG37" i="13"/>
  <c r="D55" i="13" s="1"/>
  <c r="FD14" i="15" l="1"/>
  <c r="FD16" i="15" s="1"/>
  <c r="FB3" i="13"/>
  <c r="FF3" i="13" s="1"/>
  <c r="V7" i="12"/>
  <c r="ER10" i="13" s="1"/>
  <c r="FB6" i="13" s="1"/>
  <c r="U6" i="12"/>
  <c r="U5" i="12" s="1"/>
  <c r="U4" i="12" s="1"/>
  <c r="U3" i="12" s="1"/>
  <c r="U2" i="12" s="1"/>
  <c r="U6" i="14"/>
  <c r="V7" i="14"/>
  <c r="ER10" i="15" s="1"/>
  <c r="G87" i="4"/>
  <c r="FF4" i="15"/>
  <c r="EZ47" i="13"/>
  <c r="FB47" i="13" s="1"/>
  <c r="EZ47" i="15"/>
  <c r="FB47" i="15" s="1"/>
  <c r="FC4" i="15"/>
  <c r="E45" i="15"/>
  <c r="I45" i="15" s="1"/>
  <c r="P37" i="15"/>
  <c r="E55" i="15"/>
  <c r="I55" i="15" s="1"/>
  <c r="DF37" i="15"/>
  <c r="E46" i="15"/>
  <c r="I46" i="15" s="1"/>
  <c r="AA37" i="15"/>
  <c r="E52" i="15"/>
  <c r="I52" i="15" s="1"/>
  <c r="BY37" i="15"/>
  <c r="AL37" i="15"/>
  <c r="D47" i="15" s="1"/>
  <c r="I47" i="15" s="1"/>
  <c r="E54" i="15"/>
  <c r="I54" i="15" s="1"/>
  <c r="CU37" i="15"/>
  <c r="E53" i="15"/>
  <c r="I53" i="15" s="1"/>
  <c r="CJ37" i="15"/>
  <c r="E37" i="15"/>
  <c r="E44" i="15"/>
  <c r="I44" i="15" s="1"/>
  <c r="FF58" i="6"/>
  <c r="FF4" i="6" s="1"/>
  <c r="FC4" i="6" s="1"/>
  <c r="FD4" i="6" s="1"/>
  <c r="FB58" i="6"/>
  <c r="FA4" i="6" s="1"/>
  <c r="FB4" i="6" s="1"/>
  <c r="BY37" i="13"/>
  <c r="E52" i="13"/>
  <c r="I52" i="13" s="1"/>
  <c r="AA37" i="13"/>
  <c r="E46" i="13"/>
  <c r="I46" i="13" s="1"/>
  <c r="E47" i="10"/>
  <c r="AL37" i="10"/>
  <c r="D47" i="10" s="1"/>
  <c r="CJ37" i="13"/>
  <c r="E53" i="13"/>
  <c r="I53" i="13" s="1"/>
  <c r="E45" i="6"/>
  <c r="I45" i="6" s="1"/>
  <c r="P37" i="6"/>
  <c r="E52" i="10"/>
  <c r="I52" i="10" s="1"/>
  <c r="BY37" i="10"/>
  <c r="E44" i="13"/>
  <c r="I44" i="13" s="1"/>
  <c r="E37" i="13"/>
  <c r="P37" i="13"/>
  <c r="E45" i="13"/>
  <c r="I45" i="13" s="1"/>
  <c r="E55" i="10"/>
  <c r="I55" i="10" s="1"/>
  <c r="DF37" i="10"/>
  <c r="E46" i="6"/>
  <c r="I46" i="6" s="1"/>
  <c r="AA37" i="6"/>
  <c r="BY37" i="6"/>
  <c r="E52" i="6"/>
  <c r="I52" i="6" s="1"/>
  <c r="CJ37" i="6"/>
  <c r="E53" i="6"/>
  <c r="I53" i="6" s="1"/>
  <c r="FE3" i="10"/>
  <c r="FG3" i="10"/>
  <c r="FH3" i="10" s="1"/>
  <c r="E37" i="10"/>
  <c r="E44" i="10"/>
  <c r="I44" i="10" s="1"/>
  <c r="E46" i="10"/>
  <c r="I46" i="10" s="1"/>
  <c r="AA37" i="10"/>
  <c r="E47" i="6"/>
  <c r="AL37" i="6"/>
  <c r="D47" i="6" s="1"/>
  <c r="DF37" i="6"/>
  <c r="E55" i="6"/>
  <c r="I55" i="6" s="1"/>
  <c r="E55" i="13"/>
  <c r="I55" i="13" s="1"/>
  <c r="DF37" i="13"/>
  <c r="E44" i="6"/>
  <c r="I44" i="6" s="1"/>
  <c r="E37" i="6"/>
  <c r="CJ37" i="10"/>
  <c r="E53" i="10"/>
  <c r="I53" i="10" s="1"/>
  <c r="FH58" i="13"/>
  <c r="FB58" i="13"/>
  <c r="FA4" i="13" s="1"/>
  <c r="FB4" i="13" s="1"/>
  <c r="FF4" i="13" s="1"/>
  <c r="E45" i="10"/>
  <c r="I45" i="10" s="1"/>
  <c r="P37" i="10"/>
  <c r="E54" i="13"/>
  <c r="I54" i="13" s="1"/>
  <c r="CU37" i="13"/>
  <c r="CU37" i="10"/>
  <c r="E54" i="10"/>
  <c r="I54" i="10" s="1"/>
  <c r="FB58" i="10"/>
  <c r="FA4" i="10" s="1"/>
  <c r="FB4" i="10" s="1"/>
  <c r="FF58" i="10"/>
  <c r="FF4" i="10" s="1"/>
  <c r="FC4" i="10" s="1"/>
  <c r="FD4" i="10" s="1"/>
  <c r="CU37" i="6"/>
  <c r="E54" i="6"/>
  <c r="I54" i="6" s="1"/>
  <c r="E47" i="13"/>
  <c r="AL37" i="13"/>
  <c r="D47" i="13" s="1"/>
  <c r="E57" i="15" l="1"/>
  <c r="U5" i="14"/>
  <c r="V6" i="14"/>
  <c r="ER9" i="15" s="1"/>
  <c r="FG4" i="13"/>
  <c r="FJ4" i="15"/>
  <c r="FL4" i="15" s="1"/>
  <c r="D56" i="15"/>
  <c r="R98" i="4" s="1"/>
  <c r="E41" i="15"/>
  <c r="I47" i="13"/>
  <c r="D56" i="13" s="1"/>
  <c r="R63" i="4" s="1"/>
  <c r="FI3" i="10"/>
  <c r="G51" i="4"/>
  <c r="FE4" i="10"/>
  <c r="FG4" i="10"/>
  <c r="FJ4" i="10" s="1"/>
  <c r="E41" i="6"/>
  <c r="FC4" i="13"/>
  <c r="I47" i="6"/>
  <c r="D56" i="6" s="1"/>
  <c r="E41" i="13"/>
  <c r="I47" i="10"/>
  <c r="D56" i="10" s="1"/>
  <c r="E41" i="10"/>
  <c r="FE4" i="6"/>
  <c r="FG4" i="6"/>
  <c r="FJ4" i="6" s="1"/>
  <c r="U4" i="14" l="1"/>
  <c r="V5" i="14"/>
  <c r="ER8" i="15" s="1"/>
  <c r="FL5" i="15"/>
  <c r="FJ3" i="13"/>
  <c r="FL3" i="13" s="1"/>
  <c r="U3" i="14" l="1"/>
  <c r="V4" i="14"/>
  <c r="ER7" i="15" s="1"/>
  <c r="FJ4" i="13"/>
  <c r="FL4" i="13" s="1"/>
  <c r="U2" i="14" l="1"/>
  <c r="V2" i="14" s="1"/>
  <c r="ER5" i="15" s="1"/>
  <c r="FB6" i="15" s="1"/>
  <c r="V3" i="14"/>
  <c r="ER6" i="15" s="1"/>
  <c r="FL5" i="13"/>
  <c r="V6" i="9"/>
  <c r="V18" i="9"/>
  <c r="V24" i="9"/>
  <c r="V10" i="9"/>
  <c r="R60" i="9"/>
  <c r="S60" i="9" s="1"/>
  <c r="FH6" i="6"/>
  <c r="FI6" i="6" s="1"/>
  <c r="FI9" i="6" s="1"/>
  <c r="Z60" i="9"/>
  <c r="AA60" i="9" s="1"/>
  <c r="V20" i="9"/>
  <c r="V13" i="9"/>
  <c r="V22" i="9"/>
  <c r="R63" i="9"/>
  <c r="S63" i="9" s="1"/>
  <c r="V25" i="9"/>
  <c r="V12" i="9"/>
  <c r="Z64" i="9"/>
  <c r="AA64" i="9" s="1"/>
  <c r="R64" i="9"/>
  <c r="S64" i="9" s="1"/>
  <c r="V7" i="9"/>
  <c r="Z58" i="9"/>
  <c r="AA58" i="9" s="1"/>
  <c r="FH6" i="10"/>
  <c r="FI6" i="10" s="1"/>
  <c r="FI9" i="10" s="1"/>
  <c r="V9" i="9"/>
  <c r="V23" i="9"/>
  <c r="V21" i="9"/>
  <c r="V19" i="9"/>
  <c r="V8" i="9"/>
  <c r="R62" i="9"/>
  <c r="S62" i="9" s="1"/>
  <c r="Z61" i="9"/>
  <c r="AA61" i="9" s="1"/>
  <c r="R58" i="9"/>
  <c r="S58" i="9" s="1"/>
  <c r="Z59" i="9"/>
  <c r="AA59" i="9" s="1"/>
  <c r="V11" i="9"/>
  <c r="R59" i="9"/>
  <c r="S59" i="9" s="1"/>
  <c r="Z63" i="9"/>
  <c r="AA63" i="9" s="1"/>
  <c r="Z62" i="9"/>
  <c r="AA62" i="9" s="1"/>
  <c r="R61" i="9"/>
  <c r="S61" i="9" s="1"/>
  <c r="R66" i="9" l="1"/>
  <c r="R67" i="9" s="1"/>
  <c r="Z66" i="9"/>
  <c r="Z67" i="9" s="1"/>
  <c r="DK33" i="15" l="1"/>
  <c r="DL33" i="15" s="1"/>
  <c r="CO32" i="15"/>
  <c r="CP32" i="15" s="1"/>
  <c r="CO31" i="15"/>
  <c r="CP31" i="15" s="1"/>
  <c r="U30" i="15"/>
  <c r="V30" i="15" s="1"/>
  <c r="CD29" i="15"/>
  <c r="CE29" i="15" s="1"/>
  <c r="J27" i="15"/>
  <c r="K27" i="15" s="1"/>
  <c r="DK26" i="15"/>
  <c r="DL26" i="15" s="1"/>
  <c r="DK21" i="15"/>
  <c r="DL21" i="15" s="1"/>
  <c r="J20" i="15"/>
  <c r="K20" i="15" s="1"/>
  <c r="U19" i="15"/>
  <c r="V19" i="15" s="1"/>
  <c r="CD18" i="15"/>
  <c r="CE18" i="15" s="1"/>
  <c r="J17" i="15"/>
  <c r="K17" i="15" s="1"/>
  <c r="CZ16" i="15"/>
  <c r="DA16" i="15" s="1"/>
  <c r="U15" i="15"/>
  <c r="V15" i="15" s="1"/>
  <c r="U14" i="15"/>
  <c r="V14" i="15" s="1"/>
  <c r="AF10" i="15"/>
  <c r="AG10" i="15" s="1"/>
  <c r="AF9" i="15"/>
  <c r="AG9" i="15" s="1"/>
  <c r="U8" i="15"/>
  <c r="V8" i="15" s="1"/>
  <c r="AF5" i="15"/>
  <c r="AG5" i="15" s="1"/>
  <c r="DK3" i="15"/>
  <c r="EZ7" i="15"/>
  <c r="J33" i="15"/>
  <c r="K33" i="15" s="1"/>
  <c r="J32" i="15"/>
  <c r="K32" i="15" s="1"/>
  <c r="J31" i="15"/>
  <c r="K31" i="15" s="1"/>
  <c r="J30" i="15"/>
  <c r="K30" i="15" s="1"/>
  <c r="U29" i="15"/>
  <c r="V29" i="15" s="1"/>
  <c r="CD28" i="15"/>
  <c r="CE28" i="15" s="1"/>
  <c r="J26" i="15"/>
  <c r="K26" i="15" s="1"/>
  <c r="DK25" i="15"/>
  <c r="DL25" i="15" s="1"/>
  <c r="DK24" i="15"/>
  <c r="DL24" i="15" s="1"/>
  <c r="DK23" i="15"/>
  <c r="DL23" i="15" s="1"/>
  <c r="J21" i="15"/>
  <c r="K21" i="15" s="1"/>
  <c r="DK20" i="15"/>
  <c r="DL20" i="15" s="1"/>
  <c r="J19" i="15"/>
  <c r="K19" i="15" s="1"/>
  <c r="U18" i="15"/>
  <c r="V18" i="15" s="1"/>
  <c r="DK17" i="15"/>
  <c r="DL17" i="15" s="1"/>
  <c r="U16" i="15"/>
  <c r="V16" i="15" s="1"/>
  <c r="J15" i="15"/>
  <c r="K15" i="15" s="1"/>
  <c r="DK11" i="15"/>
  <c r="DL11" i="15" s="1"/>
  <c r="U10" i="15"/>
  <c r="V10" i="15" s="1"/>
  <c r="U9" i="15"/>
  <c r="V9" i="15" s="1"/>
  <c r="DK8" i="15"/>
  <c r="DL8" i="15" s="1"/>
  <c r="DK7" i="15"/>
  <c r="DL7" i="15" s="1"/>
  <c r="DK6" i="15"/>
  <c r="DL6" i="15" s="1"/>
  <c r="U5" i="15"/>
  <c r="V5" i="15" s="1"/>
  <c r="U3" i="15"/>
  <c r="DK30" i="15"/>
  <c r="DL30" i="15" s="1"/>
  <c r="J29" i="15"/>
  <c r="K29" i="15" s="1"/>
  <c r="J28" i="15"/>
  <c r="K28" i="15" s="1"/>
  <c r="DK27" i="15"/>
  <c r="DL27" i="15" s="1"/>
  <c r="U23" i="15"/>
  <c r="V23" i="15" s="1"/>
  <c r="CZ20" i="15"/>
  <c r="DA20" i="15" s="1"/>
  <c r="DK19" i="15"/>
  <c r="DL19" i="15" s="1"/>
  <c r="J18" i="15"/>
  <c r="K18" i="15" s="1"/>
  <c r="CZ17" i="15"/>
  <c r="DA17" i="15" s="1"/>
  <c r="J16" i="15"/>
  <c r="K16" i="15" s="1"/>
  <c r="DK13" i="15"/>
  <c r="DL13" i="15" s="1"/>
  <c r="DK12" i="15"/>
  <c r="DL12" i="15" s="1"/>
  <c r="AQ11" i="15"/>
  <c r="AR11" i="15" s="1"/>
  <c r="DK10" i="15"/>
  <c r="DL10" i="15" s="1"/>
  <c r="CO8" i="15"/>
  <c r="CP8" i="15" s="1"/>
  <c r="AF7" i="15"/>
  <c r="AG7" i="15" s="1"/>
  <c r="AF6" i="15"/>
  <c r="AG6" i="15" s="1"/>
  <c r="DK4" i="15"/>
  <c r="DL4" i="15" s="1"/>
  <c r="J3" i="15"/>
  <c r="DK32" i="15"/>
  <c r="DL32" i="15" s="1"/>
  <c r="DK31" i="15"/>
  <c r="DL31" i="15" s="1"/>
  <c r="CO30" i="15"/>
  <c r="CP30" i="15" s="1"/>
  <c r="CD27" i="15"/>
  <c r="CE27" i="15" s="1"/>
  <c r="J23" i="15"/>
  <c r="K23" i="15" s="1"/>
  <c r="DK22" i="15"/>
  <c r="DL22" i="15" s="1"/>
  <c r="CD20" i="15"/>
  <c r="CE20" i="15" s="1"/>
  <c r="CZ19" i="15"/>
  <c r="DA19" i="15" s="1"/>
  <c r="CZ18" i="15"/>
  <c r="DA18" i="15" s="1"/>
  <c r="U17" i="15"/>
  <c r="V17" i="15" s="1"/>
  <c r="DK16" i="15"/>
  <c r="DL16" i="15" s="1"/>
  <c r="DK15" i="15"/>
  <c r="DL15" i="15" s="1"/>
  <c r="DK14" i="15"/>
  <c r="DL14" i="15" s="1"/>
  <c r="U13" i="15"/>
  <c r="V13" i="15" s="1"/>
  <c r="U12" i="15"/>
  <c r="V12" i="15" s="1"/>
  <c r="U11" i="15"/>
  <c r="V11" i="15" s="1"/>
  <c r="AQ10" i="15"/>
  <c r="AR10" i="15" s="1"/>
  <c r="DK9" i="15"/>
  <c r="DL9" i="15" s="1"/>
  <c r="AF8" i="15"/>
  <c r="AG8" i="15" s="1"/>
  <c r="U6" i="15"/>
  <c r="V6" i="15" s="1"/>
  <c r="DK5" i="15"/>
  <c r="DL5" i="15" s="1"/>
  <c r="U4" i="15"/>
  <c r="V4" i="15" s="1"/>
  <c r="U7" i="15"/>
  <c r="V7" i="15" s="1"/>
  <c r="AQ7" i="15"/>
  <c r="AR7" i="15" s="1"/>
  <c r="CZ14" i="15"/>
  <c r="DA14" i="15" s="1"/>
  <c r="CO4" i="15"/>
  <c r="CP4" i="15" s="1"/>
  <c r="CO25" i="15"/>
  <c r="CP25" i="15" s="1"/>
  <c r="J13" i="15"/>
  <c r="K13" i="15" s="1"/>
  <c r="AQ21" i="15"/>
  <c r="AR21" i="15" s="1"/>
  <c r="AQ5" i="15"/>
  <c r="AR5" i="15" s="1"/>
  <c r="U20" i="15"/>
  <c r="V20" i="15" s="1"/>
  <c r="CO27" i="15"/>
  <c r="CP27" i="15" s="1"/>
  <c r="CD32" i="15"/>
  <c r="CE32" i="15" s="1"/>
  <c r="J22" i="15"/>
  <c r="K22" i="15" s="1"/>
  <c r="CO23" i="15"/>
  <c r="CP23" i="15" s="1"/>
  <c r="CO19" i="15"/>
  <c r="CP19" i="15" s="1"/>
  <c r="CO20" i="15"/>
  <c r="CP20" i="15" s="1"/>
  <c r="AQ26" i="15"/>
  <c r="AR26" i="15" s="1"/>
  <c r="AF25" i="15"/>
  <c r="AG25" i="15" s="1"/>
  <c r="AF33" i="15"/>
  <c r="AG33" i="15" s="1"/>
  <c r="AF31" i="15"/>
  <c r="AG31" i="15" s="1"/>
  <c r="CZ30" i="15"/>
  <c r="DA30" i="15" s="1"/>
  <c r="J24" i="15"/>
  <c r="K24" i="15" s="1"/>
  <c r="AQ3" i="15"/>
  <c r="CO3" i="15"/>
  <c r="AF23" i="15"/>
  <c r="AG23" i="15" s="1"/>
  <c r="AF29" i="15"/>
  <c r="AG29" i="15" s="1"/>
  <c r="AF11" i="15"/>
  <c r="AG11" i="15" s="1"/>
  <c r="CZ6" i="15"/>
  <c r="DA6" i="15" s="1"/>
  <c r="CZ22" i="15"/>
  <c r="DA22" i="15" s="1"/>
  <c r="CZ10" i="15"/>
  <c r="DA10" i="15" s="1"/>
  <c r="CZ4" i="15"/>
  <c r="DA4" i="15" s="1"/>
  <c r="CZ15" i="15"/>
  <c r="DA15" i="15" s="1"/>
  <c r="AF14" i="15"/>
  <c r="AG14" i="15" s="1"/>
  <c r="AQ6" i="15"/>
  <c r="AR6" i="15" s="1"/>
  <c r="AF22" i="15"/>
  <c r="AG22" i="15" s="1"/>
  <c r="U25" i="15"/>
  <c r="V25" i="15" s="1"/>
  <c r="CD31" i="15"/>
  <c r="CE31" i="15" s="1"/>
  <c r="CO9" i="15"/>
  <c r="CP9" i="15" s="1"/>
  <c r="AF16" i="15"/>
  <c r="AG16" i="15" s="1"/>
  <c r="AF26" i="15"/>
  <c r="AG26" i="15" s="1"/>
  <c r="AQ13" i="15"/>
  <c r="AR13" i="15" s="1"/>
  <c r="CZ24" i="15"/>
  <c r="DA24" i="15" s="1"/>
  <c r="U28" i="15"/>
  <c r="V28" i="15" s="1"/>
  <c r="AQ18" i="15"/>
  <c r="AR18" i="15" s="1"/>
  <c r="CD15" i="15"/>
  <c r="CZ21" i="15"/>
  <c r="DA21" i="15" s="1"/>
  <c r="CO22" i="15"/>
  <c r="CP22" i="15" s="1"/>
  <c r="CO13" i="15"/>
  <c r="CP13" i="15" s="1"/>
  <c r="U21" i="15"/>
  <c r="V21" i="15" s="1"/>
  <c r="CD22" i="15"/>
  <c r="CE22" i="15" s="1"/>
  <c r="CZ9" i="15"/>
  <c r="DA9" i="15" s="1"/>
  <c r="CD21" i="15"/>
  <c r="CE21" i="15" s="1"/>
  <c r="CZ3" i="15"/>
  <c r="CZ26" i="15"/>
  <c r="DA26" i="15" s="1"/>
  <c r="DK29" i="15"/>
  <c r="DL29" i="15" s="1"/>
  <c r="J7" i="15"/>
  <c r="K7" i="15" s="1"/>
  <c r="CO28" i="15"/>
  <c r="CP28" i="15" s="1"/>
  <c r="CO7" i="15"/>
  <c r="CP7" i="15" s="1"/>
  <c r="CO5" i="15"/>
  <c r="CP5" i="15" s="1"/>
  <c r="AQ8" i="15"/>
  <c r="AR8" i="15" s="1"/>
  <c r="AQ17" i="15"/>
  <c r="AR17" i="15" s="1"/>
  <c r="AF20" i="15"/>
  <c r="AG20" i="15" s="1"/>
  <c r="U24" i="15"/>
  <c r="V24" i="15" s="1"/>
  <c r="AQ23" i="15"/>
  <c r="AR23" i="15" s="1"/>
  <c r="J12" i="15"/>
  <c r="K12" i="15" s="1"/>
  <c r="CO6" i="15"/>
  <c r="CP6" i="15" s="1"/>
  <c r="CZ7" i="15"/>
  <c r="DA7" i="15" s="1"/>
  <c r="AF19" i="15"/>
  <c r="AG19" i="15" s="1"/>
  <c r="AF27" i="15"/>
  <c r="AG27" i="15" s="1"/>
  <c r="J6" i="15"/>
  <c r="K6" i="15" s="1"/>
  <c r="CD17" i="15"/>
  <c r="CE17" i="15" s="1"/>
  <c r="AF15" i="15"/>
  <c r="AG15" i="15" s="1"/>
  <c r="CO21" i="15"/>
  <c r="CP21" i="15" s="1"/>
  <c r="AQ19" i="15"/>
  <c r="AR19" i="15" s="1"/>
  <c r="AQ15" i="15"/>
  <c r="AR15" i="15" s="1"/>
  <c r="CO29" i="15"/>
  <c r="CP29" i="15" s="1"/>
  <c r="CO16" i="15"/>
  <c r="CP16" i="15" s="1"/>
  <c r="AQ14" i="15"/>
  <c r="AR14" i="15" s="1"/>
  <c r="U27" i="15"/>
  <c r="V27" i="15" s="1"/>
  <c r="CD25" i="15"/>
  <c r="CE25" i="15" s="1"/>
  <c r="J10" i="15"/>
  <c r="K10" i="15" s="1"/>
  <c r="AF4" i="15"/>
  <c r="AG4" i="15" s="1"/>
  <c r="CO33" i="15"/>
  <c r="CP33" i="15" s="1"/>
  <c r="AQ27" i="15"/>
  <c r="AR27" i="15" s="1"/>
  <c r="CD24" i="15"/>
  <c r="CE24" i="15" s="1"/>
  <c r="AF30" i="15"/>
  <c r="AG30" i="15" s="1"/>
  <c r="CD19" i="15"/>
  <c r="CE19" i="15" s="1"/>
  <c r="CZ23" i="15"/>
  <c r="DA23" i="15" s="1"/>
  <c r="AQ24" i="15"/>
  <c r="AR24" i="15" s="1"/>
  <c r="J11" i="15"/>
  <c r="K11" i="15" s="1"/>
  <c r="CO11" i="15"/>
  <c r="CP11" i="15" s="1"/>
  <c r="AQ25" i="15"/>
  <c r="AR25" i="15" s="1"/>
  <c r="CZ8" i="15"/>
  <c r="DA8" i="15" s="1"/>
  <c r="CZ13" i="15"/>
  <c r="DA13" i="15" s="1"/>
  <c r="CD23" i="15"/>
  <c r="CE23" i="15" s="1"/>
  <c r="CO24" i="15"/>
  <c r="CP24" i="15" s="1"/>
  <c r="CD26" i="15"/>
  <c r="CE26" i="15" s="1"/>
  <c r="CZ25" i="15"/>
  <c r="DA25" i="15" s="1"/>
  <c r="J9" i="15"/>
  <c r="K9" i="15" s="1"/>
  <c r="AQ12" i="15"/>
  <c r="AR12" i="15" s="1"/>
  <c r="AF17" i="15"/>
  <c r="AG17" i="15" s="1"/>
  <c r="AQ22" i="15"/>
  <c r="AR22" i="15" s="1"/>
  <c r="DK28" i="15"/>
  <c r="DL28" i="15" s="1"/>
  <c r="AF12" i="15"/>
  <c r="AG12" i="15" s="1"/>
  <c r="AQ4" i="15"/>
  <c r="AR4" i="15" s="1"/>
  <c r="AF18" i="15"/>
  <c r="AG18" i="15" s="1"/>
  <c r="AF32" i="15"/>
  <c r="AG32" i="15" s="1"/>
  <c r="CD30" i="15"/>
  <c r="CE30" i="15" s="1"/>
  <c r="U22" i="15"/>
  <c r="V22" i="15" s="1"/>
  <c r="AQ9" i="15"/>
  <c r="AR9" i="15" s="1"/>
  <c r="CZ29" i="15"/>
  <c r="DA29" i="15" s="1"/>
  <c r="CO17" i="15"/>
  <c r="CP17" i="15" s="1"/>
  <c r="CZ32" i="15"/>
  <c r="DA32" i="15" s="1"/>
  <c r="CO26" i="15"/>
  <c r="CP26" i="15" s="1"/>
  <c r="J4" i="15"/>
  <c r="K4" i="15" s="1"/>
  <c r="U31" i="15"/>
  <c r="V31" i="15" s="1"/>
  <c r="J5" i="15"/>
  <c r="K5" i="15" s="1"/>
  <c r="CO12" i="15"/>
  <c r="CP12" i="15" s="1"/>
  <c r="U26" i="15"/>
  <c r="V26" i="15" s="1"/>
  <c r="J8" i="15"/>
  <c r="K8" i="15" s="1"/>
  <c r="CO14" i="15"/>
  <c r="CP14" i="15" s="1"/>
  <c r="AQ16" i="15"/>
  <c r="AR16" i="15" s="1"/>
  <c r="CZ28" i="15"/>
  <c r="DA28" i="15" s="1"/>
  <c r="CO10" i="15"/>
  <c r="CP10" i="15" s="1"/>
  <c r="CO15" i="15"/>
  <c r="CP15" i="15" s="1"/>
  <c r="CO18" i="15"/>
  <c r="CP18" i="15" s="1"/>
  <c r="DK18" i="15"/>
  <c r="DL18" i="15" s="1"/>
  <c r="AF21" i="15"/>
  <c r="AG21" i="15" s="1"/>
  <c r="CZ27" i="15"/>
  <c r="DA27" i="15" s="1"/>
  <c r="CZ12" i="15"/>
  <c r="DA12" i="15" s="1"/>
  <c r="CD16" i="15"/>
  <c r="CE16" i="15" s="1"/>
  <c r="AF13" i="15"/>
  <c r="AG13" i="15" s="1"/>
  <c r="AQ20" i="15"/>
  <c r="AR20" i="15" s="1"/>
  <c r="AF28" i="15"/>
  <c r="AG28" i="15" s="1"/>
  <c r="CZ31" i="15"/>
  <c r="DA31" i="15" s="1"/>
  <c r="CZ11" i="15"/>
  <c r="DA11" i="15" s="1"/>
  <c r="AQ28" i="15"/>
  <c r="AR28" i="15" s="1"/>
  <c r="J25" i="15"/>
  <c r="K25" i="15" s="1"/>
  <c r="AF24" i="15"/>
  <c r="AG24" i="15" s="1"/>
  <c r="CZ5" i="15"/>
  <c r="DA5" i="15" s="1"/>
  <c r="AF3" i="15"/>
  <c r="J14" i="15"/>
  <c r="K14" i="15" s="1"/>
  <c r="DK7" i="13"/>
  <c r="DL7" i="13" s="1"/>
  <c r="U24" i="6"/>
  <c r="V24" i="6" s="1"/>
  <c r="CO4" i="13"/>
  <c r="CP4" i="13" s="1"/>
  <c r="AF14" i="6"/>
  <c r="AG14" i="6" s="1"/>
  <c r="CO8" i="6"/>
  <c r="CP8" i="6" s="1"/>
  <c r="CO22" i="13"/>
  <c r="CP22" i="13" s="1"/>
  <c r="AF31" i="6"/>
  <c r="AG31" i="6" s="1"/>
  <c r="DK6" i="6"/>
  <c r="DL6" i="6" s="1"/>
  <c r="AQ15" i="13"/>
  <c r="AR15" i="13" s="1"/>
  <c r="CZ10" i="13"/>
  <c r="DA10" i="13" s="1"/>
  <c r="CD17" i="6"/>
  <c r="CE17" i="6" s="1"/>
  <c r="CZ23" i="13"/>
  <c r="DA23" i="13" s="1"/>
  <c r="CO13" i="13"/>
  <c r="CP13" i="13" s="1"/>
  <c r="U19" i="13"/>
  <c r="V19" i="13" s="1"/>
  <c r="U12" i="13"/>
  <c r="V12" i="13" s="1"/>
  <c r="J11" i="13"/>
  <c r="K11" i="13" s="1"/>
  <c r="CZ4" i="13"/>
  <c r="DA4" i="13" s="1"/>
  <c r="AF7" i="13"/>
  <c r="AG7" i="13" s="1"/>
  <c r="CZ8" i="13"/>
  <c r="DA8" i="13" s="1"/>
  <c r="AF5" i="6"/>
  <c r="AG5" i="6" s="1"/>
  <c r="AQ18" i="13"/>
  <c r="AR18" i="13" s="1"/>
  <c r="AF21" i="13"/>
  <c r="AG21" i="13" s="1"/>
  <c r="DK14" i="6"/>
  <c r="DL14" i="6" s="1"/>
  <c r="AQ26" i="6"/>
  <c r="AR26" i="6" s="1"/>
  <c r="AQ15" i="6"/>
  <c r="AR15" i="6" s="1"/>
  <c r="CO15" i="6"/>
  <c r="CP15" i="6" s="1"/>
  <c r="AF24" i="6"/>
  <c r="AG24" i="6" s="1"/>
  <c r="J5" i="13"/>
  <c r="K5" i="13" s="1"/>
  <c r="DK28" i="13"/>
  <c r="DL28" i="13" s="1"/>
  <c r="CZ26" i="13"/>
  <c r="DA26" i="13" s="1"/>
  <c r="J15" i="13"/>
  <c r="K15" i="13" s="1"/>
  <c r="CD20" i="6"/>
  <c r="CE20" i="6" s="1"/>
  <c r="CO25" i="6"/>
  <c r="CP25" i="6" s="1"/>
  <c r="AQ22" i="13"/>
  <c r="AR22" i="13" s="1"/>
  <c r="J26" i="13"/>
  <c r="K26" i="13" s="1"/>
  <c r="AQ10" i="13"/>
  <c r="AR10" i="13" s="1"/>
  <c r="J30" i="13"/>
  <c r="K30" i="13" s="1"/>
  <c r="U21" i="13"/>
  <c r="V21" i="13" s="1"/>
  <c r="DK17" i="6"/>
  <c r="DL17" i="6" s="1"/>
  <c r="U10" i="6"/>
  <c r="V10" i="6" s="1"/>
  <c r="AF6" i="13"/>
  <c r="AG6" i="13" s="1"/>
  <c r="J28" i="13"/>
  <c r="K28" i="13" s="1"/>
  <c r="CZ5" i="13"/>
  <c r="DA5" i="13" s="1"/>
  <c r="AF4" i="13"/>
  <c r="AG4" i="13" s="1"/>
  <c r="CZ4" i="6"/>
  <c r="DA4" i="6" s="1"/>
  <c r="AF9" i="13"/>
  <c r="AG9" i="13" s="1"/>
  <c r="CO14" i="13"/>
  <c r="CP14" i="13" s="1"/>
  <c r="AQ16" i="13"/>
  <c r="AR16" i="13" s="1"/>
  <c r="CO5" i="6"/>
  <c r="CP5" i="6" s="1"/>
  <c r="AQ24" i="13"/>
  <c r="AR24" i="13" s="1"/>
  <c r="AF22" i="13"/>
  <c r="AG22" i="13" s="1"/>
  <c r="CZ25" i="13"/>
  <c r="DA25" i="13" s="1"/>
  <c r="AF27" i="6"/>
  <c r="AG27" i="6" s="1"/>
  <c r="AF8" i="13"/>
  <c r="AG8" i="13" s="1"/>
  <c r="CO31" i="13"/>
  <c r="CP31" i="13" s="1"/>
  <c r="J23" i="6"/>
  <c r="K23" i="6" s="1"/>
  <c r="AQ22" i="6"/>
  <c r="AR22" i="6" s="1"/>
  <c r="AF13" i="6"/>
  <c r="AG13" i="6" s="1"/>
  <c r="CD23" i="6"/>
  <c r="CE23" i="6" s="1"/>
  <c r="CZ26" i="6"/>
  <c r="DA26" i="6" s="1"/>
  <c r="AQ12" i="13"/>
  <c r="AR12" i="13" s="1"/>
  <c r="DK23" i="6"/>
  <c r="DL23" i="6" s="1"/>
  <c r="AF33" i="6"/>
  <c r="AG33" i="6" s="1"/>
  <c r="DK27" i="6"/>
  <c r="DL27" i="6" s="1"/>
  <c r="AF7" i="6"/>
  <c r="AG7" i="6" s="1"/>
  <c r="J24" i="6"/>
  <c r="K24" i="6" s="1"/>
  <c r="CO12" i="13"/>
  <c r="CP12" i="13" s="1"/>
  <c r="J6" i="6"/>
  <c r="K6" i="6" s="1"/>
  <c r="CZ27" i="6"/>
  <c r="DA27" i="6" s="1"/>
  <c r="DK5" i="6"/>
  <c r="DL5" i="6" s="1"/>
  <c r="U14" i="6"/>
  <c r="V14" i="6" s="1"/>
  <c r="AQ7" i="13"/>
  <c r="AR7" i="13" s="1"/>
  <c r="DK33" i="13"/>
  <c r="DL33" i="13" s="1"/>
  <c r="CD17" i="13"/>
  <c r="CE17" i="13" s="1"/>
  <c r="CZ24" i="6"/>
  <c r="DA24" i="6" s="1"/>
  <c r="U25" i="13"/>
  <c r="V25" i="13" s="1"/>
  <c r="AF6" i="6"/>
  <c r="AG6" i="6" s="1"/>
  <c r="AF21" i="6"/>
  <c r="AG21" i="6" s="1"/>
  <c r="CO17" i="6"/>
  <c r="CP17" i="6" s="1"/>
  <c r="U10" i="13"/>
  <c r="V10" i="13" s="1"/>
  <c r="AF11" i="13"/>
  <c r="AG11" i="13" s="1"/>
  <c r="CZ27" i="13"/>
  <c r="DA27" i="13" s="1"/>
  <c r="U31" i="13"/>
  <c r="V31" i="13" s="1"/>
  <c r="CD22" i="13"/>
  <c r="CE22" i="13" s="1"/>
  <c r="AF22" i="6"/>
  <c r="AG22" i="6" s="1"/>
  <c r="AQ28" i="6"/>
  <c r="AR28" i="6" s="1"/>
  <c r="CZ10" i="6"/>
  <c r="DA10" i="6" s="1"/>
  <c r="CD21" i="13"/>
  <c r="CE21" i="13" s="1"/>
  <c r="CD29" i="6"/>
  <c r="CE29" i="6" s="1"/>
  <c r="AF25" i="6"/>
  <c r="AG25" i="6" s="1"/>
  <c r="CO19" i="6"/>
  <c r="CP19" i="6" s="1"/>
  <c r="CO30" i="6"/>
  <c r="CP30" i="6" s="1"/>
  <c r="CD21" i="6"/>
  <c r="CE21" i="6" s="1"/>
  <c r="AF11" i="6"/>
  <c r="AG11" i="6" s="1"/>
  <c r="AQ17" i="6"/>
  <c r="AR17" i="6" s="1"/>
  <c r="G49" i="4"/>
  <c r="DK16" i="13"/>
  <c r="DL16" i="13" s="1"/>
  <c r="DK24" i="13"/>
  <c r="DL24" i="13" s="1"/>
  <c r="AQ19" i="13"/>
  <c r="AR19" i="13" s="1"/>
  <c r="DK30" i="13"/>
  <c r="DL30" i="13" s="1"/>
  <c r="J32" i="13"/>
  <c r="K32" i="13" s="1"/>
  <c r="AF12" i="13"/>
  <c r="AG12" i="13" s="1"/>
  <c r="J20" i="13"/>
  <c r="K20" i="13" s="1"/>
  <c r="CO18" i="6"/>
  <c r="CP18" i="6" s="1"/>
  <c r="U20" i="6"/>
  <c r="V20" i="6" s="1"/>
  <c r="U20" i="13"/>
  <c r="V20" i="13" s="1"/>
  <c r="U31" i="6"/>
  <c r="V31" i="6" s="1"/>
  <c r="DK22" i="6"/>
  <c r="DL22" i="6" s="1"/>
  <c r="AF31" i="13"/>
  <c r="AG31" i="13" s="1"/>
  <c r="CO14" i="6"/>
  <c r="CP14" i="6" s="1"/>
  <c r="U27" i="6"/>
  <c r="V27" i="6" s="1"/>
  <c r="U22" i="13"/>
  <c r="V22" i="13" s="1"/>
  <c r="J17" i="13"/>
  <c r="K17" i="13" s="1"/>
  <c r="J33" i="13"/>
  <c r="K33" i="13" s="1"/>
  <c r="J6" i="13"/>
  <c r="K6" i="13" s="1"/>
  <c r="AF29" i="13"/>
  <c r="AG29" i="13" s="1"/>
  <c r="AQ21" i="13"/>
  <c r="AR21" i="13" s="1"/>
  <c r="U28" i="6"/>
  <c r="V28" i="6" s="1"/>
  <c r="AF17" i="13"/>
  <c r="AG17" i="13" s="1"/>
  <c r="DK32" i="13"/>
  <c r="DL32" i="13" s="1"/>
  <c r="J10" i="13"/>
  <c r="K10" i="13" s="1"/>
  <c r="AQ11" i="6"/>
  <c r="AR11" i="6" s="1"/>
  <c r="CZ28" i="6"/>
  <c r="DA28" i="6" s="1"/>
  <c r="CZ23" i="6"/>
  <c r="DA23" i="6" s="1"/>
  <c r="AQ18" i="6"/>
  <c r="AR18" i="6" s="1"/>
  <c r="J31" i="13"/>
  <c r="K31" i="13" s="1"/>
  <c r="CZ29" i="13"/>
  <c r="DA29" i="13" s="1"/>
  <c r="DK26" i="6"/>
  <c r="DL26" i="6" s="1"/>
  <c r="DK11" i="6"/>
  <c r="DL11" i="6" s="1"/>
  <c r="CZ15" i="13"/>
  <c r="DA15" i="13" s="1"/>
  <c r="CZ20" i="13"/>
  <c r="DA20" i="13" s="1"/>
  <c r="AF26" i="13"/>
  <c r="AG26" i="13" s="1"/>
  <c r="AQ12" i="6"/>
  <c r="AR12" i="6" s="1"/>
  <c r="DK8" i="6"/>
  <c r="DL8" i="6" s="1"/>
  <c r="DK10" i="13"/>
  <c r="DL10" i="13" s="1"/>
  <c r="CZ30" i="13"/>
  <c r="DA30" i="13" s="1"/>
  <c r="AQ13" i="6"/>
  <c r="AR13" i="6" s="1"/>
  <c r="AF10" i="13"/>
  <c r="AG10" i="13" s="1"/>
  <c r="J33" i="6"/>
  <c r="K33" i="6" s="1"/>
  <c r="J4" i="6"/>
  <c r="K4" i="6" s="1"/>
  <c r="CD31" i="13"/>
  <c r="CE31" i="13" s="1"/>
  <c r="CZ13" i="6"/>
  <c r="DA13" i="6" s="1"/>
  <c r="AQ14" i="6"/>
  <c r="AR14" i="6" s="1"/>
  <c r="CO17" i="13"/>
  <c r="CP17" i="13" s="1"/>
  <c r="AF15" i="13"/>
  <c r="AG15" i="13" s="1"/>
  <c r="CO9" i="6"/>
  <c r="CP9" i="6" s="1"/>
  <c r="CO20" i="6"/>
  <c r="CP20" i="6" s="1"/>
  <c r="CO7" i="6"/>
  <c r="CP7" i="6" s="1"/>
  <c r="J16" i="13"/>
  <c r="K16" i="13" s="1"/>
  <c r="J16" i="6"/>
  <c r="K16" i="6" s="1"/>
  <c r="AQ14" i="13"/>
  <c r="AR14" i="13" s="1"/>
  <c r="DK23" i="13"/>
  <c r="DL23" i="13" s="1"/>
  <c r="CO24" i="6"/>
  <c r="CP24" i="6" s="1"/>
  <c r="DK15" i="13"/>
  <c r="DL15" i="13" s="1"/>
  <c r="CZ14" i="13"/>
  <c r="DA14" i="13" s="1"/>
  <c r="CO9" i="13"/>
  <c r="CP9" i="13" s="1"/>
  <c r="AF8" i="6"/>
  <c r="AG8" i="6" s="1"/>
  <c r="J20" i="6"/>
  <c r="K20" i="6" s="1"/>
  <c r="AQ11" i="13"/>
  <c r="AR11" i="13" s="1"/>
  <c r="J11" i="6"/>
  <c r="K11" i="6" s="1"/>
  <c r="CZ15" i="6"/>
  <c r="DA15" i="6" s="1"/>
  <c r="CO28" i="6"/>
  <c r="CP28" i="6" s="1"/>
  <c r="CO10" i="6"/>
  <c r="CP10" i="6" s="1"/>
  <c r="AF29" i="6"/>
  <c r="AG29" i="6" s="1"/>
  <c r="U13" i="6"/>
  <c r="V13" i="6" s="1"/>
  <c r="AF19" i="13"/>
  <c r="AG19" i="13" s="1"/>
  <c r="AQ5" i="13"/>
  <c r="AR5" i="13" s="1"/>
  <c r="CZ21" i="13"/>
  <c r="DA21" i="13" s="1"/>
  <c r="AF23" i="13"/>
  <c r="AG23" i="13" s="1"/>
  <c r="CO4" i="6"/>
  <c r="CP4" i="6" s="1"/>
  <c r="U22" i="6"/>
  <c r="V22" i="6" s="1"/>
  <c r="AF20" i="13"/>
  <c r="AG20" i="13" s="1"/>
  <c r="CO10" i="13"/>
  <c r="CP10" i="13" s="1"/>
  <c r="U15" i="13"/>
  <c r="V15" i="13" s="1"/>
  <c r="CZ17" i="13"/>
  <c r="DA17" i="13" s="1"/>
  <c r="U7" i="13"/>
  <c r="V7" i="13" s="1"/>
  <c r="J29" i="13"/>
  <c r="K29" i="13" s="1"/>
  <c r="CZ30" i="6"/>
  <c r="DA30" i="6" s="1"/>
  <c r="AF12" i="6"/>
  <c r="AG12" i="6" s="1"/>
  <c r="CZ32" i="6"/>
  <c r="DA32" i="6" s="1"/>
  <c r="CO24" i="13"/>
  <c r="CP24" i="13" s="1"/>
  <c r="AF28" i="13"/>
  <c r="AG28" i="13" s="1"/>
  <c r="J12" i="13"/>
  <c r="K12" i="13" s="1"/>
  <c r="DK9" i="6"/>
  <c r="DL9" i="6" s="1"/>
  <c r="AQ8" i="6"/>
  <c r="AR8" i="6" s="1"/>
  <c r="DK4" i="13"/>
  <c r="DL4" i="13" s="1"/>
  <c r="CO26" i="13"/>
  <c r="CP26" i="13" s="1"/>
  <c r="AF28" i="6"/>
  <c r="AG28" i="6" s="1"/>
  <c r="CO28" i="13"/>
  <c r="CP28" i="13" s="1"/>
  <c r="CZ21" i="6"/>
  <c r="DA21" i="6" s="1"/>
  <c r="CZ18" i="13"/>
  <c r="DA18" i="13" s="1"/>
  <c r="AQ9" i="6"/>
  <c r="AR9" i="6" s="1"/>
  <c r="DK21" i="6"/>
  <c r="DL21" i="6" s="1"/>
  <c r="CD28" i="13"/>
  <c r="CE28" i="13" s="1"/>
  <c r="J21" i="13"/>
  <c r="K21" i="13" s="1"/>
  <c r="AF5" i="13"/>
  <c r="AG5" i="13" s="1"/>
  <c r="CZ16" i="6"/>
  <c r="DA16" i="6" s="1"/>
  <c r="J25" i="13"/>
  <c r="K25" i="13" s="1"/>
  <c r="U15" i="6"/>
  <c r="V15" i="6" s="1"/>
  <c r="U9" i="6"/>
  <c r="V9" i="6" s="1"/>
  <c r="J19" i="6"/>
  <c r="K19" i="6" s="1"/>
  <c r="CD27" i="6"/>
  <c r="CE27" i="6" s="1"/>
  <c r="DK13" i="13"/>
  <c r="DL13" i="13" s="1"/>
  <c r="DK12" i="6"/>
  <c r="DL12" i="6" s="1"/>
  <c r="J28" i="6"/>
  <c r="K28" i="6" s="1"/>
  <c r="CO5" i="13"/>
  <c r="CP5" i="13" s="1"/>
  <c r="CZ14" i="6"/>
  <c r="DA14" i="6" s="1"/>
  <c r="AF20" i="6"/>
  <c r="AG20" i="6" s="1"/>
  <c r="AQ25" i="13"/>
  <c r="AR25" i="13" s="1"/>
  <c r="CZ11" i="13"/>
  <c r="DA11" i="13" s="1"/>
  <c r="CO11" i="6"/>
  <c r="CP11" i="6" s="1"/>
  <c r="J31" i="6"/>
  <c r="K31" i="6" s="1"/>
  <c r="CO32" i="13"/>
  <c r="CP32" i="13" s="1"/>
  <c r="U16" i="6"/>
  <c r="V16" i="6" s="1"/>
  <c r="CZ24" i="13"/>
  <c r="DA24" i="13" s="1"/>
  <c r="AQ10" i="6"/>
  <c r="AR10" i="6" s="1"/>
  <c r="J30" i="6"/>
  <c r="K30" i="6" s="1"/>
  <c r="J18" i="6"/>
  <c r="K18" i="6" s="1"/>
  <c r="DK3" i="13"/>
  <c r="U29" i="13"/>
  <c r="V29" i="13" s="1"/>
  <c r="CO6" i="6"/>
  <c r="CP6" i="6" s="1"/>
  <c r="CO23" i="13"/>
  <c r="CP23" i="13" s="1"/>
  <c r="CZ17" i="6"/>
  <c r="DA17" i="6" s="1"/>
  <c r="AF16" i="13"/>
  <c r="AG16" i="13" s="1"/>
  <c r="CZ19" i="13"/>
  <c r="DA19" i="13" s="1"/>
  <c r="J26" i="6"/>
  <c r="K26" i="6" s="1"/>
  <c r="CO25" i="13"/>
  <c r="CP25" i="13" s="1"/>
  <c r="J9" i="6"/>
  <c r="K9" i="6" s="1"/>
  <c r="CD26" i="6"/>
  <c r="CE26" i="6" s="1"/>
  <c r="AQ20" i="6"/>
  <c r="AR20" i="6" s="1"/>
  <c r="CO11" i="13"/>
  <c r="CP11" i="13" s="1"/>
  <c r="U3" i="6"/>
  <c r="AF3" i="6"/>
  <c r="CO12" i="6"/>
  <c r="CP12" i="6" s="1"/>
  <c r="U4" i="6"/>
  <c r="V4" i="6" s="1"/>
  <c r="J13" i="6"/>
  <c r="K13" i="6" s="1"/>
  <c r="CO33" i="6"/>
  <c r="CP33" i="6" s="1"/>
  <c r="J25" i="6"/>
  <c r="K25" i="6" s="1"/>
  <c r="U6" i="13"/>
  <c r="V6" i="13" s="1"/>
  <c r="J7" i="6"/>
  <c r="K7" i="6" s="1"/>
  <c r="CO19" i="13"/>
  <c r="CP19" i="13" s="1"/>
  <c r="CD25" i="6"/>
  <c r="CE25" i="6" s="1"/>
  <c r="CZ28" i="13"/>
  <c r="DA28" i="13" s="1"/>
  <c r="U14" i="13"/>
  <c r="V14" i="13" s="1"/>
  <c r="AF15" i="6"/>
  <c r="AG15" i="6" s="1"/>
  <c r="CO7" i="13"/>
  <c r="CP7" i="13" s="1"/>
  <c r="AQ20" i="13"/>
  <c r="AR20" i="13" s="1"/>
  <c r="AF30" i="6"/>
  <c r="AG30" i="6" s="1"/>
  <c r="AQ28" i="13"/>
  <c r="AR28" i="13" s="1"/>
  <c r="U16" i="13"/>
  <c r="V16" i="13" s="1"/>
  <c r="J13" i="13"/>
  <c r="K13" i="13" s="1"/>
  <c r="CZ6" i="13"/>
  <c r="DA6" i="13" s="1"/>
  <c r="U11" i="13"/>
  <c r="V11" i="13" s="1"/>
  <c r="DK13" i="6"/>
  <c r="DL13" i="6" s="1"/>
  <c r="CD28" i="6"/>
  <c r="CE28" i="6" s="1"/>
  <c r="U29" i="6"/>
  <c r="V29" i="6" s="1"/>
  <c r="CO13" i="6"/>
  <c r="CP13" i="6" s="1"/>
  <c r="J19" i="13"/>
  <c r="K19" i="13" s="1"/>
  <c r="AQ8" i="13"/>
  <c r="AR8" i="13" s="1"/>
  <c r="CO21" i="6"/>
  <c r="CP21" i="6" s="1"/>
  <c r="CZ7" i="13"/>
  <c r="DA7" i="13" s="1"/>
  <c r="CZ12" i="13"/>
  <c r="DA12" i="13" s="1"/>
  <c r="U8" i="6"/>
  <c r="V8" i="6" s="1"/>
  <c r="CZ9" i="6"/>
  <c r="DA9" i="6" s="1"/>
  <c r="J24" i="13"/>
  <c r="K24" i="13" s="1"/>
  <c r="AQ27" i="13"/>
  <c r="AR27" i="13" s="1"/>
  <c r="DK12" i="13"/>
  <c r="DL12" i="13" s="1"/>
  <c r="AF25" i="13"/>
  <c r="AG25" i="13" s="1"/>
  <c r="CZ13" i="13"/>
  <c r="DA13" i="13" s="1"/>
  <c r="CZ22" i="6"/>
  <c r="DA22" i="6" s="1"/>
  <c r="CD24" i="13"/>
  <c r="CE24" i="13" s="1"/>
  <c r="AQ16" i="6"/>
  <c r="AR16" i="6" s="1"/>
  <c r="CO16" i="13"/>
  <c r="CP16" i="13" s="1"/>
  <c r="AF33" i="13"/>
  <c r="AG33" i="13" s="1"/>
  <c r="DK29" i="6"/>
  <c r="DL29" i="6" s="1"/>
  <c r="CZ5" i="6"/>
  <c r="DA5" i="6" s="1"/>
  <c r="J32" i="6"/>
  <c r="K32" i="6" s="1"/>
  <c r="CO18" i="13"/>
  <c r="CP18" i="13" s="1"/>
  <c r="CZ31" i="13"/>
  <c r="DA31" i="13" s="1"/>
  <c r="J22" i="13"/>
  <c r="K22" i="13" s="1"/>
  <c r="U5" i="13"/>
  <c r="V5" i="13" s="1"/>
  <c r="AF9" i="6"/>
  <c r="AG9" i="6" s="1"/>
  <c r="AF24" i="13"/>
  <c r="AG24" i="13" s="1"/>
  <c r="DK20" i="6"/>
  <c r="DL20" i="6" s="1"/>
  <c r="DK22" i="13"/>
  <c r="DL22" i="13" s="1"/>
  <c r="J21" i="6"/>
  <c r="K21" i="6" s="1"/>
  <c r="AQ24" i="6"/>
  <c r="AR24" i="6" s="1"/>
  <c r="AQ5" i="6"/>
  <c r="AR5" i="6" s="1"/>
  <c r="DK5" i="13"/>
  <c r="DL5" i="13" s="1"/>
  <c r="AQ17" i="13"/>
  <c r="AR17" i="13" s="1"/>
  <c r="DK27" i="13"/>
  <c r="DL27" i="13" s="1"/>
  <c r="AQ27" i="6"/>
  <c r="AR27" i="6" s="1"/>
  <c r="CZ12" i="6"/>
  <c r="DA12" i="6" s="1"/>
  <c r="DK19" i="13"/>
  <c r="DL19" i="13" s="1"/>
  <c r="CO31" i="6"/>
  <c r="CP31" i="6" s="1"/>
  <c r="CZ31" i="6"/>
  <c r="DA31" i="6" s="1"/>
  <c r="AF32" i="6"/>
  <c r="AG32" i="6" s="1"/>
  <c r="AF23" i="6"/>
  <c r="AG23" i="6" s="1"/>
  <c r="DK10" i="6"/>
  <c r="DL10" i="6" s="1"/>
  <c r="J27" i="6"/>
  <c r="K27" i="6" s="1"/>
  <c r="CD32" i="13"/>
  <c r="CE32" i="13" s="1"/>
  <c r="CZ3" i="13"/>
  <c r="DK25" i="6"/>
  <c r="DL25" i="6" s="1"/>
  <c r="U6" i="6"/>
  <c r="V6" i="6" s="1"/>
  <c r="AF30" i="13"/>
  <c r="AG30" i="13" s="1"/>
  <c r="AF26" i="6"/>
  <c r="AG26" i="6" s="1"/>
  <c r="CZ7" i="6"/>
  <c r="DA7" i="6" s="1"/>
  <c r="CD15" i="6"/>
  <c r="DK15" i="6"/>
  <c r="DL15" i="6" s="1"/>
  <c r="CO3" i="13"/>
  <c r="J10" i="6"/>
  <c r="K10" i="6" s="1"/>
  <c r="J3" i="6"/>
  <c r="J5" i="6"/>
  <c r="K5" i="6" s="1"/>
  <c r="J18" i="13"/>
  <c r="K18" i="13" s="1"/>
  <c r="DK3" i="6"/>
  <c r="AQ19" i="6"/>
  <c r="AR19" i="6" s="1"/>
  <c r="CO20" i="13"/>
  <c r="CP20" i="13" s="1"/>
  <c r="U23" i="6"/>
  <c r="V23" i="6" s="1"/>
  <c r="CZ8" i="6"/>
  <c r="DA8" i="6" s="1"/>
  <c r="DK31" i="6"/>
  <c r="DL31" i="6" s="1"/>
  <c r="CZ20" i="6"/>
  <c r="DA20" i="6" s="1"/>
  <c r="U24" i="13"/>
  <c r="V24" i="13" s="1"/>
  <c r="J27" i="13"/>
  <c r="K27" i="13" s="1"/>
  <c r="CD29" i="13"/>
  <c r="CE29" i="13" s="1"/>
  <c r="J4" i="13"/>
  <c r="K4" i="13" s="1"/>
  <c r="CD24" i="6"/>
  <c r="CE24" i="6" s="1"/>
  <c r="DK16" i="6"/>
  <c r="DL16" i="6" s="1"/>
  <c r="CO21" i="13"/>
  <c r="CP21" i="13" s="1"/>
  <c r="AF10" i="6"/>
  <c r="AG10" i="6" s="1"/>
  <c r="AQ6" i="13"/>
  <c r="AR6" i="13" s="1"/>
  <c r="AF18" i="13"/>
  <c r="AG18" i="13" s="1"/>
  <c r="CZ11" i="6"/>
  <c r="DA11" i="6" s="1"/>
  <c r="AF18" i="6"/>
  <c r="AG18" i="6" s="1"/>
  <c r="DK31" i="13"/>
  <c r="DL31" i="13" s="1"/>
  <c r="AF17" i="6"/>
  <c r="AG17" i="6" s="1"/>
  <c r="DK17" i="13"/>
  <c r="DL17" i="13" s="1"/>
  <c r="U21" i="6"/>
  <c r="V21" i="6" s="1"/>
  <c r="CO30" i="13"/>
  <c r="CP30" i="13" s="1"/>
  <c r="J29" i="6"/>
  <c r="K29" i="6" s="1"/>
  <c r="AQ23" i="6"/>
  <c r="AR23" i="6" s="1"/>
  <c r="DK33" i="6"/>
  <c r="DL33" i="6" s="1"/>
  <c r="J15" i="6"/>
  <c r="K15" i="6" s="1"/>
  <c r="DK29" i="13"/>
  <c r="DL29" i="13" s="1"/>
  <c r="CD26" i="13"/>
  <c r="CE26" i="13" s="1"/>
  <c r="CD22" i="6"/>
  <c r="CE22" i="6" s="1"/>
  <c r="DK18" i="6"/>
  <c r="DL18" i="6" s="1"/>
  <c r="CO29" i="13"/>
  <c r="CP29" i="13" s="1"/>
  <c r="AQ9" i="13"/>
  <c r="AR9" i="13" s="1"/>
  <c r="CZ18" i="6"/>
  <c r="DA18" i="6" s="1"/>
  <c r="CO33" i="13"/>
  <c r="CP33" i="13" s="1"/>
  <c r="CO22" i="6"/>
  <c r="CP22" i="6" s="1"/>
  <c r="J14" i="13"/>
  <c r="K14" i="13" s="1"/>
  <c r="CZ29" i="6"/>
  <c r="DA29" i="6" s="1"/>
  <c r="CO27" i="13"/>
  <c r="CP27" i="13" s="1"/>
  <c r="AQ3" i="13"/>
  <c r="U4" i="13"/>
  <c r="V4" i="13" s="1"/>
  <c r="J22" i="6"/>
  <c r="K22" i="6" s="1"/>
  <c r="U30" i="13"/>
  <c r="V30" i="13" s="1"/>
  <c r="CZ32" i="13"/>
  <c r="DA32" i="13" s="1"/>
  <c r="J7" i="13"/>
  <c r="K7" i="13" s="1"/>
  <c r="CD23" i="13"/>
  <c r="CE23" i="13" s="1"/>
  <c r="DK14" i="13"/>
  <c r="DL14" i="13" s="1"/>
  <c r="AQ4" i="13"/>
  <c r="AR4" i="13" s="1"/>
  <c r="J8" i="6"/>
  <c r="K8" i="6" s="1"/>
  <c r="AQ13" i="13"/>
  <c r="AR13" i="13" s="1"/>
  <c r="AQ23" i="13"/>
  <c r="AR23" i="13" s="1"/>
  <c r="J9" i="13"/>
  <c r="K9" i="13" s="1"/>
  <c r="AF32" i="13"/>
  <c r="AG32" i="13" s="1"/>
  <c r="AQ7" i="6"/>
  <c r="AR7" i="6" s="1"/>
  <c r="CZ22" i="13"/>
  <c r="DA22" i="13" s="1"/>
  <c r="EZ7" i="13"/>
  <c r="EZ7" i="6"/>
  <c r="U18" i="6"/>
  <c r="V18" i="6" s="1"/>
  <c r="DK18" i="13"/>
  <c r="DL18" i="13" s="1"/>
  <c r="U23" i="13"/>
  <c r="V23" i="13" s="1"/>
  <c r="U27" i="13"/>
  <c r="V27" i="13" s="1"/>
  <c r="DK6" i="13"/>
  <c r="DL6" i="13" s="1"/>
  <c r="DK4" i="6"/>
  <c r="DL4" i="6" s="1"/>
  <c r="CD16" i="13"/>
  <c r="CE16" i="13" s="1"/>
  <c r="CD20" i="13"/>
  <c r="CE20" i="13" s="1"/>
  <c r="CD31" i="6"/>
  <c r="CE31" i="6" s="1"/>
  <c r="DK25" i="13"/>
  <c r="DL25" i="13" s="1"/>
  <c r="CD30" i="13"/>
  <c r="CE30" i="13" s="1"/>
  <c r="CD30" i="6"/>
  <c r="CE30" i="6" s="1"/>
  <c r="U12" i="6"/>
  <c r="V12" i="6" s="1"/>
  <c r="CO16" i="6"/>
  <c r="CP16" i="6" s="1"/>
  <c r="J14" i="6"/>
  <c r="K14" i="6" s="1"/>
  <c r="CD27" i="13"/>
  <c r="CE27" i="13" s="1"/>
  <c r="DK19" i="6"/>
  <c r="DL19" i="6" s="1"/>
  <c r="CD18" i="6"/>
  <c r="CE18" i="6" s="1"/>
  <c r="AQ21" i="6"/>
  <c r="AR21" i="6" s="1"/>
  <c r="U19" i="6"/>
  <c r="V19" i="6" s="1"/>
  <c r="DK24" i="6"/>
  <c r="DL24" i="6" s="1"/>
  <c r="DK26" i="13"/>
  <c r="DL26" i="13" s="1"/>
  <c r="U28" i="13"/>
  <c r="V28" i="13" s="1"/>
  <c r="CO29" i="6"/>
  <c r="CP29" i="6" s="1"/>
  <c r="AF16" i="6"/>
  <c r="AG16" i="6" s="1"/>
  <c r="DK21" i="13"/>
  <c r="DL21" i="13" s="1"/>
  <c r="AQ6" i="6"/>
  <c r="AR6" i="6" s="1"/>
  <c r="J8" i="13"/>
  <c r="K8" i="13" s="1"/>
  <c r="AF13" i="13"/>
  <c r="AG13" i="13" s="1"/>
  <c r="U25" i="6"/>
  <c r="V25" i="6" s="1"/>
  <c r="U11" i="6"/>
  <c r="V11" i="6" s="1"/>
  <c r="DK32" i="6"/>
  <c r="DL32" i="6" s="1"/>
  <c r="CD19" i="6"/>
  <c r="CE19" i="6" s="1"/>
  <c r="U5" i="6"/>
  <c r="V5" i="6" s="1"/>
  <c r="U9" i="13"/>
  <c r="V9" i="13" s="1"/>
  <c r="CO27" i="6"/>
  <c r="CP27" i="6" s="1"/>
  <c r="DK11" i="13"/>
  <c r="DL11" i="13" s="1"/>
  <c r="U8" i="13"/>
  <c r="V8" i="13" s="1"/>
  <c r="U13" i="13"/>
  <c r="V13" i="13" s="1"/>
  <c r="CZ6" i="6"/>
  <c r="DA6" i="6" s="1"/>
  <c r="AQ25" i="6"/>
  <c r="AR25" i="6" s="1"/>
  <c r="AF3" i="13"/>
  <c r="U26" i="6"/>
  <c r="V26" i="6" s="1"/>
  <c r="AQ26" i="13"/>
  <c r="AR26" i="13" s="1"/>
  <c r="CD15" i="13"/>
  <c r="U3" i="13"/>
  <c r="CO3" i="6"/>
  <c r="AQ4" i="6"/>
  <c r="AR4" i="6" s="1"/>
  <c r="AQ3" i="6"/>
  <c r="CZ19" i="6"/>
  <c r="DA19" i="6" s="1"/>
  <c r="J23" i="13"/>
  <c r="K23" i="13" s="1"/>
  <c r="CD32" i="6"/>
  <c r="CE32" i="6" s="1"/>
  <c r="U18" i="13"/>
  <c r="V18" i="13" s="1"/>
  <c r="AF27" i="13"/>
  <c r="AG27" i="13" s="1"/>
  <c r="U17" i="13"/>
  <c r="V17" i="13" s="1"/>
  <c r="CZ16" i="13"/>
  <c r="DA16" i="13" s="1"/>
  <c r="CO15" i="13"/>
  <c r="CP15" i="13" s="1"/>
  <c r="CO8" i="13"/>
  <c r="CP8" i="13" s="1"/>
  <c r="AB54" i="9"/>
  <c r="CD19" i="13"/>
  <c r="CE19" i="13" s="1"/>
  <c r="DK28" i="6"/>
  <c r="DL28" i="6" s="1"/>
  <c r="CO23" i="6"/>
  <c r="CP23" i="6" s="1"/>
  <c r="AF4" i="6"/>
  <c r="AG4" i="6" s="1"/>
  <c r="J3" i="13"/>
  <c r="CD25" i="13"/>
  <c r="CE25" i="13" s="1"/>
  <c r="U30" i="6"/>
  <c r="V30" i="6" s="1"/>
  <c r="DK8" i="13"/>
  <c r="DL8" i="13" s="1"/>
  <c r="U26" i="13"/>
  <c r="V26" i="13" s="1"/>
  <c r="CZ9" i="13"/>
  <c r="DA9" i="13" s="1"/>
  <c r="CO6" i="13"/>
  <c r="CP6" i="13" s="1"/>
  <c r="CO32" i="6"/>
  <c r="CP32" i="6" s="1"/>
  <c r="CD16" i="6"/>
  <c r="CE16" i="6" s="1"/>
  <c r="U7" i="6"/>
  <c r="V7" i="6" s="1"/>
  <c r="DK9" i="13"/>
  <c r="DL9" i="13" s="1"/>
  <c r="J17" i="6"/>
  <c r="K17" i="6" s="1"/>
  <c r="U17" i="6"/>
  <c r="V17" i="6" s="1"/>
  <c r="AF19" i="6"/>
  <c r="AG19" i="6" s="1"/>
  <c r="DK30" i="6"/>
  <c r="DL30" i="6" s="1"/>
  <c r="CZ3" i="6"/>
  <c r="DK20" i="13"/>
  <c r="DL20" i="13" s="1"/>
  <c r="CO26" i="6"/>
  <c r="CP26" i="6" s="1"/>
  <c r="J12" i="6"/>
  <c r="K12" i="6" s="1"/>
  <c r="AF14" i="13"/>
  <c r="AG14" i="13" s="1"/>
  <c r="CZ25" i="6"/>
  <c r="DA25" i="6" s="1"/>
  <c r="DK7" i="6"/>
  <c r="DL7" i="6" s="1"/>
  <c r="CD18" i="13"/>
  <c r="CE18" i="13" s="1"/>
  <c r="U21" i="10"/>
  <c r="V21" i="10" s="1"/>
  <c r="CD22" i="10"/>
  <c r="CE22" i="10" s="1"/>
  <c r="J30" i="10"/>
  <c r="K30" i="10" s="1"/>
  <c r="CZ21" i="10"/>
  <c r="DA21" i="10" s="1"/>
  <c r="J32" i="10"/>
  <c r="K32" i="10" s="1"/>
  <c r="CO29" i="10"/>
  <c r="CP29" i="10" s="1"/>
  <c r="U15" i="10"/>
  <c r="V15" i="10" s="1"/>
  <c r="AF7" i="10"/>
  <c r="AG7" i="10" s="1"/>
  <c r="CD29" i="10"/>
  <c r="CE29" i="10" s="1"/>
  <c r="CZ24" i="10"/>
  <c r="DA24" i="10" s="1"/>
  <c r="CD19" i="10"/>
  <c r="CE19" i="10" s="1"/>
  <c r="U10" i="10"/>
  <c r="V10" i="10" s="1"/>
  <c r="AQ5" i="10"/>
  <c r="AR5" i="10" s="1"/>
  <c r="CZ14" i="10"/>
  <c r="DA14" i="10" s="1"/>
  <c r="CO26" i="10"/>
  <c r="CP26" i="10" s="1"/>
  <c r="CD20" i="10"/>
  <c r="CE20" i="10" s="1"/>
  <c r="G85" i="4"/>
  <c r="CZ18" i="10"/>
  <c r="DA18" i="10" s="1"/>
  <c r="J9" i="10"/>
  <c r="K9" i="10" s="1"/>
  <c r="U31" i="10"/>
  <c r="V31" i="10" s="1"/>
  <c r="J31" i="10"/>
  <c r="K31" i="10" s="1"/>
  <c r="AF4" i="10"/>
  <c r="AG4" i="10" s="1"/>
  <c r="DK17" i="10"/>
  <c r="DL17" i="10" s="1"/>
  <c r="AQ13" i="10"/>
  <c r="AR13" i="10" s="1"/>
  <c r="J4" i="10"/>
  <c r="K4" i="10" s="1"/>
  <c r="DK23" i="10"/>
  <c r="DL23" i="10" s="1"/>
  <c r="CD16" i="10"/>
  <c r="CE16" i="10" s="1"/>
  <c r="CZ28" i="10"/>
  <c r="DA28" i="10" s="1"/>
  <c r="U19" i="10"/>
  <c r="V19" i="10" s="1"/>
  <c r="AQ8" i="10"/>
  <c r="AR8" i="10" s="1"/>
  <c r="AF18" i="10"/>
  <c r="AG18" i="10" s="1"/>
  <c r="CZ20" i="10"/>
  <c r="DA20" i="10" s="1"/>
  <c r="CD25" i="10"/>
  <c r="CE25" i="10" s="1"/>
  <c r="DK32" i="10"/>
  <c r="DL32" i="10" s="1"/>
  <c r="AQ23" i="10"/>
  <c r="AR23" i="10" s="1"/>
  <c r="J25" i="10"/>
  <c r="K25" i="10" s="1"/>
  <c r="AQ25" i="10"/>
  <c r="AR25" i="10" s="1"/>
  <c r="CZ16" i="10"/>
  <c r="DA16" i="10" s="1"/>
  <c r="U27" i="10"/>
  <c r="V27" i="10" s="1"/>
  <c r="U24" i="10"/>
  <c r="V24" i="10" s="1"/>
  <c r="U13" i="10"/>
  <c r="V13" i="10" s="1"/>
  <c r="CZ17" i="10"/>
  <c r="DA17" i="10" s="1"/>
  <c r="DK20" i="10"/>
  <c r="DL20" i="10" s="1"/>
  <c r="U12" i="10"/>
  <c r="V12" i="10" s="1"/>
  <c r="AQ4" i="10"/>
  <c r="AR4" i="10" s="1"/>
  <c r="CO28" i="10"/>
  <c r="CP28" i="10" s="1"/>
  <c r="J15" i="10"/>
  <c r="K15" i="10" s="1"/>
  <c r="CO21" i="10"/>
  <c r="CP21" i="10" s="1"/>
  <c r="CD15" i="10"/>
  <c r="J8" i="10"/>
  <c r="K8" i="10" s="1"/>
  <c r="U7" i="10"/>
  <c r="V7" i="10" s="1"/>
  <c r="CZ29" i="10"/>
  <c r="DA29" i="10" s="1"/>
  <c r="DK26" i="10"/>
  <c r="DL26" i="10" s="1"/>
  <c r="CZ25" i="10"/>
  <c r="DA25" i="10" s="1"/>
  <c r="CO15" i="10"/>
  <c r="CP15" i="10" s="1"/>
  <c r="CD28" i="10"/>
  <c r="CE28" i="10" s="1"/>
  <c r="DK18" i="10"/>
  <c r="DL18" i="10" s="1"/>
  <c r="AF32" i="10"/>
  <c r="AG32" i="10" s="1"/>
  <c r="CZ19" i="10"/>
  <c r="DA19" i="10" s="1"/>
  <c r="AQ17" i="10"/>
  <c r="AR17" i="10" s="1"/>
  <c r="U30" i="10"/>
  <c r="V30" i="10" s="1"/>
  <c r="AF12" i="10"/>
  <c r="AG12" i="10" s="1"/>
  <c r="CO30" i="10"/>
  <c r="CP30" i="10" s="1"/>
  <c r="DK33" i="10"/>
  <c r="DL33" i="10" s="1"/>
  <c r="U9" i="10"/>
  <c r="V9" i="10" s="1"/>
  <c r="J29" i="10"/>
  <c r="K29" i="10" s="1"/>
  <c r="J14" i="10"/>
  <c r="K14" i="10" s="1"/>
  <c r="CD23" i="10"/>
  <c r="CE23" i="10" s="1"/>
  <c r="AF29" i="10"/>
  <c r="AG29" i="10" s="1"/>
  <c r="CO27" i="10"/>
  <c r="CP27" i="10" s="1"/>
  <c r="CO24" i="10"/>
  <c r="CP24" i="10" s="1"/>
  <c r="J6" i="10"/>
  <c r="K6" i="10" s="1"/>
  <c r="DK14" i="10"/>
  <c r="DL14" i="10" s="1"/>
  <c r="J26" i="10"/>
  <c r="K26" i="10" s="1"/>
  <c r="AF13" i="10"/>
  <c r="AG13" i="10" s="1"/>
  <c r="CZ30" i="10"/>
  <c r="DA30" i="10" s="1"/>
  <c r="J27" i="10"/>
  <c r="K27" i="10" s="1"/>
  <c r="CZ5" i="10"/>
  <c r="DA5" i="10" s="1"/>
  <c r="DK11" i="10"/>
  <c r="DL11" i="10" s="1"/>
  <c r="U28" i="10"/>
  <c r="V28" i="10" s="1"/>
  <c r="AQ27" i="10"/>
  <c r="AR27" i="10" s="1"/>
  <c r="DK25" i="10"/>
  <c r="DL25" i="10" s="1"/>
  <c r="AF17" i="10"/>
  <c r="AG17" i="10" s="1"/>
  <c r="AF31" i="10"/>
  <c r="AG31" i="10" s="1"/>
  <c r="J16" i="10"/>
  <c r="K16" i="10" s="1"/>
  <c r="U23" i="10"/>
  <c r="V23" i="10" s="1"/>
  <c r="U8" i="10"/>
  <c r="V8" i="10" s="1"/>
  <c r="AF25" i="10"/>
  <c r="AG25" i="10" s="1"/>
  <c r="CD18" i="10"/>
  <c r="CE18" i="10" s="1"/>
  <c r="CZ6" i="10"/>
  <c r="DA6" i="10" s="1"/>
  <c r="DK10" i="10"/>
  <c r="DL10" i="10" s="1"/>
  <c r="CO10" i="10"/>
  <c r="CP10" i="10" s="1"/>
  <c r="AQ18" i="10"/>
  <c r="AR18" i="10" s="1"/>
  <c r="CZ11" i="10"/>
  <c r="DA11" i="10" s="1"/>
  <c r="CD17" i="10"/>
  <c r="CE17" i="10" s="1"/>
  <c r="AQ24" i="10"/>
  <c r="AR24" i="10" s="1"/>
  <c r="CO8" i="10"/>
  <c r="CP8" i="10" s="1"/>
  <c r="J19" i="10"/>
  <c r="K19" i="10" s="1"/>
  <c r="AQ15" i="10"/>
  <c r="AR15" i="10" s="1"/>
  <c r="AQ11" i="10"/>
  <c r="AR11" i="10" s="1"/>
  <c r="DK13" i="10"/>
  <c r="DL13" i="10" s="1"/>
  <c r="J12" i="10"/>
  <c r="K12" i="10" s="1"/>
  <c r="J24" i="10"/>
  <c r="K24" i="10" s="1"/>
  <c r="CZ15" i="10"/>
  <c r="DA15" i="10" s="1"/>
  <c r="AF30" i="10"/>
  <c r="AG30" i="10" s="1"/>
  <c r="U6" i="10"/>
  <c r="V6" i="10" s="1"/>
  <c r="CO13" i="10"/>
  <c r="CP13" i="10" s="1"/>
  <c r="CD30" i="10"/>
  <c r="CE30" i="10" s="1"/>
  <c r="AF20" i="10"/>
  <c r="AG20" i="10" s="1"/>
  <c r="CO23" i="10"/>
  <c r="CP23" i="10" s="1"/>
  <c r="AF26" i="10"/>
  <c r="AG26" i="10" s="1"/>
  <c r="J5" i="10"/>
  <c r="K5" i="10" s="1"/>
  <c r="CO7" i="10"/>
  <c r="CP7" i="10" s="1"/>
  <c r="CZ31" i="10"/>
  <c r="DA31" i="10" s="1"/>
  <c r="CD24" i="10"/>
  <c r="CE24" i="10" s="1"/>
  <c r="CZ27" i="10"/>
  <c r="DA27" i="10" s="1"/>
  <c r="DK9" i="10"/>
  <c r="DL9" i="10" s="1"/>
  <c r="DK24" i="10"/>
  <c r="DL24" i="10" s="1"/>
  <c r="AF24" i="10"/>
  <c r="AG24" i="10" s="1"/>
  <c r="AF11" i="10"/>
  <c r="AG11" i="10" s="1"/>
  <c r="AQ19" i="10"/>
  <c r="AR19" i="10" s="1"/>
  <c r="J21" i="10"/>
  <c r="K21" i="10" s="1"/>
  <c r="CD27" i="10"/>
  <c r="CE27" i="10" s="1"/>
  <c r="CO33" i="10"/>
  <c r="CP33" i="10" s="1"/>
  <c r="DK5" i="10"/>
  <c r="DL5" i="10" s="1"/>
  <c r="DK3" i="10"/>
  <c r="DK30" i="10"/>
  <c r="DL30" i="10" s="1"/>
  <c r="AQ14" i="10"/>
  <c r="AR14" i="10" s="1"/>
  <c r="EZ7" i="10"/>
  <c r="DK27" i="10"/>
  <c r="DL27" i="10" s="1"/>
  <c r="U17" i="10"/>
  <c r="V17" i="10" s="1"/>
  <c r="J7" i="10"/>
  <c r="K7" i="10" s="1"/>
  <c r="J11" i="10"/>
  <c r="K11" i="10" s="1"/>
  <c r="AQ28" i="10"/>
  <c r="AR28" i="10" s="1"/>
  <c r="AF19" i="10"/>
  <c r="AG19" i="10" s="1"/>
  <c r="CZ22" i="10"/>
  <c r="DA22" i="10" s="1"/>
  <c r="CO6" i="10"/>
  <c r="CP6" i="10" s="1"/>
  <c r="U14" i="10"/>
  <c r="V14" i="10" s="1"/>
  <c r="CO16" i="10"/>
  <c r="CP16" i="10" s="1"/>
  <c r="AF28" i="10"/>
  <c r="AG28" i="10" s="1"/>
  <c r="U20" i="10"/>
  <c r="V20" i="10" s="1"/>
  <c r="AF23" i="10"/>
  <c r="AG23" i="10" s="1"/>
  <c r="DK31" i="10"/>
  <c r="DL31" i="10" s="1"/>
  <c r="AF16" i="10"/>
  <c r="AG16" i="10" s="1"/>
  <c r="CO31" i="10"/>
  <c r="CP31" i="10" s="1"/>
  <c r="DK29" i="10"/>
  <c r="DL29" i="10" s="1"/>
  <c r="J33" i="10"/>
  <c r="K33" i="10" s="1"/>
  <c r="CZ4" i="10"/>
  <c r="DA4" i="10" s="1"/>
  <c r="CO19" i="10"/>
  <c r="CP19" i="10" s="1"/>
  <c r="U4" i="10"/>
  <c r="V4" i="10" s="1"/>
  <c r="AQ6" i="10"/>
  <c r="AR6" i="10" s="1"/>
  <c r="AF5" i="10"/>
  <c r="AG5" i="10" s="1"/>
  <c r="DK22" i="10"/>
  <c r="DL22" i="10" s="1"/>
  <c r="J17" i="10"/>
  <c r="K17" i="10" s="1"/>
  <c r="AQ20" i="10"/>
  <c r="AR20" i="10" s="1"/>
  <c r="AF8" i="10"/>
  <c r="AG8" i="10" s="1"/>
  <c r="U11" i="10"/>
  <c r="V11" i="10" s="1"/>
  <c r="T54" i="9"/>
  <c r="CO9" i="10"/>
  <c r="CP9" i="10" s="1"/>
  <c r="DK19" i="10"/>
  <c r="DL19" i="10" s="1"/>
  <c r="J28" i="10"/>
  <c r="K28" i="10" s="1"/>
  <c r="DK12" i="10"/>
  <c r="DL12" i="10" s="1"/>
  <c r="U25" i="10"/>
  <c r="V25" i="10" s="1"/>
  <c r="J13" i="10"/>
  <c r="K13" i="10" s="1"/>
  <c r="AQ10" i="10"/>
  <c r="AR10" i="10" s="1"/>
  <c r="U22" i="10"/>
  <c r="V22" i="10" s="1"/>
  <c r="CZ26" i="10"/>
  <c r="DA26" i="10" s="1"/>
  <c r="AF14" i="10"/>
  <c r="AG14" i="10" s="1"/>
  <c r="CO3" i="10"/>
  <c r="AF22" i="10"/>
  <c r="AG22" i="10" s="1"/>
  <c r="AQ26" i="10"/>
  <c r="AR26" i="10" s="1"/>
  <c r="AQ22" i="10"/>
  <c r="AR22" i="10" s="1"/>
  <c r="U18" i="10"/>
  <c r="V18" i="10" s="1"/>
  <c r="AQ7" i="10"/>
  <c r="AR7" i="10" s="1"/>
  <c r="CO20" i="10"/>
  <c r="CP20" i="10" s="1"/>
  <c r="AF10" i="10"/>
  <c r="AG10" i="10" s="1"/>
  <c r="CD26" i="10"/>
  <c r="CE26" i="10" s="1"/>
  <c r="CO5" i="10"/>
  <c r="CP5" i="10" s="1"/>
  <c r="DK16" i="10"/>
  <c r="DL16" i="10" s="1"/>
  <c r="CZ9" i="10"/>
  <c r="DA9" i="10" s="1"/>
  <c r="DK15" i="10"/>
  <c r="DL15" i="10" s="1"/>
  <c r="CD21" i="10"/>
  <c r="CE21" i="10" s="1"/>
  <c r="AF15" i="10"/>
  <c r="AG15" i="10" s="1"/>
  <c r="DK28" i="10"/>
  <c r="DL28" i="10" s="1"/>
  <c r="CZ32" i="10"/>
  <c r="DA32" i="10" s="1"/>
  <c r="CD32" i="10"/>
  <c r="CE32" i="10" s="1"/>
  <c r="CZ7" i="10"/>
  <c r="DA7" i="10" s="1"/>
  <c r="CO17" i="10"/>
  <c r="CP17" i="10" s="1"/>
  <c r="DK4" i="10"/>
  <c r="DL4" i="10" s="1"/>
  <c r="DK21" i="10"/>
  <c r="DL21" i="10" s="1"/>
  <c r="AF3" i="10"/>
  <c r="AF33" i="10"/>
  <c r="AG33" i="10" s="1"/>
  <c r="U16" i="10"/>
  <c r="V16" i="10" s="1"/>
  <c r="CZ3" i="10"/>
  <c r="AF21" i="10"/>
  <c r="AG21" i="10" s="1"/>
  <c r="CO25" i="10"/>
  <c r="CP25" i="10" s="1"/>
  <c r="J23" i="10"/>
  <c r="K23" i="10" s="1"/>
  <c r="CO18" i="10"/>
  <c r="CP18" i="10" s="1"/>
  <c r="CZ23" i="10"/>
  <c r="DA23" i="10" s="1"/>
  <c r="AQ12" i="10"/>
  <c r="AR12" i="10" s="1"/>
  <c r="U29" i="10"/>
  <c r="V29" i="10" s="1"/>
  <c r="AQ16" i="10"/>
  <c r="AR16" i="10" s="1"/>
  <c r="AQ21" i="10"/>
  <c r="AR21" i="10" s="1"/>
  <c r="AF6" i="10"/>
  <c r="AG6" i="10" s="1"/>
  <c r="CD31" i="10"/>
  <c r="CE31" i="10" s="1"/>
  <c r="CZ10" i="10"/>
  <c r="DA10" i="10" s="1"/>
  <c r="CZ12" i="10"/>
  <c r="DA12" i="10" s="1"/>
  <c r="AQ9" i="10"/>
  <c r="AR9" i="10" s="1"/>
  <c r="CZ13" i="10"/>
  <c r="DA13" i="10" s="1"/>
  <c r="U3" i="10"/>
  <c r="J22" i="10"/>
  <c r="K22" i="10" s="1"/>
  <c r="AF27" i="10"/>
  <c r="AG27" i="10" s="1"/>
  <c r="CZ8" i="10"/>
  <c r="DA8" i="10" s="1"/>
  <c r="CO12" i="10"/>
  <c r="CP12" i="10" s="1"/>
  <c r="J18" i="10"/>
  <c r="K18" i="10" s="1"/>
  <c r="U26" i="10"/>
  <c r="V26" i="10" s="1"/>
  <c r="CO22" i="10"/>
  <c r="CP22" i="10" s="1"/>
  <c r="CO4" i="10"/>
  <c r="CP4" i="10" s="1"/>
  <c r="CO11" i="10"/>
  <c r="CP11" i="10" s="1"/>
  <c r="AQ3" i="10"/>
  <c r="AF9" i="10"/>
  <c r="AG9" i="10" s="1"/>
  <c r="U5" i="10"/>
  <c r="V5" i="10" s="1"/>
  <c r="DK7" i="10"/>
  <c r="DL7" i="10" s="1"/>
  <c r="CO32" i="10"/>
  <c r="CP32" i="10" s="1"/>
  <c r="CO14" i="10"/>
  <c r="CP14" i="10" s="1"/>
  <c r="DK6" i="10"/>
  <c r="DL6" i="10" s="1"/>
  <c r="DK8" i="10"/>
  <c r="DL8" i="10" s="1"/>
  <c r="J10" i="10"/>
  <c r="K10" i="10" s="1"/>
  <c r="J20" i="10"/>
  <c r="K20" i="10" s="1"/>
  <c r="J3" i="10"/>
  <c r="DL3" i="15" l="1"/>
  <c r="DL37" i="15" s="1"/>
  <c r="DK37" i="15"/>
  <c r="F55" i="15" s="1"/>
  <c r="AG3" i="15"/>
  <c r="AF37" i="15"/>
  <c r="F46" i="15" s="1"/>
  <c r="CO37" i="15"/>
  <c r="F53" i="15" s="1"/>
  <c r="CP3" i="15"/>
  <c r="CP37" i="15" s="1"/>
  <c r="V3" i="15"/>
  <c r="V37" i="15" s="1"/>
  <c r="U37" i="15"/>
  <c r="F45" i="15" s="1"/>
  <c r="FD7" i="13"/>
  <c r="FE7" i="13" s="1"/>
  <c r="FN7" i="13" s="1"/>
  <c r="EZ6" i="13"/>
  <c r="FF48" i="13" s="1"/>
  <c r="FF47" i="13" s="1"/>
  <c r="FI47" i="13" s="1"/>
  <c r="DA3" i="15"/>
  <c r="DA37" i="15" s="1"/>
  <c r="CZ37" i="15"/>
  <c r="F54" i="15" s="1"/>
  <c r="CD37" i="15"/>
  <c r="F52" i="15" s="1"/>
  <c r="CE15" i="15"/>
  <c r="CE37" i="15" s="1"/>
  <c r="AG37" i="15"/>
  <c r="AR3" i="15"/>
  <c r="AR37" i="15" s="1"/>
  <c r="AQ37" i="15"/>
  <c r="F47" i="15" s="1"/>
  <c r="K3" i="15"/>
  <c r="K37" i="15" s="1"/>
  <c r="J37" i="15"/>
  <c r="F44" i="15" s="1"/>
  <c r="FF48" i="15"/>
  <c r="FF47" i="15" s="1"/>
  <c r="FI47" i="15" s="1"/>
  <c r="FD7" i="15"/>
  <c r="FB7" i="15"/>
  <c r="FA7" i="15"/>
  <c r="V3" i="10"/>
  <c r="V37" i="10" s="1"/>
  <c r="U37" i="10"/>
  <c r="F45" i="10" s="1"/>
  <c r="CZ37" i="10"/>
  <c r="F54" i="10" s="1"/>
  <c r="DA3" i="10"/>
  <c r="DA37" i="10" s="1"/>
  <c r="J37" i="13"/>
  <c r="F44" i="13" s="1"/>
  <c r="K3" i="13"/>
  <c r="K37" i="13" s="1"/>
  <c r="K3" i="6"/>
  <c r="K37" i="6" s="1"/>
  <c r="J37" i="6"/>
  <c r="F44" i="6" s="1"/>
  <c r="U37" i="6"/>
  <c r="F45" i="6" s="1"/>
  <c r="V3" i="6"/>
  <c r="V37" i="6" s="1"/>
  <c r="FA7" i="10"/>
  <c r="FE48" i="10"/>
  <c r="FE47" i="10" s="1"/>
  <c r="FG47" i="10" s="1"/>
  <c r="FF7" i="10"/>
  <c r="FC7" i="10" s="1"/>
  <c r="FD7" i="10" s="1"/>
  <c r="FB7" i="10"/>
  <c r="CD37" i="10"/>
  <c r="F52" i="10" s="1"/>
  <c r="CE15" i="10"/>
  <c r="CE37" i="10" s="1"/>
  <c r="CP3" i="6"/>
  <c r="CP37" i="6" s="1"/>
  <c r="CO37" i="6"/>
  <c r="F53" i="6" s="1"/>
  <c r="DK37" i="6"/>
  <c r="F55" i="6" s="1"/>
  <c r="DL3" i="6"/>
  <c r="DL37" i="6" s="1"/>
  <c r="DK37" i="13"/>
  <c r="F55" i="13" s="1"/>
  <c r="DL3" i="13"/>
  <c r="DL37" i="13" s="1"/>
  <c r="AR3" i="10"/>
  <c r="AR37" i="10" s="1"/>
  <c r="AQ37" i="10"/>
  <c r="F47" i="10" s="1"/>
  <c r="U37" i="13"/>
  <c r="F45" i="13" s="1"/>
  <c r="V3" i="13"/>
  <c r="V37" i="13" s="1"/>
  <c r="AF37" i="13"/>
  <c r="F46" i="13" s="1"/>
  <c r="AG3" i="13"/>
  <c r="AG37" i="13" s="1"/>
  <c r="CO37" i="13"/>
  <c r="F53" i="13" s="1"/>
  <c r="CP3" i="13"/>
  <c r="CP37" i="13" s="1"/>
  <c r="CZ37" i="13"/>
  <c r="F54" i="13" s="1"/>
  <c r="DA3" i="13"/>
  <c r="DA37" i="13" s="1"/>
  <c r="K3" i="10"/>
  <c r="K37" i="10" s="1"/>
  <c r="J37" i="10"/>
  <c r="F44" i="10" s="1"/>
  <c r="DK37" i="10"/>
  <c r="F55" i="10" s="1"/>
  <c r="DL3" i="10"/>
  <c r="DL37" i="10" s="1"/>
  <c r="FF7" i="6"/>
  <c r="FC7" i="6" s="1"/>
  <c r="FD7" i="6" s="1"/>
  <c r="FB7" i="6"/>
  <c r="FA7" i="6"/>
  <c r="FE48" i="6"/>
  <c r="FE47" i="6" s="1"/>
  <c r="FG47" i="6" s="1"/>
  <c r="CE15" i="6"/>
  <c r="CE37" i="6" s="1"/>
  <c r="CD37" i="6"/>
  <c r="F52" i="6" s="1"/>
  <c r="CP3" i="10"/>
  <c r="CP37" i="10" s="1"/>
  <c r="CO37" i="10"/>
  <c r="F53" i="10" s="1"/>
  <c r="CZ37" i="6"/>
  <c r="F54" i="6" s="1"/>
  <c r="DA3" i="6"/>
  <c r="DA37" i="6" s="1"/>
  <c r="FA7" i="13"/>
  <c r="FB7" i="13"/>
  <c r="AR3" i="13"/>
  <c r="AR37" i="13" s="1"/>
  <c r="AQ37" i="13"/>
  <c r="F47" i="13" s="1"/>
  <c r="AG3" i="10"/>
  <c r="AG37" i="10" s="1"/>
  <c r="AF37" i="10"/>
  <c r="F46" i="10" s="1"/>
  <c r="AQ37" i="6"/>
  <c r="F47" i="6" s="1"/>
  <c r="AR3" i="6"/>
  <c r="AR37" i="6" s="1"/>
  <c r="CD37" i="13"/>
  <c r="F52" i="13" s="1"/>
  <c r="CE15" i="13"/>
  <c r="CE37" i="13" s="1"/>
  <c r="AF37" i="6"/>
  <c r="F46" i="6" s="1"/>
  <c r="AG3" i="6"/>
  <c r="AG37" i="6" s="1"/>
  <c r="G44" i="15" l="1"/>
  <c r="J44" i="15" s="1"/>
  <c r="I37" i="15"/>
  <c r="G46" i="15"/>
  <c r="J46" i="15" s="1"/>
  <c r="AE37" i="15"/>
  <c r="G54" i="15"/>
  <c r="J54" i="15" s="1"/>
  <c r="CY37" i="15"/>
  <c r="CC37" i="15"/>
  <c r="G52" i="15"/>
  <c r="J52" i="15" s="1"/>
  <c r="FA6" i="13"/>
  <c r="FC6" i="13"/>
  <c r="G88" i="4"/>
  <c r="G89" i="4"/>
  <c r="G45" i="15"/>
  <c r="J45" i="15" s="1"/>
  <c r="T37" i="15"/>
  <c r="G53" i="15"/>
  <c r="J53" i="15" s="1"/>
  <c r="CN37" i="15"/>
  <c r="FE7" i="15"/>
  <c r="FN7" i="15" s="1"/>
  <c r="FN8" i="15" s="1"/>
  <c r="FC7" i="15"/>
  <c r="FC8" i="15" s="1"/>
  <c r="FF7" i="15"/>
  <c r="G47" i="15"/>
  <c r="J47" i="15" s="1"/>
  <c r="AP37" i="15"/>
  <c r="G55" i="15"/>
  <c r="J55" i="15" s="1"/>
  <c r="DJ37" i="15"/>
  <c r="FG7" i="13"/>
  <c r="FF7" i="13"/>
  <c r="FC7" i="13"/>
  <c r="FC8" i="13" s="1"/>
  <c r="G56" i="4" s="1"/>
  <c r="CY37" i="13"/>
  <c r="G54" i="13"/>
  <c r="J54" i="13" s="1"/>
  <c r="CC37" i="10"/>
  <c r="G52" i="10"/>
  <c r="J52" i="10" s="1"/>
  <c r="G54" i="10"/>
  <c r="J54" i="10" s="1"/>
  <c r="CY37" i="10"/>
  <c r="G47" i="13"/>
  <c r="J47" i="13" s="1"/>
  <c r="AP37" i="13"/>
  <c r="G47" i="10"/>
  <c r="J47" i="10" s="1"/>
  <c r="AP37" i="10"/>
  <c r="I37" i="6"/>
  <c r="G44" i="6"/>
  <c r="J44" i="6" s="1"/>
  <c r="G52" i="4"/>
  <c r="G53" i="4"/>
  <c r="G54" i="6"/>
  <c r="J54" i="6" s="1"/>
  <c r="CY37" i="6"/>
  <c r="CN37" i="13"/>
  <c r="G53" i="13"/>
  <c r="J53" i="13" s="1"/>
  <c r="G45" i="13"/>
  <c r="J45" i="13" s="1"/>
  <c r="T37" i="13"/>
  <c r="DJ37" i="13"/>
  <c r="G55" i="13"/>
  <c r="J55" i="13" s="1"/>
  <c r="G45" i="6"/>
  <c r="J45" i="6" s="1"/>
  <c r="T37" i="6"/>
  <c r="G44" i="13"/>
  <c r="J44" i="13" s="1"/>
  <c r="I37" i="13"/>
  <c r="G46" i="6"/>
  <c r="J46" i="6" s="1"/>
  <c r="AE37" i="6"/>
  <c r="G47" i="6"/>
  <c r="J47" i="6" s="1"/>
  <c r="AP37" i="6"/>
  <c r="G55" i="10"/>
  <c r="J55" i="10" s="1"/>
  <c r="DJ37" i="10"/>
  <c r="G46" i="13"/>
  <c r="J46" i="13" s="1"/>
  <c r="AE37" i="13"/>
  <c r="DJ37" i="6"/>
  <c r="G55" i="6"/>
  <c r="J55" i="6" s="1"/>
  <c r="G53" i="10"/>
  <c r="J53" i="10" s="1"/>
  <c r="CN37" i="10"/>
  <c r="G52" i="13"/>
  <c r="J52" i="13" s="1"/>
  <c r="CC37" i="13"/>
  <c r="AE37" i="10"/>
  <c r="G46" i="10"/>
  <c r="J46" i="10" s="1"/>
  <c r="CC37" i="6"/>
  <c r="G52" i="6"/>
  <c r="J52" i="6" s="1"/>
  <c r="FG7" i="6"/>
  <c r="FJ7" i="6" s="1"/>
  <c r="FH7" i="6" s="1"/>
  <c r="FE7" i="6"/>
  <c r="G44" i="10"/>
  <c r="J44" i="10" s="1"/>
  <c r="I37" i="10"/>
  <c r="CN37" i="6"/>
  <c r="G53" i="6"/>
  <c r="J53" i="6" s="1"/>
  <c r="FE7" i="10"/>
  <c r="FG7" i="10"/>
  <c r="FJ7" i="10" s="1"/>
  <c r="G92" i="4"/>
  <c r="G45" i="10"/>
  <c r="J45" i="10" s="1"/>
  <c r="T37" i="10"/>
  <c r="H104" i="3" l="1"/>
  <c r="H105" i="3"/>
  <c r="E57" i="3"/>
  <c r="FL7" i="13"/>
  <c r="FF6" i="13"/>
  <c r="FL6" i="13" s="1"/>
  <c r="F56" i="15"/>
  <c r="R101" i="4" s="1"/>
  <c r="FG7" i="15"/>
  <c r="FL7" i="15" s="1"/>
  <c r="FD15" i="15" s="1"/>
  <c r="F56" i="10"/>
  <c r="F56" i="6"/>
  <c r="F56" i="13"/>
  <c r="R66" i="4" s="1"/>
  <c r="FN8" i="13"/>
  <c r="FH7" i="10"/>
  <c r="FI7" i="10" s="1"/>
  <c r="FI7" i="6"/>
  <c r="J105" i="3" l="1"/>
  <c r="I105" i="3"/>
  <c r="E56" i="3"/>
  <c r="H63" i="3"/>
  <c r="H62" i="3"/>
  <c r="I104" i="3"/>
  <c r="J104" i="3"/>
  <c r="FL8" i="15"/>
  <c r="G91" i="4"/>
  <c r="FD15" i="13"/>
  <c r="FL8" i="13"/>
  <c r="G55" i="4"/>
  <c r="L104" i="3" l="1"/>
  <c r="L106" i="3" s="1"/>
  <c r="B82" i="3" s="1"/>
  <c r="G104" i="4" s="1"/>
  <c r="L105" i="3"/>
  <c r="J63" i="3"/>
  <c r="I63" i="3"/>
  <c r="J62" i="3"/>
  <c r="I62" i="3"/>
  <c r="G90" i="4"/>
  <c r="F95" i="4" s="1"/>
  <c r="FF15" i="15"/>
  <c r="FD17" i="15" s="1"/>
  <c r="FD14" i="13"/>
  <c r="FD16" i="13" s="1"/>
  <c r="L62" i="3" l="1"/>
  <c r="L63" i="3"/>
  <c r="G55" i="3" s="1"/>
  <c r="FF15" i="13"/>
  <c r="FD17" i="13" s="1"/>
  <c r="B80" i="3" l="1"/>
  <c r="G68" i="4" s="1"/>
  <c r="FH4" i="6"/>
  <c r="FI4" i="6" s="1"/>
  <c r="FI10" i="6" s="1"/>
  <c r="FH4" i="10"/>
  <c r="FI4" i="10" s="1"/>
  <c r="FI10" i="10" s="1"/>
  <c r="G54" i="4"/>
  <c r="F59" i="4" s="1"/>
  <c r="FJ16" i="6" l="1"/>
  <c r="FI16" i="6"/>
  <c r="FI11" i="6"/>
  <c r="FI11" i="10"/>
  <c r="FI16" i="10"/>
  <c r="FJ16" i="10"/>
</calcChain>
</file>

<file path=xl/sharedStrings.xml><?xml version="1.0" encoding="utf-8"?>
<sst xmlns="http://schemas.openxmlformats.org/spreadsheetml/2006/main" count="1220" uniqueCount="291">
  <si>
    <t>ATS</t>
  </si>
  <si>
    <t>Tzasil</t>
  </si>
  <si>
    <t>COP 55°C</t>
  </si>
  <si>
    <t>COP 45°C</t>
  </si>
  <si>
    <t>COP 35°C</t>
  </si>
  <si>
    <t>Moc sprężarki 35°C</t>
  </si>
  <si>
    <t>Moc sprężarki 45°C</t>
  </si>
  <si>
    <t>Moc sprężarki 55°C</t>
  </si>
  <si>
    <t>Dane dotyczące budynku</t>
  </si>
  <si>
    <t>Ilość mieszkańców</t>
  </si>
  <si>
    <t>Starszy bez izolacji (120 W/m²)</t>
  </si>
  <si>
    <t>Izolowany, rok budowy &lt; 1995 (80 W/m²)</t>
  </si>
  <si>
    <t>Grzejniki niskotemperaturowe 55/45</t>
  </si>
  <si>
    <t>Ogrzewanie podłogowe 35/28</t>
  </si>
  <si>
    <t>Rodzaj ogrzewania</t>
  </si>
  <si>
    <t>Wyposażenie</t>
  </si>
  <si>
    <t>Natrysk komfortowy (zużycie 75 litrów)</t>
  </si>
  <si>
    <t>Natrysk normalny (zużycie 50 litrów)</t>
  </si>
  <si>
    <t>Wanna normalna (140 litrów)</t>
  </si>
  <si>
    <t>Wanna komfortowa (200 litrów)</t>
  </si>
  <si>
    <t>Wyposażenie łazienek</t>
  </si>
  <si>
    <t>[kW]</t>
  </si>
  <si>
    <t>Natrysk i wanna (warunki normalne)</t>
  </si>
  <si>
    <t>Natrysk i wanna (warunki komfortowe)</t>
  </si>
  <si>
    <t>Układ mieszany podłogówka / grzejniki</t>
  </si>
  <si>
    <t>Moc grzewcza</t>
  </si>
  <si>
    <t>Moc sprężarki</t>
  </si>
  <si>
    <t xml:space="preserve">Moc sprężarki </t>
  </si>
  <si>
    <t xml:space="preserve">COP </t>
  </si>
  <si>
    <t>Koszt kWh ciepła</t>
  </si>
  <si>
    <t>EE</t>
  </si>
  <si>
    <t>Moc grzewcza 35°C</t>
  </si>
  <si>
    <t>Moc grzewcza 45°C</t>
  </si>
  <si>
    <t>Moc grzewcza 55°C</t>
  </si>
  <si>
    <t>221.A29</t>
  </si>
  <si>
    <t>221.A26</t>
  </si>
  <si>
    <t>Modernizowane źródło ciepła</t>
  </si>
  <si>
    <t>Budownictwo szeregowe (55 W/m²)</t>
  </si>
  <si>
    <t>Budynek wolnostojący z dobrą izolacją (70 W/m²)</t>
  </si>
  <si>
    <t>Vitocaldens 222-F HAWB 221.A29</t>
  </si>
  <si>
    <t>Vitocaldens 222-F HAWB-M 221.A26</t>
  </si>
  <si>
    <t>Powierzchnia</t>
  </si>
  <si>
    <t>System grzewczy</t>
  </si>
  <si>
    <t xml:space="preserve"> Charakterystyka budynku</t>
  </si>
  <si>
    <t>Paliwo</t>
  </si>
  <si>
    <t>Kocioł tradycyjny - gaz ziemny G20</t>
  </si>
  <si>
    <t>Kocioł kondensacyjny - gaz ziemny G20</t>
  </si>
  <si>
    <t>Kocioł tradycyjny - propan G31</t>
  </si>
  <si>
    <t>Kocioł kondensacyjny - propan G31</t>
  </si>
  <si>
    <t>[ m2 ]</t>
  </si>
  <si>
    <t>w hybrydową cetralnę grzewczą</t>
  </si>
  <si>
    <t>Analiza techniczno-ekonomiczna inwestycji</t>
  </si>
  <si>
    <t>[ kW ]</t>
  </si>
  <si>
    <t>Obliczenia mocy budynku</t>
  </si>
  <si>
    <t>m2</t>
  </si>
  <si>
    <t>W/m2</t>
  </si>
  <si>
    <t>W</t>
  </si>
  <si>
    <t>kW</t>
  </si>
  <si>
    <t>Moc wynikająca ze zużycia</t>
  </si>
  <si>
    <t>osób</t>
  </si>
  <si>
    <t>Dane hybrydowej centrali grzewczej</t>
  </si>
  <si>
    <t>kWh</t>
  </si>
  <si>
    <t>kWh / jedn.</t>
  </si>
  <si>
    <t>Wartości opałowe</t>
  </si>
  <si>
    <t>G20</t>
  </si>
  <si>
    <t>kWh/m3</t>
  </si>
  <si>
    <t>Propan</t>
  </si>
  <si>
    <t>kWh/litra</t>
  </si>
  <si>
    <t>Cena paliwa</t>
  </si>
  <si>
    <t>m3</t>
  </si>
  <si>
    <t>litr</t>
  </si>
  <si>
    <t>Sprawność</t>
  </si>
  <si>
    <t>spr. wybranego źr.</t>
  </si>
  <si>
    <t>kWh/CO i CWU</t>
  </si>
  <si>
    <t>Zużycie energii</t>
  </si>
  <si>
    <t>kWh/CWU</t>
  </si>
  <si>
    <t>CO</t>
  </si>
  <si>
    <t>[ zł / m3 ]</t>
  </si>
  <si>
    <t>Propan G31</t>
  </si>
  <si>
    <t>Gaz ziemny G20</t>
  </si>
  <si>
    <t>[ zł / litr ]</t>
  </si>
  <si>
    <t>Roczny koszt ogrzewania</t>
  </si>
  <si>
    <t>[ zł ]</t>
  </si>
  <si>
    <t>zł</t>
  </si>
  <si>
    <t>pole obowiązkowe</t>
  </si>
  <si>
    <t>pole opcjonalne</t>
  </si>
  <si>
    <t>-</t>
  </si>
  <si>
    <t>abonament [zł/miesiac]</t>
  </si>
  <si>
    <t>Gaz ziemny</t>
  </si>
  <si>
    <t>W-2.2</t>
  </si>
  <si>
    <t>W-3.9</t>
  </si>
  <si>
    <t>taryfa</t>
  </si>
  <si>
    <t>cena paliwa
GZ: [zł/m3]</t>
  </si>
  <si>
    <t>opłata stała
GZ:  [zł/m-c]</t>
  </si>
  <si>
    <t>opłata zmienna 
GZ: [zł/m3]</t>
  </si>
  <si>
    <t>zużycia paliwa na rok</t>
  </si>
  <si>
    <t>G31</t>
  </si>
  <si>
    <t>zł/kWh</t>
  </si>
  <si>
    <t>Wymagana moc budynku zależnie od temperatur zew.</t>
  </si>
  <si>
    <r>
      <rPr>
        <i/>
        <sz val="11"/>
        <color rgb="FFFF0000"/>
        <rFont val="Czcionka tekstu podstawowego"/>
        <charset val="238"/>
      </rPr>
      <t>*</t>
    </r>
    <r>
      <rPr>
        <i/>
        <sz val="11"/>
        <color rgb="FF00B050"/>
        <rFont val="Czcionka tekstu podstawowego"/>
        <charset val="238"/>
      </rPr>
      <t xml:space="preserve"> - tylko jeżeli znane</t>
    </r>
  </si>
  <si>
    <t>Strefy klimatyczne</t>
  </si>
  <si>
    <r>
      <t>I, -16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Czcionka tekstu podstawowego"/>
        <family val="2"/>
        <charset val="238"/>
      </rPr>
      <t>C (Szczecin, Gdańsk)</t>
    </r>
  </si>
  <si>
    <t>II, -18°C (Poznań, Wrocław)</t>
  </si>
  <si>
    <t>III, -20°C (Kraków, Warszawa)</t>
  </si>
  <si>
    <t>IV, -22°C (Białystok, Zakopane)</t>
  </si>
  <si>
    <t>V, -24°C (Suwałki)</t>
  </si>
  <si>
    <t>Strefa klimatyczna</t>
  </si>
  <si>
    <t>Kraków 2012</t>
  </si>
  <si>
    <t>styczeń</t>
  </si>
  <si>
    <t>T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</si>
  <si>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</si>
  <si>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</si>
  <si>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</si>
  <si>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</si>
  <si>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</si>
  <si>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</si>
  <si>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</si>
  <si>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</si>
  <si>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</si>
  <si>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</si>
  <si>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</si>
  <si>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I-IV i IX-XII</t>
  </si>
  <si>
    <t>dni</t>
  </si>
  <si>
    <t>temp</t>
  </si>
  <si>
    <t>Dane do szacowania COP na CWU</t>
  </si>
  <si>
    <t>Qco 55/45</t>
  </si>
  <si>
    <t>Qel 55/45</t>
  </si>
  <si>
    <t>Szacowanie SCOP - model 221.A29</t>
  </si>
  <si>
    <t>COP 55/45</t>
  </si>
  <si>
    <t xml:space="preserve"> !!!</t>
  </si>
  <si>
    <t>f(x)</t>
  </si>
  <si>
    <t>a</t>
  </si>
  <si>
    <t>b</t>
  </si>
  <si>
    <t>I51*a+I52</t>
  </si>
  <si>
    <t>koszt</t>
  </si>
  <si>
    <t>wybrano</t>
  </si>
  <si>
    <t>Kocioł kondensacyjny Vitocaldens 222-F</t>
  </si>
  <si>
    <t>Funkcje wykresu mocy pompy ciepła 221.A29</t>
  </si>
  <si>
    <t>x</t>
  </si>
  <si>
    <t>g(x)</t>
  </si>
  <si>
    <t>=-15a</t>
  </si>
  <si>
    <t>=Q/(-20-15)</t>
  </si>
  <si>
    <t>punkt X przecięcia</t>
  </si>
  <si>
    <t>Punkt biwalentny mocy :</t>
  </si>
  <si>
    <t>Punkt biwalentny kosztów:</t>
  </si>
  <si>
    <t>Szacowanie punktu biwalentnego dla kosztów 221.A29</t>
  </si>
  <si>
    <t>Koszt kWh =&gt; 221.A</t>
  </si>
  <si>
    <t>Koszty eksploatacji</t>
  </si>
  <si>
    <t>Zużycie gazu</t>
  </si>
  <si>
    <t>Zużycie energii elektrycznej</t>
  </si>
  <si>
    <r>
      <rPr>
        <sz val="11"/>
        <color theme="1" tint="0.34998626667073579"/>
        <rFont val="Czcionka tekstu podstawowego"/>
        <charset val="238"/>
      </rPr>
      <t>Roczne zużycia paliwa</t>
    </r>
    <r>
      <rPr>
        <sz val="11"/>
        <color theme="1"/>
        <rFont val="Czcionka tekstu podstawowego"/>
        <family val="2"/>
        <charset val="238"/>
      </rPr>
      <t xml:space="preserve"> </t>
    </r>
    <r>
      <rPr>
        <sz val="11"/>
        <color rgb="FFFF0000"/>
        <rFont val="Czcionka tekstu podstawowego"/>
        <charset val="238"/>
      </rPr>
      <t>*</t>
    </r>
  </si>
  <si>
    <t>Strona 2</t>
  </si>
  <si>
    <t>Strona 3</t>
  </si>
  <si>
    <t>Strona 1</t>
  </si>
  <si>
    <t>Dane wg wyboru system grzewczego</t>
  </si>
  <si>
    <t>COP CO</t>
  </si>
  <si>
    <t>Wym. Temp. CO</t>
  </si>
  <si>
    <t>y=ax+b</t>
  </si>
  <si>
    <t>y=37</t>
  </si>
  <si>
    <t>y=55</t>
  </si>
  <si>
    <t>x=-20</t>
  </si>
  <si>
    <t>x=10</t>
  </si>
  <si>
    <t>37=10a+b</t>
  </si>
  <si>
    <t>55=-20a+b</t>
  </si>
  <si>
    <t>b=55+20a</t>
  </si>
  <si>
    <t>37=10a+55+20a</t>
  </si>
  <si>
    <t>30a=37-55</t>
  </si>
  <si>
    <t>a=</t>
  </si>
  <si>
    <t>b=</t>
  </si>
  <si>
    <t>y=-0,6x+43</t>
  </si>
  <si>
    <t>y=35</t>
  </si>
  <si>
    <t>y=24</t>
  </si>
  <si>
    <t>35=-20a+b</t>
  </si>
  <si>
    <t>24=10a+b</t>
  </si>
  <si>
    <t>24=10a+35+20a</t>
  </si>
  <si>
    <t>b=35+20a</t>
  </si>
  <si>
    <t>30a=24-35</t>
  </si>
  <si>
    <t>Qco</t>
  </si>
  <si>
    <t>Qel</t>
  </si>
  <si>
    <t>JAZ</t>
  </si>
  <si>
    <t>Vitocaldens 222-F HAWB 221.A26</t>
  </si>
  <si>
    <t>udział dni w COP</t>
  </si>
  <si>
    <t>Dane do szacowania COP na CO</t>
  </si>
  <si>
    <t>Funkcje wykresu mocy pompy ciepła 221.A26</t>
  </si>
  <si>
    <t>CWU</t>
  </si>
  <si>
    <t>Efektywność SCOP CO</t>
  </si>
  <si>
    <t>Efektywność SCOP CWU</t>
  </si>
  <si>
    <t>Efektywność SCOP CO i CWU</t>
  </si>
  <si>
    <t>ilość dni</t>
  </si>
  <si>
    <t>Suma</t>
  </si>
  <si>
    <t>E [kWh]</t>
  </si>
  <si>
    <t>Reszta dni</t>
  </si>
  <si>
    <t>zużycie paliwa</t>
  </si>
  <si>
    <t>Koszty po modernizacji</t>
  </si>
  <si>
    <t>AAPB</t>
  </si>
  <si>
    <t>SW</t>
  </si>
  <si>
    <t>Obliczenia pola wykresu energii</t>
  </si>
  <si>
    <t>x=</t>
  </si>
  <si>
    <t>pole pomiędzy punktami biwalentnymi</t>
  </si>
  <si>
    <t>P=</t>
  </si>
  <si>
    <t>deltaT=</t>
  </si>
  <si>
    <t>Szacowanie punktu biwalentnego dla kosztów 221.A26</t>
  </si>
  <si>
    <t>Obliczenia pola wykresu energii CO</t>
  </si>
  <si>
    <t>pole pomiędzy punktami biwalentnymi CO</t>
  </si>
  <si>
    <t>Obliczenia pola wykresu energii CWU</t>
  </si>
  <si>
    <t>pole pomiędzy punktami biwalentnymi CWU</t>
  </si>
  <si>
    <t>Koszty przed modernizacją</t>
  </si>
  <si>
    <t>Zarządzanie ciepłem</t>
  </si>
  <si>
    <t>jeżeli nie znane ="0"</t>
  </si>
  <si>
    <t>Pole energii</t>
  </si>
  <si>
    <t>deltaT</t>
  </si>
  <si>
    <t>K</t>
  </si>
  <si>
    <t>Q</t>
  </si>
  <si>
    <t>E bez CWU</t>
  </si>
  <si>
    <t>E z CWU</t>
  </si>
  <si>
    <t>Pole</t>
  </si>
  <si>
    <t>kWh/jednostka</t>
  </si>
  <si>
    <t>jednostka</t>
  </si>
  <si>
    <t>stC</t>
  </si>
  <si>
    <t>Q w punkcie biwal.</t>
  </si>
  <si>
    <t>Energia w punkcie</t>
  </si>
  <si>
    <t>E</t>
  </si>
  <si>
    <t>Epc</t>
  </si>
  <si>
    <t>227 dni</t>
  </si>
  <si>
    <t>E na 1 T</t>
  </si>
  <si>
    <t>Energia w punkcie mocy</t>
  </si>
  <si>
    <t>E(-20)</t>
  </si>
  <si>
    <t>E(15)</t>
  </si>
  <si>
    <t>E(punkt biwalentny)</t>
  </si>
  <si>
    <t>EwymCO</t>
  </si>
  <si>
    <t>Ekotła</t>
  </si>
  <si>
    <t>Qpc/Qco</t>
  </si>
  <si>
    <t>EcoPC</t>
  </si>
  <si>
    <t>EcoKocioł</t>
  </si>
  <si>
    <t>EcwuPC</t>
  </si>
  <si>
    <t>EcwuKocioł</t>
  </si>
  <si>
    <t>energia dla punktu biwalentego mocy 221.A26</t>
  </si>
  <si>
    <t>Qpc/Qcwu</t>
  </si>
  <si>
    <t>Eco</t>
  </si>
  <si>
    <t>Ecwu</t>
  </si>
  <si>
    <t>EwymCWU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</si>
  <si>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</si>
  <si>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</si>
  <si>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</si>
  <si>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</si>
  <si>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</si>
  <si>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</si>
  <si>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</si>
  <si>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</si>
  <si>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</si>
  <si>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</si>
  <si>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</si>
  <si>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</si>
  <si>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Suma CO</t>
  </si>
  <si>
    <t>Suma CWU</t>
  </si>
  <si>
    <t>PC / CWU</t>
  </si>
  <si>
    <t>PC / CO</t>
  </si>
  <si>
    <t>Praca pompy ciepła</t>
  </si>
  <si>
    <t>Temp</t>
  </si>
  <si>
    <t>Eneria CO</t>
  </si>
  <si>
    <t>Delta</t>
  </si>
  <si>
    <t>Ilość dni</t>
  </si>
  <si>
    <t>Energia skumulowana</t>
  </si>
  <si>
    <t>COP 221.A26 55</t>
  </si>
  <si>
    <t>COP 221.A26 35</t>
  </si>
  <si>
    <t>COP 221.A26 CWU</t>
  </si>
  <si>
    <t>SCOP 55</t>
  </si>
  <si>
    <t>SCOP 35</t>
  </si>
  <si>
    <t>SCOP CWU</t>
  </si>
  <si>
    <t>Energia na CWU</t>
  </si>
  <si>
    <t>Kumulacja Eco od +15</t>
  </si>
  <si>
    <t>Kumulacja CWU</t>
  </si>
  <si>
    <t>Suma Energii CO</t>
  </si>
  <si>
    <t>Suma Energii CWU</t>
  </si>
  <si>
    <t>Koszt ogrzewania przed modernizacją</t>
  </si>
  <si>
    <t>Koszt po modernizacji (SPB)</t>
  </si>
  <si>
    <t>Koszt po modernizacji (zarządzanie ciepłem)</t>
  </si>
  <si>
    <t>COP</t>
  </si>
  <si>
    <t>VITOCALDENS 222-F HAWB 221.A26</t>
  </si>
  <si>
    <t>VITOCALDENS 222-F HAWB 221.A29</t>
  </si>
  <si>
    <t>Budynek wolnostojący z dobrą izolacją (60 W/m²)</t>
  </si>
  <si>
    <t>Koszt ciepła [gr/kWh] kotła</t>
  </si>
  <si>
    <t>Wartość do wprowadzenia do regulatora</t>
  </si>
  <si>
    <t>A26</t>
  </si>
  <si>
    <t>A29</t>
  </si>
  <si>
    <t>Dane do wpisania w regulator Vitotronic 200 WO1C</t>
  </si>
  <si>
    <t>WO1C</t>
  </si>
  <si>
    <t>Budynek wolnostojący z przeciętną izolacją (80 W/m²)</t>
  </si>
  <si>
    <t>Izolowany, rok budowy &lt; 1995 (100 W/m²)</t>
  </si>
  <si>
    <t xml:space="preserve"> </t>
  </si>
  <si>
    <t>ver 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</si>
</sst>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zl&quot;"/>
    <numFmt numFmtId="165" formatCode="#,##0.0000\ &quot;zł&quot;"/>
    <numFmt numFmtId="166" formatCode="#,##0.00\ &quot;zł&quot;"/>
    <numFmt numFmtId="167" formatCode="0.000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1"/>
      <color theme="1" tint="0.499984740745262"/>
      <name val="Arial"/>
      <family val="2"/>
    </font>
    <font>
      <b/>
      <sz val="12"/>
      <color theme="1" tint="0.34998626667073579"/>
      <name val="Arial Black"/>
      <family val="2"/>
    </font>
    <font>
      <sz val="1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vertAlign val="superscript"/>
      <sz val="11"/>
      <color rgb="FFFF0000"/>
      <name val="Czcionka tekstu podstawowego"/>
      <charset val="238"/>
    </font>
    <font>
      <i/>
      <sz val="11"/>
      <color rgb="FF00B050"/>
      <name val="Czcionka tekstu podstawowego"/>
      <charset val="238"/>
    </font>
    <font>
      <i/>
      <sz val="11"/>
      <color rgb="FFFF0000"/>
      <name val="Czcionka tekstu podstawowego"/>
      <charset val="238"/>
    </font>
    <font>
      <sz val="11"/>
      <color theme="1"/>
      <name val="Calibri"/>
      <family val="2"/>
      <charset val="238"/>
    </font>
    <font>
      <sz val="20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1" tint="0.34998626667073579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zcionka tekstu podstawowego"/>
      <charset val="238"/>
    </font>
    <font>
      <sz val="11"/>
      <color theme="1" tint="0.34998626667073579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1" tint="0.34998626667073579"/>
      <name val="Czcionka tekstu podstawowego"/>
      <family val="2"/>
      <charset val="238"/>
    </font>
    <font>
      <b/>
      <sz val="9"/>
      <color rgb="FFFF0000"/>
      <name val="Czcionka tekstu podstawowego"/>
      <family val="2"/>
      <charset val="238"/>
    </font>
    <font>
      <sz val="9"/>
      <color rgb="FFFF0000"/>
      <name val="Czcionka tekstu podstawowego"/>
      <family val="2"/>
      <charset val="238"/>
    </font>
    <font>
      <b/>
      <sz val="9"/>
      <color rgb="FFFF0000"/>
      <name val="Czcionka tekstu podstawowego"/>
      <charset val="238"/>
    </font>
    <font>
      <sz val="9"/>
      <color rgb="FFEF4423"/>
      <name val="Czcionka tekstu podstawowego"/>
      <family val="2"/>
      <charset val="238"/>
    </font>
    <font>
      <b/>
      <sz val="9"/>
      <color rgb="FFEF4423"/>
      <name val="Czcionka tekstu podstawowego"/>
      <charset val="238"/>
    </font>
    <font>
      <sz val="9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b/>
      <sz val="11"/>
      <color rgb="FFEF4423"/>
      <name val="Czcionka tekstu podstawowego"/>
      <charset val="238"/>
    </font>
    <font>
      <b/>
      <sz val="9"/>
      <color theme="1" tint="0.34998626667073579"/>
      <name val="Czcionka tekstu podstawowego"/>
      <charset val="238"/>
    </font>
    <font>
      <sz val="8"/>
      <color theme="1" tint="0.499984740745262"/>
      <name val="Czcionka tekstu podstawowego"/>
      <family val="2"/>
      <charset val="238"/>
    </font>
    <font>
      <b/>
      <sz val="6"/>
      <color rgb="FFEF4423"/>
      <name val="Czcionka tekstu podstawowego"/>
      <charset val="238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442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theme="1" tint="0.34998626667073579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37" borderId="0" applyNumberFormat="0" applyBorder="0" applyAlignment="0" applyProtection="0"/>
    <xf numFmtId="0" fontId="30" fillId="41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8" borderId="0" applyNumberFormat="0" applyBorder="0" applyAlignment="0" applyProtection="0"/>
    <xf numFmtId="0" fontId="20" fillId="12" borderId="0" applyNumberFormat="0" applyBorder="0" applyAlignment="0" applyProtection="0"/>
    <xf numFmtId="0" fontId="24" fillId="15" borderId="16" applyNumberFormat="0" applyAlignment="0" applyProtection="0"/>
    <xf numFmtId="0" fontId="26" fillId="16" borderId="19" applyNumberFormat="0" applyAlignment="0" applyProtection="0"/>
    <xf numFmtId="0" fontId="2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22" fillId="14" borderId="16" applyNumberFormat="0" applyAlignment="0" applyProtection="0"/>
    <xf numFmtId="0" fontId="25" fillId="0" borderId="18" applyNumberFormat="0" applyFill="0" applyAlignment="0" applyProtection="0"/>
    <xf numFmtId="0" fontId="21" fillId="13" borderId="0" applyNumberFormat="0" applyBorder="0" applyAlignment="0" applyProtection="0"/>
    <xf numFmtId="0" fontId="1" fillId="17" borderId="20" applyNumberFormat="0" applyFont="0" applyAlignment="0" applyProtection="0"/>
    <xf numFmtId="0" fontId="23" fillId="15" borderId="17" applyNumberFormat="0" applyAlignment="0" applyProtection="0"/>
    <xf numFmtId="0" fontId="15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27" fillId="0" borderId="0" applyNumberFormat="0" applyFill="0" applyBorder="0" applyAlignment="0" applyProtection="0"/>
  </cellStyleXfs>
  <cellXfs count="169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0" fillId="0" borderId="0" xfId="0" applyFont="1" applyFill="1" applyBorder="1"/>
    <xf numFmtId="0" fontId="6" fillId="0" borderId="0" xfId="0" applyFont="1" applyFill="1" applyBorder="1"/>
    <xf numFmtId="0" fontId="0" fillId="0" borderId="0" xfId="0" quotePrefix="1" applyFont="1" applyFill="1" applyBorder="1"/>
    <xf numFmtId="0" fontId="0" fillId="0" borderId="0" xfId="0" applyFont="1" applyFill="1"/>
    <xf numFmtId="2" fontId="0" fillId="0" borderId="0" xfId="0" applyNumberFormat="1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quotePrefix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/>
    <xf numFmtId="0" fontId="0" fillId="3" borderId="0" xfId="0" applyFont="1" applyFill="1" applyBorder="1"/>
    <xf numFmtId="0" fontId="0" fillId="4" borderId="0" xfId="0" applyFont="1" applyFill="1" applyBorder="1"/>
    <xf numFmtId="2" fontId="0" fillId="3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0" fillId="2" borderId="0" xfId="0" applyFill="1" applyAlignment="1">
      <alignment horizontal="right"/>
    </xf>
    <xf numFmtId="0" fontId="0" fillId="2" borderId="0" xfId="0" applyFill="1" applyAlignment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6" borderId="0" xfId="0" applyFont="1" applyFill="1" applyBorder="1"/>
    <xf numFmtId="2" fontId="0" fillId="6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quotePrefix="1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0" fillId="2" borderId="0" xfId="0" applyFill="1" applyBorder="1" applyAlignment="1"/>
    <xf numFmtId="0" fontId="9" fillId="2" borderId="0" xfId="0" applyFont="1" applyFill="1"/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5" fillId="7" borderId="5" xfId="0" applyFont="1" applyFill="1" applyBorder="1"/>
    <xf numFmtId="165" fontId="5" fillId="7" borderId="9" xfId="0" applyNumberFormat="1" applyFont="1" applyFill="1" applyBorder="1"/>
    <xf numFmtId="166" fontId="5" fillId="7" borderId="10" xfId="0" applyNumberFormat="1" applyFont="1" applyFill="1" applyBorder="1"/>
    <xf numFmtId="165" fontId="5" fillId="7" borderId="10" xfId="0" applyNumberFormat="1" applyFont="1" applyFill="1" applyBorder="1"/>
    <xf numFmtId="2" fontId="5" fillId="7" borderId="11" xfId="0" applyNumberFormat="1" applyFont="1" applyFill="1" applyBorder="1"/>
    <xf numFmtId="0" fontId="5" fillId="7" borderId="5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/>
    <xf numFmtId="165" fontId="0" fillId="8" borderId="7" xfId="0" applyNumberFormat="1" applyFill="1" applyBorder="1"/>
    <xf numFmtId="166" fontId="0" fillId="8" borderId="8" xfId="0" applyNumberFormat="1" applyFill="1" applyBorder="1"/>
    <xf numFmtId="165" fontId="0" fillId="8" borderId="8" xfId="0" applyNumberFormat="1" applyFill="1" applyBorder="1"/>
    <xf numFmtId="2" fontId="0" fillId="8" borderId="4" xfId="0" applyNumberFormat="1" applyFill="1" applyBorder="1"/>
    <xf numFmtId="0" fontId="0" fillId="3" borderId="0" xfId="0" applyFill="1"/>
    <xf numFmtId="0" fontId="0" fillId="4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9" borderId="12" xfId="0" applyFill="1" applyBorder="1" applyAlignment="1">
      <alignment horizontal="center"/>
    </xf>
    <xf numFmtId="0" fontId="0" fillId="4" borderId="0" xfId="0" applyFill="1"/>
    <xf numFmtId="0" fontId="0" fillId="4" borderId="12" xfId="0" quotePrefix="1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0" borderId="12" xfId="0" quotePrefix="1" applyFont="1" applyFill="1" applyBorder="1"/>
    <xf numFmtId="0" fontId="0" fillId="0" borderId="12" xfId="0" applyFont="1" applyFill="1" applyBorder="1"/>
    <xf numFmtId="0" fontId="6" fillId="0" borderId="12" xfId="0" applyFont="1" applyFill="1" applyBorder="1"/>
    <xf numFmtId="0" fontId="13" fillId="2" borderId="0" xfId="0" applyFont="1" applyFill="1"/>
    <xf numFmtId="166" fontId="0" fillId="0" borderId="0" xfId="0" applyNumberFormat="1" applyFont="1" applyFill="1" applyBorder="1"/>
    <xf numFmtId="0" fontId="0" fillId="10" borderId="0" xfId="0" applyFont="1" applyFill="1" applyBorder="1"/>
    <xf numFmtId="0" fontId="13" fillId="0" borderId="0" xfId="0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center"/>
    </xf>
    <xf numFmtId="0" fontId="0" fillId="10" borderId="0" xfId="0" applyFill="1"/>
    <xf numFmtId="167" fontId="0" fillId="0" borderId="0" xfId="0" applyNumberFormat="1" applyFont="1" applyFill="1" applyBorder="1" applyAlignment="1">
      <alignment horizontal="center"/>
    </xf>
    <xf numFmtId="0" fontId="14" fillId="2" borderId="0" xfId="0" applyFont="1" applyFill="1" applyAlignment="1"/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/>
    </xf>
    <xf numFmtId="0" fontId="14" fillId="2" borderId="0" xfId="0" quotePrefix="1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35" fillId="2" borderId="0" xfId="0" applyFont="1" applyFill="1"/>
    <xf numFmtId="0" fontId="37" fillId="42" borderId="0" xfId="0" applyFont="1" applyFill="1" applyBorder="1"/>
    <xf numFmtId="2" fontId="0" fillId="0" borderId="0" xfId="0" applyNumberFormat="1"/>
    <xf numFmtId="0" fontId="0" fillId="10" borderId="12" xfId="0" applyFill="1" applyBorder="1"/>
    <xf numFmtId="0" fontId="0" fillId="43" borderId="12" xfId="0" applyFill="1" applyBorder="1"/>
    <xf numFmtId="0" fontId="0" fillId="10" borderId="12" xfId="0" applyFill="1" applyBorder="1" applyAlignment="1">
      <alignment horizontal="center"/>
    </xf>
    <xf numFmtId="0" fontId="0" fillId="43" borderId="12" xfId="0" applyFill="1" applyBorder="1" applyAlignment="1">
      <alignment horizontal="center"/>
    </xf>
    <xf numFmtId="1" fontId="0" fillId="10" borderId="12" xfId="0" applyNumberFormat="1" applyFill="1" applyBorder="1"/>
    <xf numFmtId="1" fontId="0" fillId="43" borderId="12" xfId="0" applyNumberFormat="1" applyFill="1" applyBorder="1"/>
    <xf numFmtId="0" fontId="0" fillId="44" borderId="12" xfId="0" applyFill="1" applyBorder="1"/>
    <xf numFmtId="2" fontId="0" fillId="10" borderId="12" xfId="0" applyNumberFormat="1" applyFill="1" applyBorder="1"/>
    <xf numFmtId="0" fontId="0" fillId="44" borderId="0" xfId="0" applyFill="1" applyBorder="1"/>
    <xf numFmtId="0" fontId="0" fillId="9" borderId="12" xfId="0" applyFill="1" applyBorder="1"/>
    <xf numFmtId="0" fontId="0" fillId="3" borderId="12" xfId="0" applyFill="1" applyBorder="1"/>
    <xf numFmtId="2" fontId="0" fillId="43" borderId="12" xfId="0" applyNumberFormat="1" applyFill="1" applyBorder="1"/>
    <xf numFmtId="0" fontId="0" fillId="10" borderId="24" xfId="0" applyFill="1" applyBorder="1" applyAlignment="1">
      <alignment horizontal="center"/>
    </xf>
    <xf numFmtId="0" fontId="0" fillId="43" borderId="24" xfId="0" applyFill="1" applyBorder="1" applyAlignment="1">
      <alignment horizontal="center"/>
    </xf>
    <xf numFmtId="0" fontId="0" fillId="44" borderId="22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0" borderId="0" xfId="0" applyFill="1" applyBorder="1"/>
    <xf numFmtId="2" fontId="31" fillId="2" borderId="0" xfId="0" applyNumberFormat="1" applyFont="1" applyFill="1"/>
    <xf numFmtId="166" fontId="0" fillId="0" borderId="0" xfId="0" applyNumberFormat="1"/>
    <xf numFmtId="0" fontId="34" fillId="2" borderId="0" xfId="0" applyFont="1" applyFill="1" applyAlignment="1">
      <alignment horizontal="center"/>
    </xf>
    <xf numFmtId="0" fontId="40" fillId="2" borderId="0" xfId="0" applyFont="1" applyFill="1" applyAlignment="1"/>
    <xf numFmtId="0" fontId="41" fillId="2" borderId="0" xfId="0" applyFont="1" applyFill="1" applyAlignment="1">
      <alignment horizontal="center"/>
    </xf>
    <xf numFmtId="0" fontId="40" fillId="2" borderId="0" xfId="0" applyFont="1" applyFill="1"/>
    <xf numFmtId="0" fontId="42" fillId="2" borderId="0" xfId="0" applyFont="1" applyFill="1"/>
    <xf numFmtId="0" fontId="35" fillId="2" borderId="0" xfId="0" applyFont="1" applyFill="1" applyAlignment="1"/>
    <xf numFmtId="0" fontId="35" fillId="2" borderId="0" xfId="0" applyFont="1" applyFill="1" applyAlignment="1">
      <alignment horizontal="center"/>
    </xf>
    <xf numFmtId="2" fontId="41" fillId="2" borderId="0" xfId="0" applyNumberFormat="1" applyFont="1" applyFill="1" applyAlignment="1">
      <alignment horizontal="center"/>
    </xf>
    <xf numFmtId="166" fontId="43" fillId="2" borderId="0" xfId="0" applyNumberFormat="1" applyFont="1" applyFill="1" applyAlignment="1">
      <alignment horizontal="center"/>
    </xf>
    <xf numFmtId="1" fontId="43" fillId="2" borderId="0" xfId="0" applyNumberFormat="1" applyFont="1" applyFill="1" applyAlignment="1">
      <alignment horizontal="center"/>
    </xf>
    <xf numFmtId="2" fontId="43" fillId="2" borderId="0" xfId="0" applyNumberFormat="1" applyFont="1" applyFill="1" applyAlignment="1">
      <alignment horizontal="center"/>
    </xf>
    <xf numFmtId="0" fontId="0" fillId="9" borderId="12" xfId="0" applyFill="1" applyBorder="1" applyAlignment="1">
      <alignment horizontal="center"/>
    </xf>
    <xf numFmtId="0" fontId="0" fillId="44" borderId="22" xfId="0" applyFill="1" applyBorder="1" applyAlignment="1">
      <alignment horizontal="center"/>
    </xf>
    <xf numFmtId="2" fontId="0" fillId="45" borderId="12" xfId="0" applyNumberFormat="1" applyFill="1" applyBorder="1"/>
    <xf numFmtId="0" fontId="0" fillId="45" borderId="12" xfId="0" applyFill="1" applyBorder="1"/>
    <xf numFmtId="0" fontId="37" fillId="2" borderId="0" xfId="0" applyFont="1" applyFill="1" applyBorder="1" applyAlignment="1"/>
    <xf numFmtId="0" fontId="37" fillId="2" borderId="0" xfId="0" applyFont="1" applyFill="1" applyBorder="1" applyAlignment="1">
      <alignment horizontal="left"/>
    </xf>
    <xf numFmtId="0" fontId="37" fillId="2" borderId="0" xfId="0" applyFont="1" applyFill="1" applyBorder="1"/>
    <xf numFmtId="0" fontId="0" fillId="2" borderId="25" xfId="0" applyFill="1" applyBorder="1"/>
    <xf numFmtId="0" fontId="0" fillId="45" borderId="0" xfId="0" applyFont="1" applyFill="1" applyBorder="1"/>
    <xf numFmtId="0" fontId="0" fillId="43" borderId="0" xfId="0" applyFill="1" applyBorder="1"/>
    <xf numFmtId="0" fontId="0" fillId="43" borderId="0" xfId="0" applyFill="1"/>
    <xf numFmtId="0" fontId="0" fillId="44" borderId="2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9" fontId="0" fillId="0" borderId="0" xfId="0" applyNumberFormat="1"/>
    <xf numFmtId="0" fontId="0" fillId="44" borderId="2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2" fontId="0" fillId="9" borderId="12" xfId="0" applyNumberFormat="1" applyFill="1" applyBorder="1" applyAlignment="1">
      <alignment horizontal="center"/>
    </xf>
    <xf numFmtId="0" fontId="0" fillId="45" borderId="0" xfId="0" applyFill="1"/>
    <xf numFmtId="2" fontId="0" fillId="45" borderId="0" xfId="0" applyNumberFormat="1" applyFill="1"/>
    <xf numFmtId="2" fontId="0" fillId="9" borderId="0" xfId="0" applyNumberFormat="1" applyFill="1" applyBorder="1" applyAlignment="1">
      <alignment horizontal="center"/>
    </xf>
    <xf numFmtId="0" fontId="46" fillId="2" borderId="0" xfId="0" applyFont="1" applyFill="1" applyAlignment="1"/>
    <xf numFmtId="0" fontId="46" fillId="2" borderId="0" xfId="0" applyFont="1" applyFill="1"/>
    <xf numFmtId="0" fontId="47" fillId="2" borderId="0" xfId="0" applyFont="1" applyFill="1" applyAlignment="1">
      <alignment horizontal="center"/>
    </xf>
    <xf numFmtId="10" fontId="0" fillId="0" borderId="0" xfId="0" applyNumberFormat="1"/>
    <xf numFmtId="0" fontId="49" fillId="2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50" fillId="2" borderId="0" xfId="0" applyFont="1" applyFill="1"/>
    <xf numFmtId="2" fontId="0" fillId="3" borderId="1" xfId="0" applyNumberFormat="1" applyFill="1" applyBorder="1" applyAlignment="1" applyProtection="1">
      <alignment horizontal="center" vertical="center"/>
      <protection hidden="1"/>
    </xf>
    <xf numFmtId="0" fontId="3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4" fillId="2" borderId="0" xfId="0" applyFont="1" applyFill="1" applyAlignment="1">
      <alignment horizontal="right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left" vertical="center" textRotation="90"/>
    </xf>
    <xf numFmtId="0" fontId="38" fillId="42" borderId="0" xfId="0" applyFont="1" applyFill="1" applyAlignment="1">
      <alignment horizontal="center" vertical="center"/>
    </xf>
    <xf numFmtId="0" fontId="37" fillId="2" borderId="0" xfId="0" applyFont="1" applyFill="1" applyBorder="1" applyAlignment="1">
      <alignment horizontal="center"/>
    </xf>
    <xf numFmtId="166" fontId="44" fillId="2" borderId="0" xfId="0" applyNumberFormat="1" applyFont="1" applyFill="1" applyAlignment="1">
      <alignment horizontal="left"/>
    </xf>
    <xf numFmtId="0" fontId="31" fillId="2" borderId="0" xfId="0" applyFont="1" applyFill="1" applyAlignment="1">
      <alignment horizontal="left" wrapText="1"/>
    </xf>
    <xf numFmtId="0" fontId="48" fillId="3" borderId="26" xfId="0" applyFont="1" applyFill="1" applyBorder="1" applyAlignment="1">
      <alignment horizontal="center"/>
    </xf>
    <xf numFmtId="0" fontId="40" fillId="2" borderId="0" xfId="0" applyFont="1" applyFill="1" applyAlignment="1">
      <alignment horizontal="left"/>
    </xf>
    <xf numFmtId="10" fontId="45" fillId="2" borderId="0" xfId="0" applyNumberFormat="1" applyFont="1" applyFill="1" applyAlignment="1">
      <alignment horizontal="center"/>
    </xf>
    <xf numFmtId="9" fontId="45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center" vertical="center" textRotation="90" wrapText="1"/>
    </xf>
    <xf numFmtId="0" fontId="0" fillId="44" borderId="22" xfId="0" applyFill="1" applyBorder="1" applyAlignment="1">
      <alignment horizontal="center"/>
    </xf>
    <xf numFmtId="0" fontId="0" fillId="44" borderId="23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39" fillId="42" borderId="0" xfId="0" applyFont="1" applyFill="1" applyAlignment="1">
      <alignment horizontal="center" vertical="center" textRotation="90"/>
    </xf>
    <xf numFmtId="0" fontId="0" fillId="0" borderId="12" xfId="0" applyBorder="1" applyAlignment="1">
      <alignment horizontal="center"/>
    </xf>
    <xf numFmtId="0" fontId="51" fillId="2" borderId="27" xfId="0" applyFont="1" applyFill="1" applyBorder="1" applyAlignment="1">
      <alignment horizontal="right" vertical="center" textRotation="90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</cellStyles>
  <dxfs count="0"/>
  <tableStyles count="0" defaultTableStyle="TableStyleMedium9" defaultPivotStyle="PivotStyleLight16"/>
  <colors>
    <mruColors>
      <color rgb="FFEF4423"/>
      <color rgb="FF3399FF"/>
      <color rgb="FFDFE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00548346600536E-2"/>
          <c:y val="9.2582004251043834E-2"/>
          <c:w val="0.82259649589279926"/>
          <c:h val="0.80702495090094883"/>
        </c:manualLayout>
      </c:layout>
      <c:lineChart>
        <c:grouping val="standard"/>
        <c:varyColors val="0"/>
        <c:ser>
          <c:idx val="1"/>
          <c:order val="0"/>
          <c:tx>
            <c:v>Moc budynku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  <a:scene3d>
                <a:camera prst="orthographicFront"/>
                <a:lightRig rig="threePt" dir="t"/>
              </a:scene3d>
              <a:sp3d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'Dane dla CO'!$M$31:$M$38</c:f>
              <c:numCache>
                <c:formatCode>General</c:formatCode>
                <c:ptCount val="8"/>
                <c:pt idx="0">
                  <c:v>-20</c:v>
                </c:pt>
                <c:pt idx="1">
                  <c:v>-15</c:v>
                </c:pt>
                <c:pt idx="2">
                  <c:v>-7</c:v>
                </c:pt>
                <c:pt idx="3">
                  <c:v>2</c:v>
                </c:pt>
                <c:pt idx="4">
                  <c:v>7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</c:numCache>
            </c:numRef>
          </c:cat>
          <c:val>
            <c:numRef>
              <c:f>'Dane dla CO'!$N$31:$N$38</c:f>
              <c:numCache>
                <c:formatCode>0.00</c:formatCode>
                <c:ptCount val="8"/>
                <c:pt idx="0">
                  <c:v>10.8</c:v>
                </c:pt>
                <c:pt idx="1">
                  <c:v>9.257142857142858</c:v>
                </c:pt>
                <c:pt idx="2">
                  <c:v>6.7885714285714291</c:v>
                </c:pt>
                <c:pt idx="3">
                  <c:v>4.0114285714285716</c:v>
                </c:pt>
                <c:pt idx="4">
                  <c:v>2.4685714285714289</c:v>
                </c:pt>
                <c:pt idx="5">
                  <c:v>1.5428571428571427</c:v>
                </c:pt>
                <c:pt idx="6">
                  <c:v>0.92571428571428571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2-4D5A-9C31-B9745FCE4703}"/>
            </c:ext>
          </c:extLst>
        </c:ser>
        <c:ser>
          <c:idx val="0"/>
          <c:order val="1"/>
          <c:tx>
            <c:v>Mocy pompy 221.A29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'Dane dla CO'!$Q$18:$Q$25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8.3650000000000002</c:v>
                </c:pt>
                <c:pt idx="3">
                  <c:v>6.85</c:v>
                </c:pt>
                <c:pt idx="4">
                  <c:v>9.4749999999999996</c:v>
                </c:pt>
                <c:pt idx="5">
                  <c:v>10.51</c:v>
                </c:pt>
                <c:pt idx="6">
                  <c:v>10.741999999999999</c:v>
                </c:pt>
                <c:pt idx="7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2-4D5A-9C31-B9745FCE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bg1"/>
                  </a:gs>
                  <a:gs pos="54000">
                    <a:schemeClr val="tx1">
                      <a:lumMod val="65000"/>
                      <a:lumOff val="35000"/>
                    </a:schemeClr>
                  </a:gs>
                </a:gsLst>
                <a:lin ang="16200000" scaled="0"/>
              </a:gradFill>
              <a:round/>
            </a:ln>
            <a:effectLst/>
          </c:spPr>
        </c:dropLines>
        <c:marker val="1"/>
        <c:smooth val="0"/>
        <c:axId val="186618208"/>
        <c:axId val="186618592"/>
      </c:lineChart>
      <c:lineChart>
        <c:grouping val="standard"/>
        <c:varyColors val="0"/>
        <c:ser>
          <c:idx val="2"/>
          <c:order val="2"/>
          <c:tx>
            <c:v>Koszt ciepła z 221.A29</c:v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'Dane dla CO'!$T$18:$T$25</c:f>
              <c:numCache>
                <c:formatCode>#\ ##0.00\ "zł"</c:formatCode>
                <c:ptCount val="8"/>
                <c:pt idx="0">
                  <c:v>0.42699999999999999</c:v>
                </c:pt>
                <c:pt idx="1">
                  <c:v>0.35467142857142858</c:v>
                </c:pt>
                <c:pt idx="2">
                  <c:v>0.27674237895995213</c:v>
                </c:pt>
                <c:pt idx="3">
                  <c:v>0.21906569343065693</c:v>
                </c:pt>
                <c:pt idx="4">
                  <c:v>0.14421108179419528</c:v>
                </c:pt>
                <c:pt idx="5">
                  <c:v>0.11491912464319695</c:v>
                </c:pt>
                <c:pt idx="6">
                  <c:v>0.11152857940793148</c:v>
                </c:pt>
                <c:pt idx="7">
                  <c:v>0.1067087466185753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2-4D5A-9C31-B9745FCE4703}"/>
            </c:ext>
          </c:extLst>
        </c:ser>
        <c:ser>
          <c:idx val="3"/>
          <c:order val="3"/>
          <c:tx>
            <c:v>Koszty ciepła z gazu</c:v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'Dane dla CO'!$V$18:$V$25</c:f>
              <c:numCache>
                <c:formatCode>#\ ##0.00\ "zł"</c:formatCode>
                <c:ptCount val="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2-4D5A-9C31-B9745FCE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186621408"/>
        <c:axId val="186621024"/>
      </c:lineChart>
      <c:catAx>
        <c:axId val="18661820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18592"/>
        <c:crosses val="autoZero"/>
        <c:auto val="1"/>
        <c:lblAlgn val="ctr"/>
        <c:lblOffset val="100"/>
        <c:noMultiLvlLbl val="0"/>
      </c:catAx>
      <c:valAx>
        <c:axId val="1866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18208"/>
        <c:crossesAt val="1"/>
        <c:crossBetween val="between"/>
      </c:valAx>
      <c:valAx>
        <c:axId val="186621024"/>
        <c:scaling>
          <c:orientation val="minMax"/>
          <c:max val="0.9"/>
        </c:scaling>
        <c:delete val="0"/>
        <c:axPos val="r"/>
        <c:numFmt formatCode="#\ ##0.00\ &quot;zl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21408"/>
        <c:crosses val="max"/>
        <c:crossBetween val="between"/>
      </c:valAx>
      <c:catAx>
        <c:axId val="186621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621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307229817152001E-2"/>
          <c:y val="1.0445854727392978E-2"/>
          <c:w val="0.89500213673303053"/>
          <c:h val="5.051270011965527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'Dane dla CO'!$B$7:$B$15</c:f>
              <c:numCache>
                <c:formatCode>General</c:formatCode>
                <c:ptCount val="9"/>
                <c:pt idx="0">
                  <c:v>-15</c:v>
                </c:pt>
                <c:pt idx="1">
                  <c:v>-7</c:v>
                </c:pt>
                <c:pt idx="2">
                  <c:v>2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</c:numCache>
            </c:numRef>
          </c:cat>
          <c:val>
            <c:numRef>
              <c:f>'Dane dla CO'!$F$7:$F$15</c:f>
              <c:numCache>
                <c:formatCode>0.00</c:formatCode>
                <c:ptCount val="9"/>
                <c:pt idx="0">
                  <c:v>2.0553359683794468</c:v>
                </c:pt>
                <c:pt idx="1">
                  <c:v>2.5296442687747041</c:v>
                </c:pt>
                <c:pt idx="2">
                  <c:v>3.7058823529411766</c:v>
                </c:pt>
                <c:pt idx="3">
                  <c:v>4.9738219895287958</c:v>
                </c:pt>
                <c:pt idx="4">
                  <c:v>5.2356020942408383</c:v>
                </c:pt>
                <c:pt idx="5">
                  <c:v>5.3403141361256541</c:v>
                </c:pt>
                <c:pt idx="6">
                  <c:v>5.5263157894736841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35°C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AE-4076-9C70-D793137CAC13}"/>
            </c:ext>
          </c:extLst>
        </c:ser>
        <c:ser>
          <c:idx val="6"/>
          <c:order val="1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'Dane dla CO'!$B$7:$B$15</c:f>
              <c:numCache>
                <c:formatCode>General</c:formatCode>
                <c:ptCount val="9"/>
                <c:pt idx="0">
                  <c:v>-15</c:v>
                </c:pt>
                <c:pt idx="1">
                  <c:v>-7</c:v>
                </c:pt>
                <c:pt idx="2">
                  <c:v>2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</c:numCache>
            </c:numRef>
          </c:cat>
          <c:val>
            <c:numRef>
              <c:f>'Dane dla CO'!$J$7:$J$15</c:f>
              <c:numCache>
                <c:formatCode>0.00</c:formatCode>
                <c:ptCount val="9"/>
                <c:pt idx="0">
                  <c:v>1.5306122448979591</c:v>
                </c:pt>
                <c:pt idx="1">
                  <c:v>2.0560747663551404</c:v>
                </c:pt>
                <c:pt idx="2">
                  <c:v>2.4200913242009134</c:v>
                </c:pt>
                <c:pt idx="3">
                  <c:v>2.9437229437229435</c:v>
                </c:pt>
                <c:pt idx="4">
                  <c:v>3.1424881618596641</c:v>
                </c:pt>
                <c:pt idx="5">
                  <c:v>2.5064377682403434</c:v>
                </c:pt>
                <c:pt idx="6">
                  <c:v>1.553191489361702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45°C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AE-4076-9C70-D793137CAC13}"/>
            </c:ext>
          </c:extLst>
        </c:ser>
        <c:ser>
          <c:idx val="8"/>
          <c:order val="2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'Dane dla CO'!$B$7:$B$15</c:f>
              <c:numCache>
                <c:formatCode>General</c:formatCode>
                <c:ptCount val="9"/>
                <c:pt idx="0">
                  <c:v>-15</c:v>
                </c:pt>
                <c:pt idx="1">
                  <c:v>-7</c:v>
                </c:pt>
                <c:pt idx="2">
                  <c:v>2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</c:numCache>
            </c:numRef>
          </c:cat>
          <c:val>
            <c:numRef>
              <c:f>'Dane dla CO'!$N$7:$N$15</c:f>
              <c:numCache>
                <c:formatCode>0.00</c:formatCode>
                <c:ptCount val="9"/>
                <c:pt idx="0">
                  <c:v>1.25</c:v>
                </c:pt>
                <c:pt idx="1">
                  <c:v>2.0161290322580645</c:v>
                </c:pt>
                <c:pt idx="2">
                  <c:v>2.4200913242009134</c:v>
                </c:pt>
                <c:pt idx="3">
                  <c:v>3.555035128805621</c:v>
                </c:pt>
                <c:pt idx="4">
                  <c:v>4.4502617801047126</c:v>
                </c:pt>
                <c:pt idx="5">
                  <c:v>4.6016771488469601</c:v>
                </c:pt>
                <c:pt idx="6">
                  <c:v>4.8293963254593173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55°C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3AE-4076-9C70-D793137CA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22392"/>
        <c:axId val="185922784"/>
      </c:lineChart>
      <c:catAx>
        <c:axId val="18592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922784"/>
        <c:crosses val="autoZero"/>
        <c:auto val="1"/>
        <c:lblAlgn val="ctr"/>
        <c:lblOffset val="100"/>
        <c:noMultiLvlLbl val="0"/>
      </c:catAx>
      <c:valAx>
        <c:axId val="1859227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5922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Moc budynku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'Dane dla CO'!$M$31:$M$38</c:f>
              <c:numCache>
                <c:formatCode>General</c:formatCode>
                <c:ptCount val="8"/>
                <c:pt idx="0">
                  <c:v>-20</c:v>
                </c:pt>
                <c:pt idx="1">
                  <c:v>-15</c:v>
                </c:pt>
                <c:pt idx="2">
                  <c:v>-7</c:v>
                </c:pt>
                <c:pt idx="3">
                  <c:v>2</c:v>
                </c:pt>
                <c:pt idx="4">
                  <c:v>7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</c:numCache>
            </c:numRef>
          </c:cat>
          <c:val>
            <c:numRef>
              <c:f>'Dane dla CO'!$N$31:$N$38</c:f>
              <c:numCache>
                <c:formatCode>0.00</c:formatCode>
                <c:ptCount val="8"/>
                <c:pt idx="0">
                  <c:v>10.8</c:v>
                </c:pt>
                <c:pt idx="1">
                  <c:v>9.257142857142858</c:v>
                </c:pt>
                <c:pt idx="2">
                  <c:v>6.7885714285714291</c:v>
                </c:pt>
                <c:pt idx="3">
                  <c:v>4.0114285714285716</c:v>
                </c:pt>
                <c:pt idx="4">
                  <c:v>2.4685714285714289</c:v>
                </c:pt>
                <c:pt idx="5">
                  <c:v>1.5428571428571427</c:v>
                </c:pt>
                <c:pt idx="6">
                  <c:v>0.92571428571428571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4-43E5-AFDB-47968F6AB628}"/>
            </c:ext>
          </c:extLst>
        </c:ser>
        <c:ser>
          <c:idx val="0"/>
          <c:order val="1"/>
          <c:tx>
            <c:v>Mocy pompy 221.A29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'Dane dla CO'!$Q$18:$Q$25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8.3650000000000002</c:v>
                </c:pt>
                <c:pt idx="3">
                  <c:v>6.85</c:v>
                </c:pt>
                <c:pt idx="4">
                  <c:v>9.4749999999999996</c:v>
                </c:pt>
                <c:pt idx="5">
                  <c:v>10.51</c:v>
                </c:pt>
                <c:pt idx="6">
                  <c:v>10.741999999999999</c:v>
                </c:pt>
                <c:pt idx="7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4-43E5-AFDB-47968F6AB628}"/>
            </c:ext>
          </c:extLst>
        </c:ser>
        <c:ser>
          <c:idx val="4"/>
          <c:order val="4"/>
          <c:tx>
            <c:v>Moc pompy 221.A26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'Dane dla CO'!$Q$6:$Q$13</c:f>
              <c:numCache>
                <c:formatCode>General</c:formatCode>
                <c:ptCount val="8"/>
                <c:pt idx="1">
                  <c:v>3</c:v>
                </c:pt>
                <c:pt idx="2">
                  <c:v>5</c:v>
                </c:pt>
                <c:pt idx="3">
                  <c:v>5.3</c:v>
                </c:pt>
                <c:pt idx="4">
                  <c:v>7.59</c:v>
                </c:pt>
                <c:pt idx="5">
                  <c:v>8.5</c:v>
                </c:pt>
                <c:pt idx="6">
                  <c:v>8.7799999999999994</c:v>
                </c:pt>
                <c:pt idx="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34-43E5-AFDB-47968F6A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23568"/>
        <c:axId val="185923960"/>
      </c:lineChart>
      <c:lineChart>
        <c:grouping val="standard"/>
        <c:varyColors val="0"/>
        <c:ser>
          <c:idx val="2"/>
          <c:order val="2"/>
          <c:tx>
            <c:v>Koszt ciepła z 221.A29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'Dane dla CO'!$T$18:$T$25</c:f>
              <c:numCache>
                <c:formatCode>#\ ##0.00\ "zł"</c:formatCode>
                <c:ptCount val="8"/>
                <c:pt idx="0">
                  <c:v>0.42699999999999999</c:v>
                </c:pt>
                <c:pt idx="1">
                  <c:v>0.35467142857142858</c:v>
                </c:pt>
                <c:pt idx="2">
                  <c:v>0.27674237895995213</c:v>
                </c:pt>
                <c:pt idx="3">
                  <c:v>0.21906569343065693</c:v>
                </c:pt>
                <c:pt idx="4">
                  <c:v>0.14421108179419528</c:v>
                </c:pt>
                <c:pt idx="5">
                  <c:v>0.11491912464319695</c:v>
                </c:pt>
                <c:pt idx="6">
                  <c:v>0.11152857940793148</c:v>
                </c:pt>
                <c:pt idx="7">
                  <c:v>0.1067087466185753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34-43E5-AFDB-47968F6AB628}"/>
            </c:ext>
          </c:extLst>
        </c:ser>
        <c:ser>
          <c:idx val="3"/>
          <c:order val="3"/>
          <c:tx>
            <c:v>Koszty ciepła z gazu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'Dane dla CO'!$V$18:$V$25</c:f>
              <c:numCache>
                <c:formatCode>#\ ##0.00\ "zł"</c:formatCode>
                <c:ptCount val="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34-43E5-AFDB-47968F6A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24744"/>
        <c:axId val="185924352"/>
      </c:lineChart>
      <c:catAx>
        <c:axId val="18592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923960"/>
        <c:crosses val="autoZero"/>
        <c:auto val="1"/>
        <c:lblAlgn val="ctr"/>
        <c:lblOffset val="100"/>
        <c:noMultiLvlLbl val="0"/>
      </c:catAx>
      <c:valAx>
        <c:axId val="185923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923568"/>
        <c:crossesAt val="1"/>
        <c:crossBetween val="between"/>
      </c:valAx>
      <c:valAx>
        <c:axId val="185924352"/>
        <c:scaling>
          <c:orientation val="minMax"/>
          <c:max val="0.9"/>
        </c:scaling>
        <c:delete val="0"/>
        <c:axPos val="r"/>
        <c:numFmt formatCode="#\ ##0.00\ &quot;zl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924744"/>
        <c:crosses val="max"/>
        <c:crossBetween val="between"/>
      </c:valAx>
      <c:catAx>
        <c:axId val="185924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924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2"/>
          <c:tx>
            <c:v>Moc 221.A29</c:v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dla CO'!$M$44:$M$51</c:f>
              <c:numCache>
                <c:formatCode>General</c:formatCode>
                <c:ptCount val="8"/>
                <c:pt idx="0">
                  <c:v>-20</c:v>
                </c:pt>
                <c:pt idx="1">
                  <c:v>-15</c:v>
                </c:pt>
                <c:pt idx="2">
                  <c:v>-7</c:v>
                </c:pt>
                <c:pt idx="3">
                  <c:v>2</c:v>
                </c:pt>
                <c:pt idx="4">
                  <c:v>7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</c:numCache>
            </c:numRef>
          </c:cat>
          <c:val>
            <c:numRef>
              <c:f>'Dane dla CO'!$N$44:$N$51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8.3650000000000002</c:v>
                </c:pt>
                <c:pt idx="3">
                  <c:v>6.85</c:v>
                </c:pt>
                <c:pt idx="4">
                  <c:v>9.4749999999999996</c:v>
                </c:pt>
                <c:pt idx="5">
                  <c:v>10.51</c:v>
                </c:pt>
                <c:pt idx="6">
                  <c:v>10.741999999999999</c:v>
                </c:pt>
                <c:pt idx="7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1-4517-8FFB-3E51E7BD11F5}"/>
            </c:ext>
          </c:extLst>
        </c:ser>
        <c:ser>
          <c:idx val="1"/>
          <c:order val="3"/>
          <c:tx>
            <c:v>Moc budynku</c:v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F442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'Dane dla CO'!$N$31:$N$38</c:f>
              <c:numCache>
                <c:formatCode>0.00</c:formatCode>
                <c:ptCount val="8"/>
                <c:pt idx="0">
                  <c:v>10.8</c:v>
                </c:pt>
                <c:pt idx="1">
                  <c:v>9.257142857142858</c:v>
                </c:pt>
                <c:pt idx="2">
                  <c:v>6.7885714285714291</c:v>
                </c:pt>
                <c:pt idx="3">
                  <c:v>4.0114285714285716</c:v>
                </c:pt>
                <c:pt idx="4">
                  <c:v>2.4685714285714289</c:v>
                </c:pt>
                <c:pt idx="5">
                  <c:v>1.5428571428571427</c:v>
                </c:pt>
                <c:pt idx="6">
                  <c:v>0.92571428571428571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1-4517-8FFB-3E51E7BD11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marker val="1"/>
        <c:smooth val="0"/>
        <c:axId val="187494312"/>
        <c:axId val="187494704"/>
      </c:lineChart>
      <c:lineChart>
        <c:grouping val="standard"/>
        <c:varyColors val="0"/>
        <c:ser>
          <c:idx val="3"/>
          <c:order val="0"/>
          <c:tx>
            <c:v>Koszt ciepła z gazu 221.A29</c:v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4"/>
              </a:outerShdw>
            </a:effectLst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81-4517-8FFB-3E51E7BD11F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81-4517-8FFB-3E51E7BD11F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81-4517-8FFB-3E51E7BD11F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81-4517-8FFB-3E51E7BD11F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81-4517-8FFB-3E51E7BD11F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81-4517-8FFB-3E51E7BD11F5}"/>
                </c:ext>
              </c:extLst>
            </c:dLbl>
            <c:numFmt formatCode="#,##0.00\ &quot;zł&quot;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'Dane dla CO'!$V$18:$V$25</c:f>
              <c:numCache>
                <c:formatCode>#\ ##0.00\ "zł"</c:formatCode>
                <c:ptCount val="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81-4517-8FFB-3E51E7BD11F5}"/>
            </c:ext>
          </c:extLst>
        </c:ser>
        <c:ser>
          <c:idx val="2"/>
          <c:order val="1"/>
          <c:tx>
            <c:v>Koszt ciepła z PC 221.A29</c:v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3"/>
              </a:outerShdw>
            </a:effectLst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'Dane dla CO'!$N$57:$N$64</c:f>
              <c:numCache>
                <c:formatCode>#\ ##0.00\ "zł"</c:formatCode>
                <c:ptCount val="8"/>
                <c:pt idx="0">
                  <c:v>0.42699999999999999</c:v>
                </c:pt>
                <c:pt idx="1">
                  <c:v>0.35467142857142858</c:v>
                </c:pt>
                <c:pt idx="2">
                  <c:v>0.27674237895995213</c:v>
                </c:pt>
                <c:pt idx="3">
                  <c:v>0.21906569343065693</c:v>
                </c:pt>
                <c:pt idx="4">
                  <c:v>0.14421108179419528</c:v>
                </c:pt>
                <c:pt idx="5">
                  <c:v>0.11491912464319695</c:v>
                </c:pt>
                <c:pt idx="6">
                  <c:v>0.11152857940793148</c:v>
                </c:pt>
                <c:pt idx="7">
                  <c:v>0.1067087466185753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81-4517-8FFB-3E51E7BD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95488"/>
        <c:axId val="187495096"/>
      </c:lineChart>
      <c:catAx>
        <c:axId val="187494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94704"/>
        <c:crosses val="autoZero"/>
        <c:auto val="1"/>
        <c:lblAlgn val="ctr"/>
        <c:lblOffset val="100"/>
        <c:noMultiLvlLbl val="0"/>
      </c:catAx>
      <c:valAx>
        <c:axId val="187494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94312"/>
        <c:crosses val="autoZero"/>
        <c:crossBetween val="between"/>
      </c:valAx>
      <c:valAx>
        <c:axId val="187495096"/>
        <c:scaling>
          <c:orientation val="minMax"/>
        </c:scaling>
        <c:delete val="0"/>
        <c:axPos val="r"/>
        <c:numFmt formatCode="#\ ##0.00\ &quot;zł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95488"/>
        <c:crosses val="max"/>
        <c:crossBetween val="between"/>
      </c:valAx>
      <c:catAx>
        <c:axId val="187495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495096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Dane!#REF!</c:f>
              <c:numCache>
                <c:formatCode>General</c:formatCode>
                <c:ptCount val="8"/>
                <c:pt idx="0">
                  <c:v>1.9</c:v>
                </c:pt>
                <c:pt idx="1">
                  <c:v>2.85</c:v>
                </c:pt>
                <c:pt idx="2">
                  <c:v>3.27</c:v>
                </c:pt>
                <c:pt idx="3">
                  <c:v>4.6399999999999997</c:v>
                </c:pt>
                <c:pt idx="4">
                  <c:v>4.83</c:v>
                </c:pt>
                <c:pt idx="5">
                  <c:v>5</c:v>
                </c:pt>
                <c:pt idx="6">
                  <c:v>5.27</c:v>
                </c:pt>
                <c:pt idx="7">
                  <c:v>5.7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35°C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-15</c:v>
                      </c:pt>
                      <c:pt idx="1">
                        <c:v>-7</c:v>
                      </c:pt>
                      <c:pt idx="2">
                        <c:v>2</c:v>
                      </c:pt>
                      <c:pt idx="3">
                        <c:v>7</c:v>
                      </c:pt>
                      <c:pt idx="4">
                        <c:v>10</c:v>
                      </c:pt>
                      <c:pt idx="5">
                        <c:v>12</c:v>
                      </c:pt>
                      <c:pt idx="6">
                        <c:v>20</c:v>
                      </c:pt>
                      <c:pt idx="7">
                        <c:v>30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85-40DC-B786-8A96F0671AA2}"/>
            </c:ext>
          </c:extLst>
        </c:ser>
        <c:ser>
          <c:idx val="6"/>
          <c:order val="1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Dane!#REF!</c:f>
              <c:numCache>
                <c:formatCode>General</c:formatCode>
                <c:ptCount val="8"/>
                <c:pt idx="0">
                  <c:v>1.6</c:v>
                </c:pt>
                <c:pt idx="1">
                  <c:v>2.2000000000000002</c:v>
                </c:pt>
                <c:pt idx="2">
                  <c:v>2.65</c:v>
                </c:pt>
                <c:pt idx="3">
                  <c:v>3.55</c:v>
                </c:pt>
                <c:pt idx="4">
                  <c:v>3.67</c:v>
                </c:pt>
                <c:pt idx="5">
                  <c:v>3.75</c:v>
                </c:pt>
                <c:pt idx="6">
                  <c:v>4.04</c:v>
                </c:pt>
                <c:pt idx="7">
                  <c:v>4.41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45°C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-15</c:v>
                      </c:pt>
                      <c:pt idx="1">
                        <c:v>-7</c:v>
                      </c:pt>
                      <c:pt idx="2">
                        <c:v>2</c:v>
                      </c:pt>
                      <c:pt idx="3">
                        <c:v>7</c:v>
                      </c:pt>
                      <c:pt idx="4">
                        <c:v>10</c:v>
                      </c:pt>
                      <c:pt idx="5">
                        <c:v>12</c:v>
                      </c:pt>
                      <c:pt idx="6">
                        <c:v>20</c:v>
                      </c:pt>
                      <c:pt idx="7">
                        <c:v>30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85-40DC-B786-8A96F0671AA2}"/>
            </c:ext>
          </c:extLst>
        </c:ser>
        <c:ser>
          <c:idx val="8"/>
          <c:order val="2"/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Dane!#REF!</c:f>
              <c:numCache>
                <c:formatCode>General</c:formatCode>
                <c:ptCount val="8"/>
                <c:pt idx="0">
                  <c:v>1.1599999999999999</c:v>
                </c:pt>
                <c:pt idx="1">
                  <c:v>1.7</c:v>
                </c:pt>
                <c:pt idx="2">
                  <c:v>2.12</c:v>
                </c:pt>
                <c:pt idx="3">
                  <c:v>2.74</c:v>
                </c:pt>
                <c:pt idx="4">
                  <c:v>2.87</c:v>
                </c:pt>
                <c:pt idx="5">
                  <c:v>3.1</c:v>
                </c:pt>
                <c:pt idx="6">
                  <c:v>3.3</c:v>
                </c:pt>
                <c:pt idx="7">
                  <c:v>3.45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55°C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-15</c:v>
                      </c:pt>
                      <c:pt idx="1">
                        <c:v>-7</c:v>
                      </c:pt>
                      <c:pt idx="2">
                        <c:v>2</c:v>
                      </c:pt>
                      <c:pt idx="3">
                        <c:v>7</c:v>
                      </c:pt>
                      <c:pt idx="4">
                        <c:v>10</c:v>
                      </c:pt>
                      <c:pt idx="5">
                        <c:v>12</c:v>
                      </c:pt>
                      <c:pt idx="6">
                        <c:v>20</c:v>
                      </c:pt>
                      <c:pt idx="7">
                        <c:v>30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85-40DC-B786-8A96F0671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496272"/>
        <c:axId val="187496664"/>
      </c:lineChart>
      <c:catAx>
        <c:axId val="1874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496664"/>
        <c:crosses val="autoZero"/>
        <c:auto val="1"/>
        <c:lblAlgn val="ctr"/>
        <c:lblOffset val="100"/>
        <c:noMultiLvlLbl val="0"/>
      </c:catAx>
      <c:valAx>
        <c:axId val="187496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496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'Dane dla CO'!$B$7:$B$15</c:f>
              <c:numCache>
                <c:formatCode>General</c:formatCode>
                <c:ptCount val="9"/>
                <c:pt idx="0">
                  <c:v>-15</c:v>
                </c:pt>
                <c:pt idx="1">
                  <c:v>-7</c:v>
                </c:pt>
                <c:pt idx="2">
                  <c:v>2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</c:numCache>
            </c:numRef>
          </c:cat>
          <c:val>
            <c:numRef>
              <c:f>'Dane dla CO'!$F$7:$F$15</c:f>
              <c:numCache>
                <c:formatCode>0.00</c:formatCode>
                <c:ptCount val="9"/>
                <c:pt idx="0">
                  <c:v>2.0553359683794468</c:v>
                </c:pt>
                <c:pt idx="1">
                  <c:v>2.5296442687747041</c:v>
                </c:pt>
                <c:pt idx="2">
                  <c:v>3.7058823529411766</c:v>
                </c:pt>
                <c:pt idx="3">
                  <c:v>4.9738219895287958</c:v>
                </c:pt>
                <c:pt idx="4">
                  <c:v>5.2356020942408383</c:v>
                </c:pt>
                <c:pt idx="5">
                  <c:v>5.3403141361256541</c:v>
                </c:pt>
                <c:pt idx="6">
                  <c:v>5.5263157894736841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35°C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CB-46EF-A514-3AC508BAA18F}"/>
            </c:ext>
          </c:extLst>
        </c:ser>
        <c:ser>
          <c:idx val="6"/>
          <c:order val="1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'Dane dla CO'!$B$7:$B$15</c:f>
              <c:numCache>
                <c:formatCode>General</c:formatCode>
                <c:ptCount val="9"/>
                <c:pt idx="0">
                  <c:v>-15</c:v>
                </c:pt>
                <c:pt idx="1">
                  <c:v>-7</c:v>
                </c:pt>
                <c:pt idx="2">
                  <c:v>2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</c:numCache>
            </c:numRef>
          </c:cat>
          <c:val>
            <c:numRef>
              <c:f>'Dane dla CO'!$J$7:$J$15</c:f>
              <c:numCache>
                <c:formatCode>0.00</c:formatCode>
                <c:ptCount val="9"/>
                <c:pt idx="0">
                  <c:v>1.5306122448979591</c:v>
                </c:pt>
                <c:pt idx="1">
                  <c:v>2.0560747663551404</c:v>
                </c:pt>
                <c:pt idx="2">
                  <c:v>2.4200913242009134</c:v>
                </c:pt>
                <c:pt idx="3">
                  <c:v>2.9437229437229435</c:v>
                </c:pt>
                <c:pt idx="4">
                  <c:v>3.1424881618596641</c:v>
                </c:pt>
                <c:pt idx="5">
                  <c:v>2.5064377682403434</c:v>
                </c:pt>
                <c:pt idx="6">
                  <c:v>1.553191489361702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45°C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4CB-46EF-A514-3AC508BAA18F}"/>
            </c:ext>
          </c:extLst>
        </c:ser>
        <c:ser>
          <c:idx val="8"/>
          <c:order val="2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'Dane dla CO'!$B$7:$B$15</c:f>
              <c:numCache>
                <c:formatCode>General</c:formatCode>
                <c:ptCount val="9"/>
                <c:pt idx="0">
                  <c:v>-15</c:v>
                </c:pt>
                <c:pt idx="1">
                  <c:v>-7</c:v>
                </c:pt>
                <c:pt idx="2">
                  <c:v>2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</c:numCache>
            </c:numRef>
          </c:cat>
          <c:val>
            <c:numRef>
              <c:f>'Dane dla CO'!$N$7:$N$15</c:f>
              <c:numCache>
                <c:formatCode>0.00</c:formatCode>
                <c:ptCount val="9"/>
                <c:pt idx="0">
                  <c:v>1.25</c:v>
                </c:pt>
                <c:pt idx="1">
                  <c:v>2.0161290322580645</c:v>
                </c:pt>
                <c:pt idx="2">
                  <c:v>2.4200913242009134</c:v>
                </c:pt>
                <c:pt idx="3">
                  <c:v>3.555035128805621</c:v>
                </c:pt>
                <c:pt idx="4">
                  <c:v>4.4502617801047126</c:v>
                </c:pt>
                <c:pt idx="5">
                  <c:v>4.6016771488469601</c:v>
                </c:pt>
                <c:pt idx="6">
                  <c:v>4.8293963254593173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55°C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4CB-46EF-A514-3AC508BA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497448"/>
        <c:axId val="187795736"/>
      </c:lineChart>
      <c:catAx>
        <c:axId val="187497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795736"/>
        <c:crosses val="autoZero"/>
        <c:auto val="1"/>
        <c:lblAlgn val="ctr"/>
        <c:lblOffset val="100"/>
        <c:noMultiLvlLbl val="0"/>
      </c:catAx>
      <c:valAx>
        <c:axId val="1877957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7497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Moc budynku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'Dane dla CO'!$M$31:$M$38</c:f>
              <c:numCache>
                <c:formatCode>General</c:formatCode>
                <c:ptCount val="8"/>
                <c:pt idx="0">
                  <c:v>-20</c:v>
                </c:pt>
                <c:pt idx="1">
                  <c:v>-15</c:v>
                </c:pt>
                <c:pt idx="2">
                  <c:v>-7</c:v>
                </c:pt>
                <c:pt idx="3">
                  <c:v>2</c:v>
                </c:pt>
                <c:pt idx="4">
                  <c:v>7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</c:numCache>
            </c:numRef>
          </c:cat>
          <c:val>
            <c:numRef>
              <c:f>'Dane dla CO'!$N$31:$N$38</c:f>
              <c:numCache>
                <c:formatCode>0.00</c:formatCode>
                <c:ptCount val="8"/>
                <c:pt idx="0">
                  <c:v>10.8</c:v>
                </c:pt>
                <c:pt idx="1">
                  <c:v>9.257142857142858</c:v>
                </c:pt>
                <c:pt idx="2">
                  <c:v>6.7885714285714291</c:v>
                </c:pt>
                <c:pt idx="3">
                  <c:v>4.0114285714285716</c:v>
                </c:pt>
                <c:pt idx="4">
                  <c:v>2.4685714285714289</c:v>
                </c:pt>
                <c:pt idx="5">
                  <c:v>1.5428571428571427</c:v>
                </c:pt>
                <c:pt idx="6">
                  <c:v>0.92571428571428571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A-4930-AD4A-DCD9D1F34EF4}"/>
            </c:ext>
          </c:extLst>
        </c:ser>
        <c:ser>
          <c:idx val="0"/>
          <c:order val="1"/>
          <c:tx>
            <c:v>Mocy pompy 221.A29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'Dane dla CO'!$Q$18:$Q$25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8.3650000000000002</c:v>
                </c:pt>
                <c:pt idx="3">
                  <c:v>6.85</c:v>
                </c:pt>
                <c:pt idx="4">
                  <c:v>9.4749999999999996</c:v>
                </c:pt>
                <c:pt idx="5">
                  <c:v>10.51</c:v>
                </c:pt>
                <c:pt idx="6">
                  <c:v>10.741999999999999</c:v>
                </c:pt>
                <c:pt idx="7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A-4930-AD4A-DCD9D1F34EF4}"/>
            </c:ext>
          </c:extLst>
        </c:ser>
        <c:ser>
          <c:idx val="4"/>
          <c:order val="4"/>
          <c:tx>
            <c:v>Moc pompy 221.A26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'Dane dla CO'!$Q$6:$Q$13</c:f>
              <c:numCache>
                <c:formatCode>General</c:formatCode>
                <c:ptCount val="8"/>
                <c:pt idx="1">
                  <c:v>3</c:v>
                </c:pt>
                <c:pt idx="2">
                  <c:v>5</c:v>
                </c:pt>
                <c:pt idx="3">
                  <c:v>5.3</c:v>
                </c:pt>
                <c:pt idx="4">
                  <c:v>7.59</c:v>
                </c:pt>
                <c:pt idx="5">
                  <c:v>8.5</c:v>
                </c:pt>
                <c:pt idx="6">
                  <c:v>8.7799999999999994</c:v>
                </c:pt>
                <c:pt idx="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A-4930-AD4A-DCD9D1F3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96520"/>
        <c:axId val="187796912"/>
      </c:lineChart>
      <c:lineChart>
        <c:grouping val="standard"/>
        <c:varyColors val="0"/>
        <c:ser>
          <c:idx val="2"/>
          <c:order val="2"/>
          <c:tx>
            <c:v>Koszt ciepła z 221.A29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'Dane dla CO'!$T$18:$T$25</c:f>
              <c:numCache>
                <c:formatCode>#\ ##0.00\ "zł"</c:formatCode>
                <c:ptCount val="8"/>
                <c:pt idx="0">
                  <c:v>0.42699999999999999</c:v>
                </c:pt>
                <c:pt idx="1">
                  <c:v>0.35467142857142858</c:v>
                </c:pt>
                <c:pt idx="2">
                  <c:v>0.27674237895995213</c:v>
                </c:pt>
                <c:pt idx="3">
                  <c:v>0.21906569343065693</c:v>
                </c:pt>
                <c:pt idx="4">
                  <c:v>0.14421108179419528</c:v>
                </c:pt>
                <c:pt idx="5">
                  <c:v>0.11491912464319695</c:v>
                </c:pt>
                <c:pt idx="6">
                  <c:v>0.11152857940793148</c:v>
                </c:pt>
                <c:pt idx="7">
                  <c:v>0.1067087466185753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BA-4930-AD4A-DCD9D1F34EF4}"/>
            </c:ext>
          </c:extLst>
        </c:ser>
        <c:ser>
          <c:idx val="3"/>
          <c:order val="3"/>
          <c:tx>
            <c:v>Koszty ciepła z gazu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'Dane dla CO'!$V$18:$V$25</c:f>
              <c:numCache>
                <c:formatCode>#\ ##0.00\ "zł"</c:formatCode>
                <c:ptCount val="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BA-4930-AD4A-DCD9D1F3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97696"/>
        <c:axId val="187797304"/>
      </c:lineChart>
      <c:catAx>
        <c:axId val="18779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6912"/>
        <c:crosses val="autoZero"/>
        <c:auto val="1"/>
        <c:lblAlgn val="ctr"/>
        <c:lblOffset val="100"/>
        <c:noMultiLvlLbl val="0"/>
      </c:catAx>
      <c:valAx>
        <c:axId val="18779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6520"/>
        <c:crossesAt val="1"/>
        <c:crossBetween val="between"/>
      </c:valAx>
      <c:valAx>
        <c:axId val="187797304"/>
        <c:scaling>
          <c:orientation val="minMax"/>
          <c:max val="0.9"/>
        </c:scaling>
        <c:delete val="0"/>
        <c:axPos val="r"/>
        <c:numFmt formatCode="#\ ##0.00\ &quot;zl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7696"/>
        <c:crosses val="max"/>
        <c:crossBetween val="between"/>
      </c:valAx>
      <c:catAx>
        <c:axId val="187797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797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2"/>
          <c:tx>
            <c:v>Moc 221.A29</c:v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dla CO'!$M$44:$M$51</c:f>
              <c:numCache>
                <c:formatCode>General</c:formatCode>
                <c:ptCount val="8"/>
                <c:pt idx="0">
                  <c:v>-20</c:v>
                </c:pt>
                <c:pt idx="1">
                  <c:v>-15</c:v>
                </c:pt>
                <c:pt idx="2">
                  <c:v>-7</c:v>
                </c:pt>
                <c:pt idx="3">
                  <c:v>2</c:v>
                </c:pt>
                <c:pt idx="4">
                  <c:v>7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</c:numCache>
            </c:numRef>
          </c:cat>
          <c:val>
            <c:numRef>
              <c:f>'Dane dla CO'!$N$44:$N$51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8.3650000000000002</c:v>
                </c:pt>
                <c:pt idx="3">
                  <c:v>6.85</c:v>
                </c:pt>
                <c:pt idx="4">
                  <c:v>9.4749999999999996</c:v>
                </c:pt>
                <c:pt idx="5">
                  <c:v>10.51</c:v>
                </c:pt>
                <c:pt idx="6">
                  <c:v>10.741999999999999</c:v>
                </c:pt>
                <c:pt idx="7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B-4E82-B4C9-FE5EBDFB8342}"/>
            </c:ext>
          </c:extLst>
        </c:ser>
        <c:ser>
          <c:idx val="1"/>
          <c:order val="3"/>
          <c:tx>
            <c:v>Moc budynku</c:v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F442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'Dane dla CO'!$N$31:$N$38</c:f>
              <c:numCache>
                <c:formatCode>0.00</c:formatCode>
                <c:ptCount val="8"/>
                <c:pt idx="0">
                  <c:v>10.8</c:v>
                </c:pt>
                <c:pt idx="1">
                  <c:v>9.257142857142858</c:v>
                </c:pt>
                <c:pt idx="2">
                  <c:v>6.7885714285714291</c:v>
                </c:pt>
                <c:pt idx="3">
                  <c:v>4.0114285714285716</c:v>
                </c:pt>
                <c:pt idx="4">
                  <c:v>2.4685714285714289</c:v>
                </c:pt>
                <c:pt idx="5">
                  <c:v>1.5428571428571427</c:v>
                </c:pt>
                <c:pt idx="6">
                  <c:v>0.92571428571428571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B-4E82-B4C9-FE5EBDFB83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marker val="1"/>
        <c:smooth val="0"/>
        <c:axId val="187798480"/>
        <c:axId val="187798872"/>
      </c:lineChart>
      <c:lineChart>
        <c:grouping val="standard"/>
        <c:varyColors val="0"/>
        <c:ser>
          <c:idx val="3"/>
          <c:order val="0"/>
          <c:tx>
            <c:v>Koszt ciepła z gazu 221.A29</c:v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4"/>
              </a:outerShdw>
            </a:effectLst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8B-4E82-B4C9-FE5EBDFB8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8B-4E82-B4C9-FE5EBDFB83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8B-4E82-B4C9-FE5EBDFB83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8B-4E82-B4C9-FE5EBDFB83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8B-4E82-B4C9-FE5EBDFB83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8B-4E82-B4C9-FE5EBDFB8342}"/>
                </c:ext>
              </c:extLst>
            </c:dLbl>
            <c:numFmt formatCode="#,##0.00\ &quot;zł&quot;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'Dane dla CO'!$V$18:$V$25</c:f>
              <c:numCache>
                <c:formatCode>#\ ##0.00\ "zł"</c:formatCode>
                <c:ptCount val="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8B-4E82-B4C9-FE5EBDFB8342}"/>
            </c:ext>
          </c:extLst>
        </c:ser>
        <c:ser>
          <c:idx val="2"/>
          <c:order val="1"/>
          <c:tx>
            <c:v>Koszt ciepła z PC 221.A29</c:v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3"/>
              </a:outerShdw>
            </a:effectLst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'Dane dla CO'!$N$57:$N$64</c:f>
              <c:numCache>
                <c:formatCode>#\ ##0.00\ "zł"</c:formatCode>
                <c:ptCount val="8"/>
                <c:pt idx="0">
                  <c:v>0.42699999999999999</c:v>
                </c:pt>
                <c:pt idx="1">
                  <c:v>0.35467142857142858</c:v>
                </c:pt>
                <c:pt idx="2">
                  <c:v>0.27674237895995213</c:v>
                </c:pt>
                <c:pt idx="3">
                  <c:v>0.21906569343065693</c:v>
                </c:pt>
                <c:pt idx="4">
                  <c:v>0.14421108179419528</c:v>
                </c:pt>
                <c:pt idx="5">
                  <c:v>0.11491912464319695</c:v>
                </c:pt>
                <c:pt idx="6">
                  <c:v>0.11152857940793148</c:v>
                </c:pt>
                <c:pt idx="7">
                  <c:v>0.1067087466185753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8B-4E82-B4C9-FE5EBDFB8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55640"/>
        <c:axId val="187799264"/>
      </c:lineChart>
      <c:catAx>
        <c:axId val="18779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8872"/>
        <c:crosses val="autoZero"/>
        <c:auto val="1"/>
        <c:lblAlgn val="ctr"/>
        <c:lblOffset val="100"/>
        <c:noMultiLvlLbl val="0"/>
      </c:catAx>
      <c:valAx>
        <c:axId val="187798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8480"/>
        <c:crosses val="autoZero"/>
        <c:crossBetween val="between"/>
      </c:valAx>
      <c:valAx>
        <c:axId val="187799264"/>
        <c:scaling>
          <c:orientation val="minMax"/>
        </c:scaling>
        <c:delete val="0"/>
        <c:axPos val="r"/>
        <c:numFmt formatCode="#\ ##0.00\ &quot;zł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55640"/>
        <c:crosses val="max"/>
        <c:crossBetween val="between"/>
      </c:valAx>
      <c:catAx>
        <c:axId val="188055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799264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/>
              <a:t>Ilość d</a:t>
            </a:r>
            <a:r>
              <a:rPr lang="en-US" sz="1600"/>
              <a:t>ni</a:t>
            </a:r>
            <a:r>
              <a:rPr lang="pl-PL" sz="1600" baseline="0"/>
              <a:t> o średniej </a:t>
            </a:r>
            <a:r>
              <a:rPr lang="pl-PL" sz="1600"/>
              <a:t>temperaturze</a:t>
            </a:r>
            <a:r>
              <a:rPr lang="en-US" sz="1600"/>
              <a:t> </a:t>
            </a:r>
            <a:r>
              <a:rPr lang="pl-PL" sz="1600"/>
              <a:t>zewnętrznej</a:t>
            </a:r>
            <a:r>
              <a:rPr lang="pl-PL" sz="1600" baseline="0"/>
              <a:t> </a:t>
            </a:r>
            <a:r>
              <a:rPr lang="en-US" sz="1600"/>
              <a:t>w sezonie grzewczym</a:t>
            </a:r>
            <a:r>
              <a:rPr lang="pl-PL" sz="1600"/>
              <a:t> 01-04 + 09-12</a:t>
            </a:r>
            <a:r>
              <a:rPr lang="pl-PL" sz="1600" baseline="0"/>
              <a:t> dla K</a:t>
            </a:r>
            <a:r>
              <a:rPr lang="pl-PL" sz="1600"/>
              <a:t>rakowa w 2012 </a:t>
            </a:r>
            <a:r>
              <a:rPr lang="pl-PL" sz="1600" baseline="0"/>
              <a:t> roku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movingAvg"/>
            <c:period val="5"/>
            <c:dispRSqr val="0"/>
            <c:dispEq val="0"/>
          </c:trendline>
          <c:cat>
            <c:numRef>
              <c:f>'SCOP 221.A26'!$DS$7:$DS$40</c:f>
              <c:numCache>
                <c:formatCode>General</c:formatCode>
                <c:ptCount val="34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</c:numCache>
            </c:numRef>
          </c:cat>
          <c:val>
            <c:numRef>
              <c:f>'SCOP 221.A26'!$DR$7:$DR$40</c:f>
              <c:numCache>
                <c:formatCode>General</c:formatCode>
                <c:ptCount val="3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17</c:v>
                </c:pt>
                <c:pt idx="19">
                  <c:v>7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11</c:v>
                </c:pt>
                <c:pt idx="24">
                  <c:v>20</c:v>
                </c:pt>
                <c:pt idx="25">
                  <c:v>13</c:v>
                </c:pt>
                <c:pt idx="26">
                  <c:v>17</c:v>
                </c:pt>
                <c:pt idx="27">
                  <c:v>9</c:v>
                </c:pt>
                <c:pt idx="28">
                  <c:v>11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9</c:v>
                </c:pt>
                <c:pt idx="3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Ilość dni o średniej, dziennej temperaturze zewnętrznej</c:v>
                </c15:tx>
              </c15:filteredSeriesTitle>
            </c:ext>
            <c:ext xmlns:c16="http://schemas.microsoft.com/office/drawing/2014/chart" uri="{C3380CC4-5D6E-409C-BE32-E72D297353CC}">
              <c16:uniqueId val="{00000000-47B5-428D-AC94-FCF7B18B1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56424"/>
        <c:axId val="188056816"/>
      </c:barChart>
      <c:catAx>
        <c:axId val="188056424"/>
        <c:scaling>
          <c:orientation val="minMax"/>
        </c:scaling>
        <c:delete val="0"/>
        <c:axPos val="b"/>
        <c:majorGridlines/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88056816"/>
        <c:crosses val="autoZero"/>
        <c:auto val="1"/>
        <c:lblAlgn val="ctr"/>
        <c:lblOffset val="100"/>
        <c:noMultiLvlLbl val="0"/>
      </c:catAx>
      <c:valAx>
        <c:axId val="18805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88056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44485840919503E-2"/>
          <c:y val="0.14734867523098935"/>
          <c:w val="0.77758183446250184"/>
          <c:h val="0.84994312573181241"/>
        </c:manualLayout>
      </c:layout>
      <c:pieChart>
        <c:varyColors val="1"/>
        <c:ser>
          <c:idx val="0"/>
          <c:order val="0"/>
          <c:spPr>
            <a:ln w="635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45A-4CB3-BBCF-787E78B53E7F}"/>
              </c:ext>
            </c:extLst>
          </c:dPt>
          <c:dPt>
            <c:idx val="1"/>
            <c:bubble3D val="0"/>
            <c:spPr>
              <a:solidFill>
                <a:srgbClr val="EF4423"/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45A-4CB3-BBCF-787E78B53E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45A-4CB3-BBCF-787E78B53E7F}"/>
              </c:ext>
            </c:extLst>
          </c:dPt>
          <c:cat>
            <c:strRef>
              <c:f>('SCOP 221.A26'!$FG$16,'SCOP 221.A26'!$FF$11,'SCOP 221.A26'!$FG$10)</c:f>
              <c:strCache>
                <c:ptCount val="3"/>
                <c:pt idx="0">
                  <c:v>Praca pompy ciepła</c:v>
                </c:pt>
                <c:pt idx="1">
                  <c:v>Zarządzanie ciepłem</c:v>
                </c:pt>
                <c:pt idx="2">
                  <c:v>Koszty po modernizacji</c:v>
                </c:pt>
              </c:strCache>
            </c:strRef>
          </c:cat>
          <c:val>
            <c:numRef>
              <c:f>('SCOP 221.A26'!$FJ$16,'SCOP 221.A26'!$FI$11,'SCOP 221.A26'!$FI$10)</c:f>
              <c:numCache>
                <c:formatCode>#\ ##0.00\ "zł"</c:formatCode>
                <c:ptCount val="3"/>
                <c:pt idx="0">
                  <c:v>758.15138447905792</c:v>
                </c:pt>
                <c:pt idx="1">
                  <c:v>450.36843838274672</c:v>
                </c:pt>
                <c:pt idx="2">
                  <c:v>5165.1367673170507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5A-4CB3-BBCF-787E78B53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683920846955174E-2"/>
          <c:y val="0.63927617060014097"/>
          <c:w val="0.83058082352036233"/>
          <c:h val="0.29452223250550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Pompa ciepła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221.A26'!$I$44:$I$54</c:f>
              <c:numCache>
                <c:formatCode>0.00</c:formatCode>
                <c:ptCount val="11"/>
                <c:pt idx="0">
                  <c:v>3506.4000000000005</c:v>
                </c:pt>
                <c:pt idx="1">
                  <c:v>4183.2000000000007</c:v>
                </c:pt>
                <c:pt idx="2">
                  <c:v>2268</c:v>
                </c:pt>
                <c:pt idx="3">
                  <c:v>1252.8000000000002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6-4C05-B172-835461DCE70E}"/>
            </c:ext>
          </c:extLst>
        </c:ser>
        <c:ser>
          <c:idx val="1"/>
          <c:order val="1"/>
          <c:tx>
            <c:v>Kocioł szczytowy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221.A26'!$J$44:$J$54</c:f>
              <c:numCache>
                <c:formatCode>0.00</c:formatCode>
                <c:ptCount val="11"/>
                <c:pt idx="0">
                  <c:v>319.88982666666681</c:v>
                </c:pt>
                <c:pt idx="1">
                  <c:v>299.25177333333346</c:v>
                </c:pt>
                <c:pt idx="2">
                  <c:v>319.88982666666675</c:v>
                </c:pt>
                <c:pt idx="3">
                  <c:v>309.57080000000008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309.57080000000008</c:v>
                </c:pt>
                <c:pt idx="9">
                  <c:v>319.88982666666675</c:v>
                </c:pt>
                <c:pt idx="10">
                  <c:v>309.57080000000008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6-4C05-B172-835461DC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057992"/>
        <c:axId val="188058384"/>
      </c:barChart>
      <c:catAx>
        <c:axId val="18805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58384"/>
        <c:crosses val="autoZero"/>
        <c:auto val="1"/>
        <c:lblAlgn val="ctr"/>
        <c:lblOffset val="100"/>
        <c:noMultiLvlLbl val="0"/>
      </c:catAx>
      <c:valAx>
        <c:axId val="18805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5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2219162102099994"/>
          <c:y val="0.12817743794496242"/>
          <c:w val="0.18133749249166609"/>
          <c:h val="0.123371288657608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00548346600536E-2"/>
          <c:y val="9.8882132041187162E-2"/>
          <c:w val="0.82259649589279926"/>
          <c:h val="0.79834185342216835"/>
        </c:manualLayout>
      </c:layout>
      <c:lineChart>
        <c:grouping val="standard"/>
        <c:varyColors val="0"/>
        <c:ser>
          <c:idx val="1"/>
          <c:order val="0"/>
          <c:tx>
            <c:v>Moc budynku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'Dane dla CO'!$M$31:$M$38</c:f>
              <c:numCache>
                <c:formatCode>General</c:formatCode>
                <c:ptCount val="8"/>
                <c:pt idx="0">
                  <c:v>-20</c:v>
                </c:pt>
                <c:pt idx="1">
                  <c:v>-15</c:v>
                </c:pt>
                <c:pt idx="2">
                  <c:v>-7</c:v>
                </c:pt>
                <c:pt idx="3">
                  <c:v>2</c:v>
                </c:pt>
                <c:pt idx="4">
                  <c:v>7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</c:numCache>
            </c:numRef>
          </c:cat>
          <c:val>
            <c:numRef>
              <c:f>'Dane dla CO'!$N$31:$N$38</c:f>
              <c:numCache>
                <c:formatCode>0.00</c:formatCode>
                <c:ptCount val="8"/>
                <c:pt idx="0">
                  <c:v>10.8</c:v>
                </c:pt>
                <c:pt idx="1">
                  <c:v>9.257142857142858</c:v>
                </c:pt>
                <c:pt idx="2">
                  <c:v>6.7885714285714291</c:v>
                </c:pt>
                <c:pt idx="3">
                  <c:v>4.0114285714285716</c:v>
                </c:pt>
                <c:pt idx="4">
                  <c:v>2.4685714285714289</c:v>
                </c:pt>
                <c:pt idx="5">
                  <c:v>1.5428571428571427</c:v>
                </c:pt>
                <c:pt idx="6">
                  <c:v>0.92571428571428571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C-4DB0-8245-B7F534660554}"/>
            </c:ext>
          </c:extLst>
        </c:ser>
        <c:ser>
          <c:idx val="0"/>
          <c:order val="1"/>
          <c:tx>
            <c:v>Mocy pompy 221.A26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'Dane dla CO'!$Q$6:$Q$13</c:f>
              <c:numCache>
                <c:formatCode>General</c:formatCode>
                <c:ptCount val="8"/>
                <c:pt idx="1">
                  <c:v>3</c:v>
                </c:pt>
                <c:pt idx="2">
                  <c:v>5</c:v>
                </c:pt>
                <c:pt idx="3">
                  <c:v>5.3</c:v>
                </c:pt>
                <c:pt idx="4">
                  <c:v>7.59</c:v>
                </c:pt>
                <c:pt idx="5">
                  <c:v>8.5</c:v>
                </c:pt>
                <c:pt idx="6">
                  <c:v>8.7799999999999994</c:v>
                </c:pt>
                <c:pt idx="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C-4DB0-8245-B7F534660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bg1"/>
                  </a:gs>
                  <a:gs pos="74000">
                    <a:schemeClr val="tx1">
                      <a:lumMod val="65000"/>
                      <a:lumOff val="35000"/>
                    </a:schemeClr>
                  </a:gs>
                </a:gsLst>
                <a:lin ang="16200000" scaled="0"/>
              </a:gradFill>
              <a:round/>
            </a:ln>
            <a:effectLst/>
          </c:spPr>
        </c:dropLines>
        <c:marker val="1"/>
        <c:smooth val="0"/>
        <c:axId val="185680272"/>
        <c:axId val="186327136"/>
      </c:lineChart>
      <c:lineChart>
        <c:grouping val="standard"/>
        <c:varyColors val="0"/>
        <c:ser>
          <c:idx val="2"/>
          <c:order val="2"/>
          <c:tx>
            <c:v>Koszt ciepła z 221.A26</c:v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'Dane dla CO'!$T$6:$T$13</c:f>
              <c:numCache>
                <c:formatCode>#\ ##0.00\ "zł"</c:formatCode>
                <c:ptCount val="8"/>
                <c:pt idx="1">
                  <c:v>0.48799999999999999</c:v>
                </c:pt>
                <c:pt idx="2">
                  <c:v>0.30256</c:v>
                </c:pt>
                <c:pt idx="3">
                  <c:v>0.25205660377358485</c:v>
                </c:pt>
                <c:pt idx="4">
                  <c:v>0.17158761528326744</c:v>
                </c:pt>
                <c:pt idx="5">
                  <c:v>0.13707058823529408</c:v>
                </c:pt>
                <c:pt idx="6">
                  <c:v>0.13256036446469249</c:v>
                </c:pt>
                <c:pt idx="7">
                  <c:v>0.12630978260869566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C-4DB0-8245-B7F534660554}"/>
            </c:ext>
          </c:extLst>
        </c:ser>
        <c:ser>
          <c:idx val="3"/>
          <c:order val="3"/>
          <c:tx>
            <c:v>Koszty ciepła z gazu</c:v>
          </c:tx>
          <c:spPr>
            <a:ln w="15875" cap="rnd" cmpd="sng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'Dane dla CO'!$V$6:$V$13</c:f>
              <c:numCache>
                <c:formatCode>#\ ##0.00\ "zł"</c:formatCode>
                <c:ptCount val="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2C-4DB0-8245-B7F534660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34048"/>
        <c:axId val="186329568"/>
      </c:lineChart>
      <c:catAx>
        <c:axId val="1856802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27136"/>
        <c:crosses val="autoZero"/>
        <c:auto val="1"/>
        <c:lblAlgn val="ctr"/>
        <c:lblOffset val="100"/>
        <c:noMultiLvlLbl val="0"/>
      </c:catAx>
      <c:valAx>
        <c:axId val="18632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80272"/>
        <c:crossesAt val="1"/>
        <c:crossBetween val="between"/>
      </c:valAx>
      <c:valAx>
        <c:axId val="186329568"/>
        <c:scaling>
          <c:orientation val="minMax"/>
          <c:max val="0.9"/>
        </c:scaling>
        <c:delete val="0"/>
        <c:axPos val="r"/>
        <c:numFmt formatCode="#\ ##0.00\ &quot;zl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34048"/>
        <c:crosses val="max"/>
        <c:crossBetween val="between"/>
      </c:valAx>
      <c:catAx>
        <c:axId val="186334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329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4501746418631298E-2"/>
          <c:y val="1.7604845548152635E-2"/>
          <c:w val="0.92714170580636324"/>
          <c:h val="5.864631536442559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v>CWU: Pompa ciepła</c:v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221.A26'!$F$44:$F$55</c:f>
              <c:numCache>
                <c:formatCode>General</c:formatCode>
                <c:ptCount val="12"/>
                <c:pt idx="0">
                  <c:v>0</c:v>
                </c:pt>
                <c:pt idx="1">
                  <c:v>10.319026666666666</c:v>
                </c:pt>
                <c:pt idx="2">
                  <c:v>103.19026666666667</c:v>
                </c:pt>
                <c:pt idx="3">
                  <c:v>227.01858666666675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257.97566666666677</c:v>
                </c:pt>
                <c:pt idx="9">
                  <c:v>227.01858666666675</c:v>
                </c:pt>
                <c:pt idx="10">
                  <c:v>41.276106666666664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0-4FC0-9E46-D62AA7FA0F8C}"/>
            </c:ext>
          </c:extLst>
        </c:ser>
        <c:ser>
          <c:idx val="3"/>
          <c:order val="1"/>
          <c:tx>
            <c:v>CWU: Kocioł szczytowy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221.A26'!$G$44:$G$55</c:f>
              <c:numCache>
                <c:formatCode>General</c:formatCode>
                <c:ptCount val="12"/>
                <c:pt idx="0">
                  <c:v>319.88982666666681</c:v>
                </c:pt>
                <c:pt idx="1">
                  <c:v>288.93274666666679</c:v>
                </c:pt>
                <c:pt idx="2">
                  <c:v>216.69956000000008</c:v>
                </c:pt>
                <c:pt idx="3">
                  <c:v>82.552213333333327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51.59513333333333</c:v>
                </c:pt>
                <c:pt idx="9">
                  <c:v>92.87124</c:v>
                </c:pt>
                <c:pt idx="10">
                  <c:v>268.29469333333344</c:v>
                </c:pt>
                <c:pt idx="11">
                  <c:v>319.88982666666681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0-4FC0-9E46-D62AA7FA0F8C}"/>
            </c:ext>
          </c:extLst>
        </c:ser>
        <c:ser>
          <c:idx val="0"/>
          <c:order val="2"/>
          <c:tx>
            <c:v>CO: Pompa ciepła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221.A26'!$D$44:$D$55</c:f>
              <c:numCache>
                <c:formatCode>General</c:formatCode>
                <c:ptCount val="12"/>
                <c:pt idx="0">
                  <c:v>2404.8000000000002</c:v>
                </c:pt>
                <c:pt idx="1">
                  <c:v>1396.8000000000002</c:v>
                </c:pt>
                <c:pt idx="2">
                  <c:v>2264.0941176470587</c:v>
                </c:pt>
                <c:pt idx="3">
                  <c:v>1252.8000000000002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  <c:pt idx="11">
                  <c:v>2069.6941176470596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80-4FC0-9E46-D62AA7FA0F8C}"/>
            </c:ext>
          </c:extLst>
        </c:ser>
        <c:ser>
          <c:idx val="1"/>
          <c:order val="3"/>
          <c:tx>
            <c:v>CO: Kocioł szczytowy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221.A26'!$E$44:$E$55</c:f>
              <c:numCache>
                <c:formatCode>General</c:formatCode>
                <c:ptCount val="12"/>
                <c:pt idx="0">
                  <c:v>1101.6000000000001</c:v>
                </c:pt>
                <c:pt idx="1">
                  <c:v>2786.4000000000005</c:v>
                </c:pt>
                <c:pt idx="2">
                  <c:v>3.9058823529412052</c:v>
                </c:pt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1861.5058823529416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0-4FC0-9E46-D62AA7FA0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059168"/>
        <c:axId val="239206504"/>
      </c:barChart>
      <c:catAx>
        <c:axId val="18805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06504"/>
        <c:crosses val="autoZero"/>
        <c:auto val="1"/>
        <c:lblAlgn val="ctr"/>
        <c:lblOffset val="100"/>
        <c:noMultiLvlLbl val="0"/>
      </c:catAx>
      <c:valAx>
        <c:axId val="2392065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8805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4910572826892353"/>
          <c:y val="8.0079276160336429E-2"/>
          <c:w val="0.25049895036998288"/>
          <c:h val="0.302931970116126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/>
              <a:t>Ilość d</a:t>
            </a:r>
            <a:r>
              <a:rPr lang="en-US" sz="1600"/>
              <a:t>ni</a:t>
            </a:r>
            <a:r>
              <a:rPr lang="pl-PL" sz="1600" baseline="0"/>
              <a:t> o średniej </a:t>
            </a:r>
            <a:r>
              <a:rPr lang="pl-PL" sz="1600"/>
              <a:t>temperaturze</a:t>
            </a:r>
            <a:r>
              <a:rPr lang="en-US" sz="1600"/>
              <a:t> </a:t>
            </a:r>
            <a:r>
              <a:rPr lang="pl-PL" sz="1600"/>
              <a:t>zewnętrznej</a:t>
            </a:r>
            <a:r>
              <a:rPr lang="pl-PL" sz="1600" baseline="0"/>
              <a:t> </a:t>
            </a:r>
            <a:r>
              <a:rPr lang="en-US" sz="1600"/>
              <a:t>w sezonie grzewczym</a:t>
            </a:r>
            <a:r>
              <a:rPr lang="pl-PL" sz="1600"/>
              <a:t> 01-04 + 09-12</a:t>
            </a:r>
            <a:r>
              <a:rPr lang="pl-PL" sz="1600" baseline="0"/>
              <a:t> dla K</a:t>
            </a:r>
            <a:r>
              <a:rPr lang="pl-PL" sz="1600"/>
              <a:t>rakowa w 2012 </a:t>
            </a:r>
            <a:r>
              <a:rPr lang="pl-PL" sz="1600" baseline="0"/>
              <a:t> roku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movingAvg"/>
            <c:period val="5"/>
            <c:dispRSqr val="0"/>
            <c:dispEq val="0"/>
          </c:trendline>
          <c:cat>
            <c:numRef>
              <c:f>'SCOP 221.A26 ver 2'!$DS$7:$DS$40</c:f>
              <c:numCache>
                <c:formatCode>General</c:formatCode>
                <c:ptCount val="34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</c:numCache>
            </c:numRef>
          </c:cat>
          <c:val>
            <c:numRef>
              <c:f>'SCOP 221.A26 ver 2'!$DR$7:$DR$40</c:f>
              <c:numCache>
                <c:formatCode>General</c:formatCode>
                <c:ptCount val="3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17</c:v>
                </c:pt>
                <c:pt idx="19">
                  <c:v>7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11</c:v>
                </c:pt>
                <c:pt idx="24">
                  <c:v>20</c:v>
                </c:pt>
                <c:pt idx="25">
                  <c:v>13</c:v>
                </c:pt>
                <c:pt idx="26">
                  <c:v>17</c:v>
                </c:pt>
                <c:pt idx="27">
                  <c:v>9</c:v>
                </c:pt>
                <c:pt idx="28">
                  <c:v>11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9</c:v>
                </c:pt>
                <c:pt idx="3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Ilość dni o średniej, dziennej temperaturze zewnętrznej</c:v>
                </c15:tx>
              </c15:filteredSeriesTitle>
            </c:ext>
            <c:ext xmlns:c16="http://schemas.microsoft.com/office/drawing/2014/chart" uri="{C3380CC4-5D6E-409C-BE32-E72D297353CC}">
              <c16:uniqueId val="{00000000-4670-424F-A7D7-097F787A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207288"/>
        <c:axId val="239207680"/>
      </c:barChart>
      <c:catAx>
        <c:axId val="239207288"/>
        <c:scaling>
          <c:orientation val="minMax"/>
        </c:scaling>
        <c:delete val="0"/>
        <c:axPos val="b"/>
        <c:majorGridlines/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39207680"/>
        <c:crosses val="autoZero"/>
        <c:auto val="1"/>
        <c:lblAlgn val="ctr"/>
        <c:lblOffset val="100"/>
        <c:noMultiLvlLbl val="0"/>
      </c:catAx>
      <c:valAx>
        <c:axId val="239207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39207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Pompa ciepła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'SCOP 221.A26 ver 2'!$B$44:$C$55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 ver 2'!$I$44:$I$54</c:f>
              <c:numCache>
                <c:formatCode>0.00</c:formatCode>
                <c:ptCount val="11"/>
                <c:pt idx="0">
                  <c:v>3506.4000000000005</c:v>
                </c:pt>
                <c:pt idx="1">
                  <c:v>4183.2000000000007</c:v>
                </c:pt>
                <c:pt idx="2">
                  <c:v>2268</c:v>
                </c:pt>
                <c:pt idx="3">
                  <c:v>1252.8000000000002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3-4D2A-AF83-19F4401D3313}"/>
            </c:ext>
          </c:extLst>
        </c:ser>
        <c:ser>
          <c:idx val="1"/>
          <c:order val="1"/>
          <c:tx>
            <c:v>Kocioł szczytowy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'SCOP 221.A26 ver 2'!$B$44:$C$55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 ver 2'!$J$44:$J$54</c:f>
              <c:numCache>
                <c:formatCode>0.00</c:formatCode>
                <c:ptCount val="11"/>
                <c:pt idx="0">
                  <c:v>319.88982666666681</c:v>
                </c:pt>
                <c:pt idx="1">
                  <c:v>299.25177333333346</c:v>
                </c:pt>
                <c:pt idx="2">
                  <c:v>319.88982666666675</c:v>
                </c:pt>
                <c:pt idx="3">
                  <c:v>309.57080000000008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309.57080000000008</c:v>
                </c:pt>
                <c:pt idx="9">
                  <c:v>319.88982666666675</c:v>
                </c:pt>
                <c:pt idx="10">
                  <c:v>309.57080000000008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3-4D2A-AF83-19F4401D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208464"/>
        <c:axId val="239208856"/>
      </c:barChart>
      <c:catAx>
        <c:axId val="2392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08856"/>
        <c:crosses val="autoZero"/>
        <c:auto val="1"/>
        <c:lblAlgn val="ctr"/>
        <c:lblOffset val="100"/>
        <c:noMultiLvlLbl val="0"/>
      </c:catAx>
      <c:valAx>
        <c:axId val="239208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0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2219162102099994"/>
          <c:y val="0.12817743794496242"/>
          <c:w val="0.18133749249166609"/>
          <c:h val="0.123371288657608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v>CWU: Pompa ciepła</c:v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221.A26 ver 2'!$F$44:$F$55</c:f>
              <c:numCache>
                <c:formatCode>General</c:formatCode>
                <c:ptCount val="12"/>
                <c:pt idx="0">
                  <c:v>0</c:v>
                </c:pt>
                <c:pt idx="1">
                  <c:v>10.319026666666666</c:v>
                </c:pt>
                <c:pt idx="2">
                  <c:v>103.19026666666667</c:v>
                </c:pt>
                <c:pt idx="3">
                  <c:v>227.01858666666675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257.97566666666677</c:v>
                </c:pt>
                <c:pt idx="9">
                  <c:v>227.01858666666675</c:v>
                </c:pt>
                <c:pt idx="10">
                  <c:v>41.276106666666664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5-4011-811F-69CB3071482A}"/>
            </c:ext>
          </c:extLst>
        </c:ser>
        <c:ser>
          <c:idx val="3"/>
          <c:order val="1"/>
          <c:tx>
            <c:v>CWU: Kocioł szczytowy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221.A26 ver 2'!$G$44:$G$55</c:f>
              <c:numCache>
                <c:formatCode>General</c:formatCode>
                <c:ptCount val="12"/>
                <c:pt idx="0">
                  <c:v>319.88982666666681</c:v>
                </c:pt>
                <c:pt idx="1">
                  <c:v>288.93274666666679</c:v>
                </c:pt>
                <c:pt idx="2">
                  <c:v>216.69956000000008</c:v>
                </c:pt>
                <c:pt idx="3">
                  <c:v>82.552213333333327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51.59513333333333</c:v>
                </c:pt>
                <c:pt idx="9">
                  <c:v>92.87124</c:v>
                </c:pt>
                <c:pt idx="10">
                  <c:v>268.29469333333344</c:v>
                </c:pt>
                <c:pt idx="11">
                  <c:v>319.88982666666681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5-4011-811F-69CB3071482A}"/>
            </c:ext>
          </c:extLst>
        </c:ser>
        <c:ser>
          <c:idx val="0"/>
          <c:order val="2"/>
          <c:tx>
            <c:v>CO: Pompa ciepła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 ver 2'!$B$44:$C$55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 ver 2'!$D$44:$D$55</c:f>
              <c:numCache>
                <c:formatCode>General</c:formatCode>
                <c:ptCount val="12"/>
                <c:pt idx="0">
                  <c:v>2404.8000000000002</c:v>
                </c:pt>
                <c:pt idx="1">
                  <c:v>1396.8000000000002</c:v>
                </c:pt>
                <c:pt idx="2">
                  <c:v>2264.0941176470587</c:v>
                </c:pt>
                <c:pt idx="3">
                  <c:v>1252.8000000000002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  <c:pt idx="11">
                  <c:v>2069.6941176470596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5-4011-811F-69CB3071482A}"/>
            </c:ext>
          </c:extLst>
        </c:ser>
        <c:ser>
          <c:idx val="1"/>
          <c:order val="3"/>
          <c:tx>
            <c:v>CO: Kocioł szczytowy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 ver 2'!$B$44:$C$55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 ver 2'!$E$44:$E$55</c:f>
              <c:numCache>
                <c:formatCode>General</c:formatCode>
                <c:ptCount val="12"/>
                <c:pt idx="0">
                  <c:v>1101.6000000000001</c:v>
                </c:pt>
                <c:pt idx="1">
                  <c:v>2786.4000000000005</c:v>
                </c:pt>
                <c:pt idx="2">
                  <c:v>3.9058823529412052</c:v>
                </c:pt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1861.5058823529416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B5-4011-811F-69CB30714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209640"/>
        <c:axId val="239210032"/>
      </c:barChart>
      <c:catAx>
        <c:axId val="239209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10032"/>
        <c:crosses val="autoZero"/>
        <c:auto val="1"/>
        <c:lblAlgn val="ctr"/>
        <c:lblOffset val="100"/>
        <c:noMultiLvlLbl val="0"/>
      </c:catAx>
      <c:valAx>
        <c:axId val="2392100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23920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4910572826892353"/>
          <c:y val="8.0079276160336429E-2"/>
          <c:w val="0.25049895036998288"/>
          <c:h val="0.302931970116126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44485840919503E-2"/>
          <c:y val="0.14734867523098935"/>
          <c:w val="0.77758183446250184"/>
          <c:h val="0.84994312573181241"/>
        </c:manualLayout>
      </c:layout>
      <c:pieChart>
        <c:varyColors val="1"/>
        <c:ser>
          <c:idx val="0"/>
          <c:order val="0"/>
          <c:spPr>
            <a:ln w="635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3B-4239-91AF-06B15CB2861A}"/>
              </c:ext>
            </c:extLst>
          </c:dPt>
          <c:dPt>
            <c:idx val="1"/>
            <c:bubble3D val="0"/>
            <c:spPr>
              <a:solidFill>
                <a:srgbClr val="EF4423"/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3B-4239-91AF-06B15CB286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3B-4239-91AF-06B15CB2861A}"/>
              </c:ext>
            </c:extLst>
          </c:dPt>
          <c:cat>
            <c:strRef>
              <c:f>('SCOP 221.A26'!$FG$16,'SCOP 221.A26'!$FF$11,'SCOP 221.A26'!$FG$10)</c:f>
              <c:strCache>
                <c:ptCount val="3"/>
                <c:pt idx="0">
                  <c:v>Praca pompy ciepła</c:v>
                </c:pt>
                <c:pt idx="1">
                  <c:v>Zarządzanie ciepłem</c:v>
                </c:pt>
                <c:pt idx="2">
                  <c:v>Koszty po modernizacji</c:v>
                </c:pt>
              </c:strCache>
            </c:strRef>
          </c:cat>
          <c:val>
            <c:numRef>
              <c:f>('SCOP 221.A26 ver 2'!$FD$16,'SCOP 221.A26 ver 2'!$FD$17,'SCOP 221.A26 ver 2'!$FD$15)</c:f>
              <c:numCache>
                <c:formatCode>#\ ##0.00\ "zł"</c:formatCode>
                <c:ptCount val="3"/>
                <c:pt idx="0">
                  <c:v>682.50454477196854</c:v>
                </c:pt>
                <c:pt idx="1">
                  <c:v>113.96643946483982</c:v>
                </c:pt>
                <c:pt idx="2">
                  <c:v>5577.185605942047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B-4239-91AF-06B15CB28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683920846955174E-2"/>
          <c:y val="0.63927617060014097"/>
          <c:w val="0.83058082352036233"/>
          <c:h val="0.29452223250550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'Energia 221.A26'!$B$2:$B$37</c:f>
              <c:numCache>
                <c:formatCode>General</c:formatCode>
                <c:ptCount val="36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</c:numCache>
            </c:numRef>
          </c:cat>
          <c:val>
            <c:numRef>
              <c:f>'Energia 221.A26'!$F$2:$F$37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244.79999999999984</c:v>
                </c:pt>
                <c:pt idx="3">
                  <c:v>0</c:v>
                </c:pt>
                <c:pt idx="4">
                  <c:v>230.39999999999986</c:v>
                </c:pt>
                <c:pt idx="5">
                  <c:v>0</c:v>
                </c:pt>
                <c:pt idx="6">
                  <c:v>647.99999999999966</c:v>
                </c:pt>
                <c:pt idx="7">
                  <c:v>208.7999999999999</c:v>
                </c:pt>
                <c:pt idx="8">
                  <c:v>604.79999999999973</c:v>
                </c:pt>
                <c:pt idx="9">
                  <c:v>777.59999999999968</c:v>
                </c:pt>
                <c:pt idx="10">
                  <c:v>935.99999999999966</c:v>
                </c:pt>
                <c:pt idx="11">
                  <c:v>179.99999999999994</c:v>
                </c:pt>
                <c:pt idx="12">
                  <c:v>0</c:v>
                </c:pt>
                <c:pt idx="13">
                  <c:v>165.59999999999997</c:v>
                </c:pt>
                <c:pt idx="14">
                  <c:v>316.79999999999995</c:v>
                </c:pt>
                <c:pt idx="15">
                  <c:v>453.59999999999997</c:v>
                </c:pt>
                <c:pt idx="16">
                  <c:v>432</c:v>
                </c:pt>
                <c:pt idx="17">
                  <c:v>547.20000000000005</c:v>
                </c:pt>
                <c:pt idx="18">
                  <c:v>518.40000000000009</c:v>
                </c:pt>
                <c:pt idx="19">
                  <c:v>979.20000000000027</c:v>
                </c:pt>
                <c:pt idx="20">
                  <c:v>1958.4000000000005</c:v>
                </c:pt>
                <c:pt idx="21">
                  <c:v>756.00000000000023</c:v>
                </c:pt>
                <c:pt idx="22">
                  <c:v>1310.4000000000003</c:v>
                </c:pt>
                <c:pt idx="23">
                  <c:v>1404.0000000000005</c:v>
                </c:pt>
                <c:pt idx="24">
                  <c:v>1123.2000000000003</c:v>
                </c:pt>
                <c:pt idx="25">
                  <c:v>871.20000000000016</c:v>
                </c:pt>
                <c:pt idx="26">
                  <c:v>1440.0000000000002</c:v>
                </c:pt>
                <c:pt idx="27">
                  <c:v>842.40000000000009</c:v>
                </c:pt>
                <c:pt idx="28">
                  <c:v>979.20000000000016</c:v>
                </c:pt>
                <c:pt idx="29">
                  <c:v>453.6</c:v>
                </c:pt>
                <c:pt idx="30">
                  <c:v>734.40000000000009</c:v>
                </c:pt>
                <c:pt idx="31">
                  <c:v>360</c:v>
                </c:pt>
                <c:pt idx="32">
                  <c:v>201.60000000000008</c:v>
                </c:pt>
                <c:pt idx="33">
                  <c:v>259.2000000000001</c:v>
                </c:pt>
                <c:pt idx="34">
                  <c:v>244.8000000000001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F2D-AA8F-0F5A373E9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49000"/>
        <c:axId val="239349392"/>
      </c:lineChart>
      <c:catAx>
        <c:axId val="23934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349392"/>
        <c:crosses val="autoZero"/>
        <c:auto val="1"/>
        <c:lblAlgn val="ctr"/>
        <c:lblOffset val="100"/>
        <c:noMultiLvlLbl val="0"/>
      </c:catAx>
      <c:valAx>
        <c:axId val="23934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349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/>
              <a:t>Ilość d</a:t>
            </a:r>
            <a:r>
              <a:rPr lang="en-US" sz="1600"/>
              <a:t>ni</a:t>
            </a:r>
            <a:r>
              <a:rPr lang="pl-PL" sz="1600" baseline="0"/>
              <a:t> o średniej </a:t>
            </a:r>
            <a:r>
              <a:rPr lang="pl-PL" sz="1600"/>
              <a:t>temperaturze</a:t>
            </a:r>
            <a:r>
              <a:rPr lang="en-US" sz="1600"/>
              <a:t> </a:t>
            </a:r>
            <a:r>
              <a:rPr lang="pl-PL" sz="1600"/>
              <a:t>zewnętrznej</a:t>
            </a:r>
            <a:r>
              <a:rPr lang="pl-PL" sz="1600" baseline="0"/>
              <a:t> </a:t>
            </a:r>
            <a:r>
              <a:rPr lang="en-US" sz="1600"/>
              <a:t>w sezonie grzewczym</a:t>
            </a:r>
            <a:r>
              <a:rPr lang="pl-PL" sz="1600"/>
              <a:t> 01-04 + 09-12</a:t>
            </a:r>
            <a:r>
              <a:rPr lang="pl-PL" sz="1600" baseline="0"/>
              <a:t> dla K</a:t>
            </a:r>
            <a:r>
              <a:rPr lang="pl-PL" sz="1600"/>
              <a:t>rakowa w 2012 </a:t>
            </a:r>
            <a:r>
              <a:rPr lang="pl-PL" sz="1600" baseline="0"/>
              <a:t> roku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movingAvg"/>
            <c:period val="5"/>
            <c:dispRSqr val="0"/>
            <c:dispEq val="0"/>
          </c:trendline>
          <c:cat>
            <c:numRef>
              <c:f>'SCOP 221.A26'!$DS$7:$DS$40</c:f>
              <c:numCache>
                <c:formatCode>General</c:formatCode>
                <c:ptCount val="34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</c:numCache>
            </c:numRef>
          </c:cat>
          <c:val>
            <c:numRef>
              <c:f>'SCOP 221.A26'!$DR$7:$DR$40</c:f>
              <c:numCache>
                <c:formatCode>General</c:formatCode>
                <c:ptCount val="3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17</c:v>
                </c:pt>
                <c:pt idx="19">
                  <c:v>7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11</c:v>
                </c:pt>
                <c:pt idx="24">
                  <c:v>20</c:v>
                </c:pt>
                <c:pt idx="25">
                  <c:v>13</c:v>
                </c:pt>
                <c:pt idx="26">
                  <c:v>17</c:v>
                </c:pt>
                <c:pt idx="27">
                  <c:v>9</c:v>
                </c:pt>
                <c:pt idx="28">
                  <c:v>11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9</c:v>
                </c:pt>
                <c:pt idx="3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Ilość dni o średniej, dziennej temperaturze zewnętrznej</c:v>
                </c15:tx>
              </c15:filteredSeriesTitle>
            </c:ext>
            <c:ext xmlns:c16="http://schemas.microsoft.com/office/drawing/2014/chart" uri="{C3380CC4-5D6E-409C-BE32-E72D297353CC}">
              <c16:uniqueId val="{00000000-54AD-4342-A810-2081D4177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541384"/>
        <c:axId val="240541776"/>
      </c:barChart>
      <c:catAx>
        <c:axId val="240541384"/>
        <c:scaling>
          <c:orientation val="minMax"/>
        </c:scaling>
        <c:delete val="0"/>
        <c:axPos val="b"/>
        <c:majorGridlines/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40541776"/>
        <c:crosses val="autoZero"/>
        <c:auto val="1"/>
        <c:lblAlgn val="ctr"/>
        <c:lblOffset val="100"/>
        <c:noMultiLvlLbl val="0"/>
      </c:catAx>
      <c:valAx>
        <c:axId val="24054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40541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15325307574079"/>
          <c:y val="8.7165514891568235E-2"/>
          <c:w val="0.77758183446250184"/>
          <c:h val="0.84994312573181241"/>
        </c:manualLayout>
      </c:layout>
      <c:pieChart>
        <c:varyColors val="1"/>
        <c:ser>
          <c:idx val="0"/>
          <c:order val="0"/>
          <c:spPr>
            <a:ln w="635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219-4446-865C-66304FD191E1}"/>
              </c:ext>
            </c:extLst>
          </c:dPt>
          <c:dPt>
            <c:idx val="1"/>
            <c:bubble3D val="0"/>
            <c:spPr>
              <a:solidFill>
                <a:srgbClr val="EF4423"/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219-4446-865C-66304FD191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219-4446-865C-66304FD191E1}"/>
              </c:ext>
            </c:extLst>
          </c:dPt>
          <c:cat>
            <c:strRef>
              <c:f>('SCOP 221.A29'!$FG$16,'SCOP 221.A29'!$FF$11,'SCOP 221.A29'!$FF$10)</c:f>
              <c:strCache>
                <c:ptCount val="3"/>
                <c:pt idx="0">
                  <c:v>Praca pompy ciepła</c:v>
                </c:pt>
                <c:pt idx="1">
                  <c:v>Zarządzanie ciepłem</c:v>
                </c:pt>
                <c:pt idx="2">
                  <c:v>AAPB</c:v>
                </c:pt>
              </c:strCache>
            </c:strRef>
          </c:cat>
          <c:val>
            <c:numRef>
              <c:f>('SCOP 221.A29'!$FJ$16,'SCOP 221.A29'!$FI$11,'SCOP 221.A29'!$FI$10)</c:f>
              <c:numCache>
                <c:formatCode>#\ ##0.00\ "zł"</c:formatCode>
                <c:ptCount val="3"/>
                <c:pt idx="0">
                  <c:v>2061.3867396076012</c:v>
                </c:pt>
                <c:pt idx="1">
                  <c:v>0</c:v>
                </c:pt>
                <c:pt idx="2">
                  <c:v>4428.1295228783401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19-4446-865C-66304FD19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17006664600159"/>
          <c:y val="0.44368054341227769"/>
          <c:w val="0.62143524356298352"/>
          <c:h val="0.4780812057125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Pompa ciepła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221.A26'!$I$44:$I$54</c:f>
              <c:numCache>
                <c:formatCode>0.00</c:formatCode>
                <c:ptCount val="11"/>
                <c:pt idx="0">
                  <c:v>3506.4000000000005</c:v>
                </c:pt>
                <c:pt idx="1">
                  <c:v>4183.2000000000007</c:v>
                </c:pt>
                <c:pt idx="2">
                  <c:v>2268</c:v>
                </c:pt>
                <c:pt idx="3">
                  <c:v>1252.8000000000002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5-4412-A5CA-BCDA60B91F67}"/>
            </c:ext>
          </c:extLst>
        </c:ser>
        <c:ser>
          <c:idx val="1"/>
          <c:order val="1"/>
          <c:tx>
            <c:v>Kocioł szczytowy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221.A26'!$J$44:$J$54</c:f>
              <c:numCache>
                <c:formatCode>0.00</c:formatCode>
                <c:ptCount val="11"/>
                <c:pt idx="0">
                  <c:v>319.88982666666681</c:v>
                </c:pt>
                <c:pt idx="1">
                  <c:v>299.25177333333346</c:v>
                </c:pt>
                <c:pt idx="2">
                  <c:v>319.88982666666675</c:v>
                </c:pt>
                <c:pt idx="3">
                  <c:v>309.57080000000008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309.57080000000008</c:v>
                </c:pt>
                <c:pt idx="9">
                  <c:v>319.88982666666675</c:v>
                </c:pt>
                <c:pt idx="10">
                  <c:v>309.57080000000008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5-4412-A5CA-BCDA60B91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542952"/>
        <c:axId val="240543344"/>
      </c:barChart>
      <c:catAx>
        <c:axId val="240542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543344"/>
        <c:crosses val="autoZero"/>
        <c:auto val="1"/>
        <c:lblAlgn val="ctr"/>
        <c:lblOffset val="100"/>
        <c:noMultiLvlLbl val="0"/>
      </c:catAx>
      <c:valAx>
        <c:axId val="24054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54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2219162102099994"/>
          <c:y val="0.12817743794496242"/>
          <c:w val="0.18133749249166609"/>
          <c:h val="0.123371288657608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v>CWU: Pompa ciepła</c:v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221.A29'!$F$44:$F$55</c:f>
              <c:numCache>
                <c:formatCode>General</c:formatCode>
                <c:ptCount val="12"/>
                <c:pt idx="0">
                  <c:v>144.46637333333337</c:v>
                </c:pt>
                <c:pt idx="1">
                  <c:v>92.87124</c:v>
                </c:pt>
                <c:pt idx="2">
                  <c:v>257.97566666666677</c:v>
                </c:pt>
                <c:pt idx="3">
                  <c:v>288.93274666666679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257.97566666666677</c:v>
                </c:pt>
                <c:pt idx="9">
                  <c:v>278.61372000000011</c:v>
                </c:pt>
                <c:pt idx="10">
                  <c:v>257.97566666666677</c:v>
                </c:pt>
                <c:pt idx="11">
                  <c:v>30.957079999999998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5D9-9A6E-A56D9D08DBD0}"/>
            </c:ext>
          </c:extLst>
        </c:ser>
        <c:ser>
          <c:idx val="3"/>
          <c:order val="1"/>
          <c:tx>
            <c:v>CWU: Kocioł szczytowy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221.A29'!$G$44:$G$55</c:f>
              <c:numCache>
                <c:formatCode>General</c:formatCode>
                <c:ptCount val="12"/>
                <c:pt idx="0">
                  <c:v>175.42345333333338</c:v>
                </c:pt>
                <c:pt idx="1">
                  <c:v>206.3805333333334</c:v>
                </c:pt>
                <c:pt idx="2">
                  <c:v>61.914159999999995</c:v>
                </c:pt>
                <c:pt idx="3">
                  <c:v>20.638053333333332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51.59513333333333</c:v>
                </c:pt>
                <c:pt idx="9">
                  <c:v>41.276106666666664</c:v>
                </c:pt>
                <c:pt idx="10">
                  <c:v>51.59513333333333</c:v>
                </c:pt>
                <c:pt idx="11">
                  <c:v>288.93274666666679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5D9-9A6E-A56D9D08DBD0}"/>
            </c:ext>
          </c:extLst>
        </c:ser>
        <c:ser>
          <c:idx val="0"/>
          <c:order val="2"/>
          <c:tx>
            <c:v>CO: Pompa ciepła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221.A29'!$D$44:$D$55</c:f>
              <c:numCache>
                <c:formatCode>General</c:formatCode>
                <c:ptCount val="12"/>
                <c:pt idx="0">
                  <c:v>2541.6000000000004</c:v>
                </c:pt>
                <c:pt idx="1">
                  <c:v>1699.1999999999998</c:v>
                </c:pt>
                <c:pt idx="2">
                  <c:v>2268</c:v>
                </c:pt>
                <c:pt idx="3">
                  <c:v>1252.8000000000002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  <c:pt idx="11">
                  <c:v>3549.6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5D9-9A6E-A56D9D08DBD0}"/>
            </c:ext>
          </c:extLst>
        </c:ser>
        <c:ser>
          <c:idx val="1"/>
          <c:order val="3"/>
          <c:tx>
            <c:v>CO: Kocioł szczytowy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221.A29'!$E$44:$E$55</c:f>
              <c:numCache>
                <c:formatCode>General</c:formatCode>
                <c:ptCount val="12"/>
                <c:pt idx="0">
                  <c:v>964.80000000000018</c:v>
                </c:pt>
                <c:pt idx="1">
                  <c:v>2484.0000000000005</c:v>
                </c:pt>
                <c:pt idx="2">
                  <c:v>0</c:v>
                </c:pt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381.60000000000008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0D-45D9-9A6E-A56D9D08D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544128"/>
        <c:axId val="240544520"/>
      </c:barChart>
      <c:catAx>
        <c:axId val="24054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544520"/>
        <c:crosses val="autoZero"/>
        <c:auto val="1"/>
        <c:lblAlgn val="ctr"/>
        <c:lblOffset val="100"/>
        <c:noMultiLvlLbl val="0"/>
      </c:catAx>
      <c:valAx>
        <c:axId val="240544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24054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4910572826892353"/>
          <c:y val="8.0079276160336429E-2"/>
          <c:w val="0.25049895036998288"/>
          <c:h val="0.302931970116126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numRef>
              <c:f>'SCOP 221.A26'!$DS$3:$DS$42</c:f>
              <c:numCache>
                <c:formatCode>General</c:formatCode>
                <c:ptCount val="40"/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cat>
          <c:val>
            <c:numRef>
              <c:f>'SCOP 221.A26'!$DR$3:$DR$42</c:f>
              <c:numCache>
                <c:formatCode>General</c:formatCode>
                <c:ptCount val="40"/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17</c:v>
                </c:pt>
                <c:pt idx="23">
                  <c:v>7</c:v>
                </c:pt>
                <c:pt idx="24">
                  <c:v>13</c:v>
                </c:pt>
                <c:pt idx="25">
                  <c:v>15</c:v>
                </c:pt>
                <c:pt idx="26">
                  <c:v>13</c:v>
                </c:pt>
                <c:pt idx="27">
                  <c:v>11</c:v>
                </c:pt>
                <c:pt idx="28">
                  <c:v>20</c:v>
                </c:pt>
                <c:pt idx="29">
                  <c:v>13</c:v>
                </c:pt>
                <c:pt idx="30">
                  <c:v>17</c:v>
                </c:pt>
                <c:pt idx="31">
                  <c:v>9</c:v>
                </c:pt>
                <c:pt idx="32">
                  <c:v>11</c:v>
                </c:pt>
                <c:pt idx="33">
                  <c:v>9</c:v>
                </c:pt>
                <c:pt idx="34">
                  <c:v>4</c:v>
                </c:pt>
                <c:pt idx="35">
                  <c:v>9</c:v>
                </c:pt>
                <c:pt idx="36">
                  <c:v>9</c:v>
                </c:pt>
                <c:pt idx="37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Ilość dni o średniej, dziennej temperaturze zewnętrznej</c:v>
                </c15:tx>
              </c15:filteredSeriesTitle>
            </c:ext>
            <c:ext xmlns:c16="http://schemas.microsoft.com/office/drawing/2014/chart" uri="{C3380CC4-5D6E-409C-BE32-E72D297353CC}">
              <c16:uniqueId val="{00000000-9793-41DA-9D6D-DFEDAF7AA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713112"/>
        <c:axId val="186502248"/>
      </c:barChart>
      <c:catAx>
        <c:axId val="1857131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txPr>
          <a:bodyPr/>
          <a:lstStyle/>
          <a:p>
            <a:pPr>
              <a:defRPr sz="10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86502248"/>
        <c:crosses val="autoZero"/>
        <c:auto val="1"/>
        <c:lblAlgn val="ctr"/>
        <c:lblOffset val="100"/>
        <c:tickMarkSkip val="1"/>
        <c:noMultiLvlLbl val="0"/>
      </c:catAx>
      <c:valAx>
        <c:axId val="18650224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185713112"/>
        <c:crosses val="autoZero"/>
        <c:crossBetween val="midCat"/>
      </c:valAx>
      <c:spPr>
        <a:ln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l-PL" sz="1600"/>
              <a:t>Ilość d</a:t>
            </a:r>
            <a:r>
              <a:rPr lang="en-US" sz="1600"/>
              <a:t>ni</a:t>
            </a:r>
            <a:r>
              <a:rPr lang="pl-PL" sz="1600" baseline="0"/>
              <a:t> o średniej </a:t>
            </a:r>
            <a:r>
              <a:rPr lang="pl-PL" sz="1600"/>
              <a:t>temperaturze</a:t>
            </a:r>
            <a:r>
              <a:rPr lang="en-US" sz="1600"/>
              <a:t> </a:t>
            </a:r>
            <a:r>
              <a:rPr lang="pl-PL" sz="1600"/>
              <a:t>zewnętrznej</a:t>
            </a:r>
            <a:r>
              <a:rPr lang="pl-PL" sz="1600" baseline="0"/>
              <a:t> </a:t>
            </a:r>
            <a:r>
              <a:rPr lang="en-US" sz="1600"/>
              <a:t>w sezonie grzewczym</a:t>
            </a:r>
            <a:r>
              <a:rPr lang="pl-PL" sz="1600"/>
              <a:t> 01-04 + 09-12</a:t>
            </a:r>
            <a:r>
              <a:rPr lang="pl-PL" sz="1600" baseline="0"/>
              <a:t> dla K</a:t>
            </a:r>
            <a:r>
              <a:rPr lang="pl-PL" sz="1600"/>
              <a:t>rakowa w 2012 </a:t>
            </a:r>
            <a:r>
              <a:rPr lang="pl-PL" sz="1600" baseline="0"/>
              <a:t> roku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movingAvg"/>
            <c:period val="5"/>
            <c:dispRSqr val="0"/>
            <c:dispEq val="0"/>
          </c:trendline>
          <c:cat>
            <c:numRef>
              <c:f>'SCOP 221.A26'!$DS$7:$DS$40</c:f>
              <c:numCache>
                <c:formatCode>General</c:formatCode>
                <c:ptCount val="34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</c:numCache>
            </c:numRef>
          </c:cat>
          <c:val>
            <c:numRef>
              <c:f>'SCOP 221.A26'!$DR$7:$DR$40</c:f>
              <c:numCache>
                <c:formatCode>General</c:formatCode>
                <c:ptCount val="3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17</c:v>
                </c:pt>
                <c:pt idx="19">
                  <c:v>7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11</c:v>
                </c:pt>
                <c:pt idx="24">
                  <c:v>20</c:v>
                </c:pt>
                <c:pt idx="25">
                  <c:v>13</c:v>
                </c:pt>
                <c:pt idx="26">
                  <c:v>17</c:v>
                </c:pt>
                <c:pt idx="27">
                  <c:v>9</c:v>
                </c:pt>
                <c:pt idx="28">
                  <c:v>11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9</c:v>
                </c:pt>
                <c:pt idx="3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Ilość dni o średniej, dziennej temperaturze zewnętrznej</c:v>
                </c15:tx>
              </c15:filteredSeriesTitle>
            </c:ext>
            <c:ext xmlns:c16="http://schemas.microsoft.com/office/drawing/2014/chart" uri="{C3380CC4-5D6E-409C-BE32-E72D297353CC}">
              <c16:uniqueId val="{00000000-C8C1-4840-ADF7-A77DF84A4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72128"/>
        <c:axId val="240672520"/>
      </c:barChart>
      <c:catAx>
        <c:axId val="240672128"/>
        <c:scaling>
          <c:orientation val="minMax"/>
        </c:scaling>
        <c:delete val="0"/>
        <c:axPos val="b"/>
        <c:majorGridlines/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40672520"/>
        <c:crosses val="autoZero"/>
        <c:auto val="1"/>
        <c:lblAlgn val="ctr"/>
        <c:lblOffset val="100"/>
        <c:noMultiLvlLbl val="0"/>
      </c:catAx>
      <c:valAx>
        <c:axId val="240672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40672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Pompa ciepła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221.A26'!$I$44:$I$54</c:f>
              <c:numCache>
                <c:formatCode>0.00</c:formatCode>
                <c:ptCount val="11"/>
                <c:pt idx="0">
                  <c:v>3506.4000000000005</c:v>
                </c:pt>
                <c:pt idx="1">
                  <c:v>4183.2000000000007</c:v>
                </c:pt>
                <c:pt idx="2">
                  <c:v>2268</c:v>
                </c:pt>
                <c:pt idx="3">
                  <c:v>1252.8000000000002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A-4DFE-A172-FFFB66F2DA99}"/>
            </c:ext>
          </c:extLst>
        </c:ser>
        <c:ser>
          <c:idx val="1"/>
          <c:order val="1"/>
          <c:tx>
            <c:v>Kocioł szczytowy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221.A26'!$J$44:$J$54</c:f>
              <c:numCache>
                <c:formatCode>0.00</c:formatCode>
                <c:ptCount val="11"/>
                <c:pt idx="0">
                  <c:v>319.88982666666681</c:v>
                </c:pt>
                <c:pt idx="1">
                  <c:v>299.25177333333346</c:v>
                </c:pt>
                <c:pt idx="2">
                  <c:v>319.88982666666675</c:v>
                </c:pt>
                <c:pt idx="3">
                  <c:v>309.57080000000008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309.57080000000008</c:v>
                </c:pt>
                <c:pt idx="9">
                  <c:v>319.88982666666675</c:v>
                </c:pt>
                <c:pt idx="10">
                  <c:v>309.57080000000008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A-4DFE-A172-FFFB66F2D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673304"/>
        <c:axId val="240673696"/>
      </c:barChart>
      <c:catAx>
        <c:axId val="24067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73696"/>
        <c:crosses val="autoZero"/>
        <c:auto val="1"/>
        <c:lblAlgn val="ctr"/>
        <c:lblOffset val="100"/>
        <c:noMultiLvlLbl val="0"/>
      </c:catAx>
      <c:valAx>
        <c:axId val="24067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7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2219162102099994"/>
          <c:y val="0.12817743794496242"/>
          <c:w val="0.18133749249166609"/>
          <c:h val="0.123371288657608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v>CWU: Pompa ciepła</c:v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221.A29 ver 2'!$F$44:$F$55</c:f>
              <c:numCache>
                <c:formatCode>General</c:formatCode>
                <c:ptCount val="12"/>
                <c:pt idx="0">
                  <c:v>144.46637333333337</c:v>
                </c:pt>
                <c:pt idx="1">
                  <c:v>92.87124</c:v>
                </c:pt>
                <c:pt idx="2">
                  <c:v>257.97566666666677</c:v>
                </c:pt>
                <c:pt idx="3">
                  <c:v>288.93274666666679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257.97566666666677</c:v>
                </c:pt>
                <c:pt idx="9">
                  <c:v>278.61372000000011</c:v>
                </c:pt>
                <c:pt idx="10">
                  <c:v>257.97566666666677</c:v>
                </c:pt>
                <c:pt idx="11">
                  <c:v>30.957079999999998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D-44D9-939C-7707FEAFA72C}"/>
            </c:ext>
          </c:extLst>
        </c:ser>
        <c:ser>
          <c:idx val="3"/>
          <c:order val="1"/>
          <c:tx>
            <c:v>CWU: Kocioł szczytowy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221.A29 ver 2'!$G$44:$G$55</c:f>
              <c:numCache>
                <c:formatCode>General</c:formatCode>
                <c:ptCount val="12"/>
                <c:pt idx="0">
                  <c:v>175.42345333333338</c:v>
                </c:pt>
                <c:pt idx="1">
                  <c:v>206.3805333333334</c:v>
                </c:pt>
                <c:pt idx="2">
                  <c:v>61.914159999999995</c:v>
                </c:pt>
                <c:pt idx="3">
                  <c:v>20.638053333333332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51.59513333333333</c:v>
                </c:pt>
                <c:pt idx="9">
                  <c:v>41.276106666666664</c:v>
                </c:pt>
                <c:pt idx="10">
                  <c:v>51.59513333333333</c:v>
                </c:pt>
                <c:pt idx="11">
                  <c:v>288.93274666666679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D-44D9-939C-7707FEAFA72C}"/>
            </c:ext>
          </c:extLst>
        </c:ser>
        <c:ser>
          <c:idx val="0"/>
          <c:order val="2"/>
          <c:tx>
            <c:v>CO: Pompa ciepła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221.A29 ver 2'!$D$44:$D$55</c:f>
              <c:numCache>
                <c:formatCode>General</c:formatCode>
                <c:ptCount val="12"/>
                <c:pt idx="0">
                  <c:v>2541.6000000000004</c:v>
                </c:pt>
                <c:pt idx="1">
                  <c:v>1699.1999999999998</c:v>
                </c:pt>
                <c:pt idx="2">
                  <c:v>2268</c:v>
                </c:pt>
                <c:pt idx="3">
                  <c:v>1252.8000000000002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  <c:pt idx="11">
                  <c:v>3549.6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D-44D9-939C-7707FEAFA72C}"/>
            </c:ext>
          </c:extLst>
        </c:ser>
        <c:ser>
          <c:idx val="1"/>
          <c:order val="3"/>
          <c:tx>
            <c:v>CO: Kocioł szczytowy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221.A29 ver 2'!$E$44:$E$55</c:f>
              <c:numCache>
                <c:formatCode>General</c:formatCode>
                <c:ptCount val="12"/>
                <c:pt idx="0">
                  <c:v>964.80000000000018</c:v>
                </c:pt>
                <c:pt idx="1">
                  <c:v>2484.0000000000005</c:v>
                </c:pt>
                <c:pt idx="2">
                  <c:v>0</c:v>
                </c:pt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381.60000000000008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8D-44D9-939C-7707FEAFA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674480"/>
        <c:axId val="240674872"/>
      </c:barChart>
      <c:catAx>
        <c:axId val="24067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674872"/>
        <c:crosses val="autoZero"/>
        <c:auto val="1"/>
        <c:lblAlgn val="ctr"/>
        <c:lblOffset val="100"/>
        <c:noMultiLvlLbl val="0"/>
      </c:catAx>
      <c:valAx>
        <c:axId val="2406748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24067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4910572826892353"/>
          <c:y val="8.0079276160336429E-2"/>
          <c:w val="0.25049895036998288"/>
          <c:h val="0.302931970116126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44485840919503E-2"/>
          <c:y val="0.14734867523098935"/>
          <c:w val="0.77758183446250184"/>
          <c:h val="0.84994312573181241"/>
        </c:manualLayout>
      </c:layout>
      <c:pieChart>
        <c:varyColors val="1"/>
        <c:ser>
          <c:idx val="0"/>
          <c:order val="0"/>
          <c:spPr>
            <a:ln w="635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15-48D7-8E06-9A5EC2913DC2}"/>
              </c:ext>
            </c:extLst>
          </c:dPt>
          <c:dPt>
            <c:idx val="1"/>
            <c:bubble3D val="0"/>
            <c:spPr>
              <a:solidFill>
                <a:srgbClr val="EF4423"/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15-48D7-8E06-9A5EC2913D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635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15-48D7-8E06-9A5EC2913DC2}"/>
              </c:ext>
            </c:extLst>
          </c:dPt>
          <c:cat>
            <c:strRef>
              <c:f>('SCOP 221.A26'!$FG$16,'SCOP 221.A26'!$FF$11,'SCOP 221.A26'!$FG$10)</c:f>
              <c:strCache>
                <c:ptCount val="3"/>
                <c:pt idx="0">
                  <c:v>Praca pompy ciepła</c:v>
                </c:pt>
                <c:pt idx="1">
                  <c:v>Zarządzanie ciepłem</c:v>
                </c:pt>
                <c:pt idx="2">
                  <c:v>Koszty po modernizacji</c:v>
                </c:pt>
              </c:strCache>
            </c:strRef>
          </c:cat>
          <c:val>
            <c:numRef>
              <c:f>('SCOP 221.A29 ver 2'!$FD$16,'SCOP 221.A29 ver 2'!$FD$17,'SCOP 221.A29 ver 2'!$FD$15)</c:f>
              <c:numCache>
                <c:formatCode>#\ ##0.00\ "zł"</c:formatCode>
                <c:ptCount val="3"/>
                <c:pt idx="0">
                  <c:v>1131.1348000134685</c:v>
                </c:pt>
                <c:pt idx="1">
                  <c:v>265.76222016616612</c:v>
                </c:pt>
                <c:pt idx="2">
                  <c:v>4976.7595699992207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15-48D7-8E06-9A5EC2913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683920846955174E-2"/>
          <c:y val="0.63927617060014097"/>
          <c:w val="0.83058082352036233"/>
          <c:h val="0.29452223250550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'Energia 221.A29'!$B$2:$B$37</c:f>
              <c:numCache>
                <c:formatCode>General</c:formatCode>
                <c:ptCount val="36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</c:numCache>
            </c:numRef>
          </c:cat>
          <c:val>
            <c:numRef>
              <c:f>'Energia 221.A29'!$F$2:$F$37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244.79999999999984</c:v>
                </c:pt>
                <c:pt idx="3">
                  <c:v>0</c:v>
                </c:pt>
                <c:pt idx="4">
                  <c:v>230.39999999999986</c:v>
                </c:pt>
                <c:pt idx="5">
                  <c:v>0</c:v>
                </c:pt>
                <c:pt idx="6">
                  <c:v>647.99999999999966</c:v>
                </c:pt>
                <c:pt idx="7">
                  <c:v>208.7999999999999</c:v>
                </c:pt>
                <c:pt idx="8">
                  <c:v>604.79999999999973</c:v>
                </c:pt>
                <c:pt idx="9">
                  <c:v>777.59999999999968</c:v>
                </c:pt>
                <c:pt idx="10">
                  <c:v>935.99999999999966</c:v>
                </c:pt>
                <c:pt idx="11">
                  <c:v>179.99999999999994</c:v>
                </c:pt>
                <c:pt idx="12">
                  <c:v>0</c:v>
                </c:pt>
                <c:pt idx="13">
                  <c:v>165.59999999999997</c:v>
                </c:pt>
                <c:pt idx="14">
                  <c:v>316.79999999999995</c:v>
                </c:pt>
                <c:pt idx="15">
                  <c:v>453.59999999999997</c:v>
                </c:pt>
                <c:pt idx="16">
                  <c:v>432</c:v>
                </c:pt>
                <c:pt idx="17">
                  <c:v>547.20000000000005</c:v>
                </c:pt>
                <c:pt idx="18">
                  <c:v>518.40000000000009</c:v>
                </c:pt>
                <c:pt idx="19">
                  <c:v>979.20000000000027</c:v>
                </c:pt>
                <c:pt idx="20">
                  <c:v>1958.4000000000005</c:v>
                </c:pt>
                <c:pt idx="21">
                  <c:v>756.00000000000023</c:v>
                </c:pt>
                <c:pt idx="22">
                  <c:v>1310.4000000000003</c:v>
                </c:pt>
                <c:pt idx="23">
                  <c:v>1404.0000000000005</c:v>
                </c:pt>
                <c:pt idx="24">
                  <c:v>1123.2000000000003</c:v>
                </c:pt>
                <c:pt idx="25">
                  <c:v>871.20000000000016</c:v>
                </c:pt>
                <c:pt idx="26">
                  <c:v>1440.0000000000002</c:v>
                </c:pt>
                <c:pt idx="27">
                  <c:v>842.40000000000009</c:v>
                </c:pt>
                <c:pt idx="28">
                  <c:v>979.20000000000016</c:v>
                </c:pt>
                <c:pt idx="29">
                  <c:v>453.6</c:v>
                </c:pt>
                <c:pt idx="30">
                  <c:v>734.40000000000009</c:v>
                </c:pt>
                <c:pt idx="31">
                  <c:v>360</c:v>
                </c:pt>
                <c:pt idx="32">
                  <c:v>201.60000000000008</c:v>
                </c:pt>
                <c:pt idx="33">
                  <c:v>259.2000000000001</c:v>
                </c:pt>
                <c:pt idx="34">
                  <c:v>244.8000000000001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B-433E-A49B-9AEC71480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28728"/>
        <c:axId val="241529120"/>
      </c:lineChart>
      <c:catAx>
        <c:axId val="24152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529120"/>
        <c:crosses val="autoZero"/>
        <c:auto val="1"/>
        <c:lblAlgn val="ctr"/>
        <c:lblOffset val="100"/>
        <c:noMultiLvlLbl val="0"/>
      </c:catAx>
      <c:valAx>
        <c:axId val="24152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528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22985920352242E-2"/>
          <c:y val="8.693200946108999E-2"/>
          <c:w val="0.42568337321567534"/>
          <c:h val="0.82613598107782005"/>
        </c:manualLayout>
      </c:layout>
      <c:pieChart>
        <c:varyColors val="1"/>
        <c:ser>
          <c:idx val="0"/>
          <c:order val="0"/>
          <c:spPr>
            <a:ln w="3175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3"/>
              </a:solidFill>
              <a:ln w="317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DE-4364-9F68-BC43AA3860B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317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DE-4364-9F68-BC43AA3860B2}"/>
              </c:ext>
            </c:extLst>
          </c:dPt>
          <c:dPt>
            <c:idx val="2"/>
            <c:bubble3D val="0"/>
            <c:spPr>
              <a:solidFill>
                <a:srgbClr val="EF4423"/>
              </a:solidFill>
              <a:ln w="317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DE-4364-9F68-BC43AA3860B2}"/>
              </c:ext>
            </c:extLst>
          </c:dPt>
          <c:cat>
            <c:strRef>
              <c:f>('SCOP 221.A29'!$FG$16,'SCOP 221.A29'!$FF$11,'SCOP 221.A29'!$FG$10)</c:f>
              <c:strCache>
                <c:ptCount val="3"/>
                <c:pt idx="0">
                  <c:v>Praca pompy ciepła</c:v>
                </c:pt>
                <c:pt idx="1">
                  <c:v>Zarządzanie ciepłem</c:v>
                </c:pt>
                <c:pt idx="2">
                  <c:v>Koszty po modernizacji</c:v>
                </c:pt>
              </c:strCache>
            </c:strRef>
          </c:cat>
          <c:val>
            <c:numRef>
              <c:f>('SCOP 221.A29 ver 2'!$FD$16,'SCOP 221.A29 ver 2'!$FD$17,'SCOP 221.A29 ver 2'!$FD$15)</c:f>
              <c:numCache>
                <c:formatCode>#\ ##0.00\ "zł"</c:formatCode>
                <c:ptCount val="3"/>
                <c:pt idx="0">
                  <c:v>1131.1348000134685</c:v>
                </c:pt>
                <c:pt idx="1">
                  <c:v>265.76222016616612</c:v>
                </c:pt>
                <c:pt idx="2">
                  <c:v>4976.7595699992207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E-4364-9F68-BC43AA386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024630475219921"/>
          <c:y val="0.29379496816399603"/>
          <c:w val="0.50569735935175575"/>
          <c:h val="0.45343605055747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22985920352242E-2"/>
          <c:y val="8.693200946108999E-2"/>
          <c:w val="0.42568337321567534"/>
          <c:h val="0.82613598107782005"/>
        </c:manualLayout>
      </c:layout>
      <c:pieChart>
        <c:varyColors val="1"/>
        <c:ser>
          <c:idx val="0"/>
          <c:order val="0"/>
          <c:spPr>
            <a:ln w="3175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3"/>
              </a:solidFill>
              <a:ln w="317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68-4207-8FF7-6B61B56C52CC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317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68-4207-8FF7-6B61B56C52CC}"/>
              </c:ext>
            </c:extLst>
          </c:dPt>
          <c:dPt>
            <c:idx val="2"/>
            <c:bubble3D val="0"/>
            <c:spPr>
              <a:solidFill>
                <a:srgbClr val="EF4423"/>
              </a:solidFill>
              <a:ln w="317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68-4207-8FF7-6B61B56C52CC}"/>
              </c:ext>
            </c:extLst>
          </c:dPt>
          <c:cat>
            <c:strRef>
              <c:f>('SCOP 221.A29'!$FG$16,'SCOP 221.A29'!$FF$11,'SCOP 221.A29'!$FG$10)</c:f>
              <c:strCache>
                <c:ptCount val="3"/>
                <c:pt idx="0">
                  <c:v>Praca pompy ciepła</c:v>
                </c:pt>
                <c:pt idx="1">
                  <c:v>Zarządzanie ciepłem</c:v>
                </c:pt>
                <c:pt idx="2">
                  <c:v>Koszty po modernizacji</c:v>
                </c:pt>
              </c:strCache>
            </c:strRef>
          </c:cat>
          <c:val>
            <c:numRef>
              <c:f>('SCOP 221.A26 ver 2'!$FD$16,'SCOP 221.A26 ver 2'!$FD$17,'SCOP 221.A26 ver 2'!$FD$15)</c:f>
              <c:numCache>
                <c:formatCode>#\ ##0.00\ "zł"</c:formatCode>
                <c:ptCount val="3"/>
                <c:pt idx="0">
                  <c:v>682.50454477196854</c:v>
                </c:pt>
                <c:pt idx="1">
                  <c:v>113.96643946483982</c:v>
                </c:pt>
                <c:pt idx="2">
                  <c:v>5577.185605942047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68-4207-8FF7-6B61B56C5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024630475219921"/>
          <c:y val="0.29379496816399603"/>
          <c:w val="0.50569735935175575"/>
          <c:h val="0.45343605055747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v>CWU: Pompa ciepła</c:v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221.A26'!$F$44:$F$55</c:f>
              <c:numCache>
                <c:formatCode>General</c:formatCode>
                <c:ptCount val="12"/>
                <c:pt idx="0">
                  <c:v>0</c:v>
                </c:pt>
                <c:pt idx="1">
                  <c:v>10.319026666666666</c:v>
                </c:pt>
                <c:pt idx="2">
                  <c:v>103.19026666666667</c:v>
                </c:pt>
                <c:pt idx="3">
                  <c:v>227.01858666666675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257.97566666666677</c:v>
                </c:pt>
                <c:pt idx="9">
                  <c:v>227.01858666666675</c:v>
                </c:pt>
                <c:pt idx="10">
                  <c:v>41.276106666666664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8-4707-A489-74E186AFC4CC}"/>
            </c:ext>
          </c:extLst>
        </c:ser>
        <c:ser>
          <c:idx val="3"/>
          <c:order val="1"/>
          <c:tx>
            <c:v>CWU: Kocioł szczytowy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221.A26'!$G$44:$G$55</c:f>
              <c:numCache>
                <c:formatCode>General</c:formatCode>
                <c:ptCount val="12"/>
                <c:pt idx="0">
                  <c:v>319.88982666666681</c:v>
                </c:pt>
                <c:pt idx="1">
                  <c:v>288.93274666666679</c:v>
                </c:pt>
                <c:pt idx="2">
                  <c:v>216.69956000000008</c:v>
                </c:pt>
                <c:pt idx="3">
                  <c:v>82.552213333333327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51.59513333333333</c:v>
                </c:pt>
                <c:pt idx="9">
                  <c:v>92.87124</c:v>
                </c:pt>
                <c:pt idx="10">
                  <c:v>268.29469333333344</c:v>
                </c:pt>
                <c:pt idx="11">
                  <c:v>319.88982666666681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8-4707-A489-74E186AFC4CC}"/>
            </c:ext>
          </c:extLst>
        </c:ser>
        <c:ser>
          <c:idx val="0"/>
          <c:order val="2"/>
          <c:tx>
            <c:v>CO: Pompa ciepła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221.A26'!$D$44:$D$55</c:f>
              <c:numCache>
                <c:formatCode>General</c:formatCode>
                <c:ptCount val="12"/>
                <c:pt idx="0">
                  <c:v>2404.8000000000002</c:v>
                </c:pt>
                <c:pt idx="1">
                  <c:v>1396.8000000000002</c:v>
                </c:pt>
                <c:pt idx="2">
                  <c:v>2264.0941176470587</c:v>
                </c:pt>
                <c:pt idx="3">
                  <c:v>1252.8000000000002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  <c:pt idx="11">
                  <c:v>2069.6941176470596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8-4707-A489-74E186AFC4CC}"/>
            </c:ext>
          </c:extLst>
        </c:ser>
        <c:ser>
          <c:idx val="1"/>
          <c:order val="3"/>
          <c:tx>
            <c:v>CO: Kocioł szczytowy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221.A26'!$E$44:$E$55</c:f>
              <c:numCache>
                <c:formatCode>General</c:formatCode>
                <c:ptCount val="12"/>
                <c:pt idx="0">
                  <c:v>1101.6000000000001</c:v>
                </c:pt>
                <c:pt idx="1">
                  <c:v>2786.4000000000005</c:v>
                </c:pt>
                <c:pt idx="2">
                  <c:v>3.9058823529412052</c:v>
                </c:pt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1861.5058823529416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8-4707-A489-74E186AFC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877368"/>
        <c:axId val="186877760"/>
      </c:barChart>
      <c:catAx>
        <c:axId val="186877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77760"/>
        <c:crosses val="autoZero"/>
        <c:auto val="1"/>
        <c:lblAlgn val="ctr"/>
        <c:lblOffset val="100"/>
        <c:noMultiLvlLbl val="0"/>
      </c:catAx>
      <c:valAx>
        <c:axId val="186877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86877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366829050978267"/>
          <c:y val="0.19700259420226571"/>
          <c:w val="0.32848630713613636"/>
          <c:h val="0.409364536421151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v>CWU: Pompa ciepła</c:v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221.A29'!$F$44:$F$55</c:f>
              <c:numCache>
                <c:formatCode>General</c:formatCode>
                <c:ptCount val="12"/>
                <c:pt idx="0">
                  <c:v>144.46637333333337</c:v>
                </c:pt>
                <c:pt idx="1">
                  <c:v>92.87124</c:v>
                </c:pt>
                <c:pt idx="2">
                  <c:v>257.97566666666677</c:v>
                </c:pt>
                <c:pt idx="3">
                  <c:v>288.93274666666679</c:v>
                </c:pt>
                <c:pt idx="4">
                  <c:v>319.88982666666664</c:v>
                </c:pt>
                <c:pt idx="5">
                  <c:v>319.88982666666664</c:v>
                </c:pt>
                <c:pt idx="6">
                  <c:v>319.88982666666664</c:v>
                </c:pt>
                <c:pt idx="7">
                  <c:v>319.88982666666664</c:v>
                </c:pt>
                <c:pt idx="8">
                  <c:v>257.97566666666677</c:v>
                </c:pt>
                <c:pt idx="9">
                  <c:v>278.61372000000011</c:v>
                </c:pt>
                <c:pt idx="10">
                  <c:v>257.97566666666677</c:v>
                </c:pt>
                <c:pt idx="11">
                  <c:v>30.957079999999998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5-499A-A30F-BCB0FC6B44D7}"/>
            </c:ext>
          </c:extLst>
        </c:ser>
        <c:ser>
          <c:idx val="3"/>
          <c:order val="1"/>
          <c:tx>
            <c:v>CWU: Kocioł szczytowy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'SCOP 221.A29'!$G$44:$G$55</c:f>
              <c:numCache>
                <c:formatCode>General</c:formatCode>
                <c:ptCount val="12"/>
                <c:pt idx="0">
                  <c:v>175.42345333333338</c:v>
                </c:pt>
                <c:pt idx="1">
                  <c:v>206.3805333333334</c:v>
                </c:pt>
                <c:pt idx="2">
                  <c:v>61.914159999999995</c:v>
                </c:pt>
                <c:pt idx="3">
                  <c:v>20.638053333333332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51.59513333333333</c:v>
                </c:pt>
                <c:pt idx="9">
                  <c:v>41.276106666666664</c:v>
                </c:pt>
                <c:pt idx="10">
                  <c:v>51.59513333333333</c:v>
                </c:pt>
                <c:pt idx="11">
                  <c:v>288.93274666666679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D5-499A-A30F-BCB0FC6B44D7}"/>
            </c:ext>
          </c:extLst>
        </c:ser>
        <c:ser>
          <c:idx val="0"/>
          <c:order val="2"/>
          <c:tx>
            <c:v>CO: Pompa ciepła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221.A29'!$D$44:$D$55</c:f>
              <c:numCache>
                <c:formatCode>General</c:formatCode>
                <c:ptCount val="12"/>
                <c:pt idx="0">
                  <c:v>2541.6000000000004</c:v>
                </c:pt>
                <c:pt idx="1">
                  <c:v>1699.1999999999998</c:v>
                </c:pt>
                <c:pt idx="2">
                  <c:v>2268</c:v>
                </c:pt>
                <c:pt idx="3">
                  <c:v>1252.8000000000002</c:v>
                </c:pt>
                <c:pt idx="8">
                  <c:v>367.20000000000016</c:v>
                </c:pt>
                <c:pt idx="9">
                  <c:v>1728</c:v>
                </c:pt>
                <c:pt idx="10">
                  <c:v>2397.6000000000013</c:v>
                </c:pt>
                <c:pt idx="11">
                  <c:v>3549.6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D5-499A-A30F-BCB0FC6B44D7}"/>
            </c:ext>
          </c:extLst>
        </c:ser>
        <c:ser>
          <c:idx val="1"/>
          <c:order val="3"/>
          <c:tx>
            <c:v>CO: Kocioł szczytowy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'SCOP 221.A26'!$B$44:$C$55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'SCOP 221.A29'!$E$44:$E$55</c:f>
              <c:numCache>
                <c:formatCode>General</c:formatCode>
                <c:ptCount val="12"/>
                <c:pt idx="0">
                  <c:v>964.80000000000018</c:v>
                </c:pt>
                <c:pt idx="1">
                  <c:v>2484.0000000000005</c:v>
                </c:pt>
                <c:pt idx="2">
                  <c:v>0</c:v>
                </c:pt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381.60000000000008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D5-499A-A30F-BCB0FC6B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878544"/>
        <c:axId val="186878936"/>
      </c:barChart>
      <c:catAx>
        <c:axId val="186878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78936"/>
        <c:crosses val="autoZero"/>
        <c:auto val="1"/>
        <c:lblAlgn val="ctr"/>
        <c:lblOffset val="100"/>
        <c:noMultiLvlLbl val="0"/>
      </c:catAx>
      <c:valAx>
        <c:axId val="1868789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8687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704062084603963"/>
          <c:y val="0.19140970852509315"/>
          <c:w val="0.2778074908124169"/>
          <c:h val="0.407303857111549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numRef>
              <c:f>'SCOP 221.A26'!$DS$3:$DS$42</c:f>
              <c:numCache>
                <c:formatCode>General</c:formatCode>
                <c:ptCount val="40"/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cat>
          <c:val>
            <c:numRef>
              <c:f>'SCOP 221.A26'!$DR$3:$DR$42</c:f>
              <c:numCache>
                <c:formatCode>General</c:formatCode>
                <c:ptCount val="40"/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17</c:v>
                </c:pt>
                <c:pt idx="23">
                  <c:v>7</c:v>
                </c:pt>
                <c:pt idx="24">
                  <c:v>13</c:v>
                </c:pt>
                <c:pt idx="25">
                  <c:v>15</c:v>
                </c:pt>
                <c:pt idx="26">
                  <c:v>13</c:v>
                </c:pt>
                <c:pt idx="27">
                  <c:v>11</c:v>
                </c:pt>
                <c:pt idx="28">
                  <c:v>20</c:v>
                </c:pt>
                <c:pt idx="29">
                  <c:v>13</c:v>
                </c:pt>
                <c:pt idx="30">
                  <c:v>17</c:v>
                </c:pt>
                <c:pt idx="31">
                  <c:v>9</c:v>
                </c:pt>
                <c:pt idx="32">
                  <c:v>11</c:v>
                </c:pt>
                <c:pt idx="33">
                  <c:v>9</c:v>
                </c:pt>
                <c:pt idx="34">
                  <c:v>4</c:v>
                </c:pt>
                <c:pt idx="35">
                  <c:v>9</c:v>
                </c:pt>
                <c:pt idx="36">
                  <c:v>9</c:v>
                </c:pt>
                <c:pt idx="37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Ilość dni o średniej, dziennej temperaturze zewnętrznej</c:v>
                </c15:tx>
              </c15:filteredSeriesTitle>
            </c:ext>
            <c:ext xmlns:c16="http://schemas.microsoft.com/office/drawing/2014/chart" uri="{C3380CC4-5D6E-409C-BE32-E72D297353CC}">
              <c16:uniqueId val="{00000000-9C8B-499D-A729-38940151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79720"/>
        <c:axId val="186880112"/>
      </c:barChart>
      <c:catAx>
        <c:axId val="1868797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txPr>
          <a:bodyPr/>
          <a:lstStyle/>
          <a:p>
            <a:pPr>
              <a:defRPr sz="10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86880112"/>
        <c:crosses val="autoZero"/>
        <c:auto val="1"/>
        <c:lblAlgn val="ctr"/>
        <c:lblOffset val="100"/>
        <c:tickMarkSkip val="1"/>
        <c:noMultiLvlLbl val="0"/>
      </c:catAx>
      <c:valAx>
        <c:axId val="186880112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crossAx val="186879720"/>
        <c:crosses val="autoZero"/>
        <c:crossBetween val="midCat"/>
      </c:valAx>
      <c:spPr>
        <a:ln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Dane!#REF!</c:f>
              <c:numCache>
                <c:formatCode>General</c:formatCode>
                <c:ptCount val="8"/>
                <c:pt idx="0">
                  <c:v>1.9</c:v>
                </c:pt>
                <c:pt idx="1">
                  <c:v>2.85</c:v>
                </c:pt>
                <c:pt idx="2">
                  <c:v>3.27</c:v>
                </c:pt>
                <c:pt idx="3">
                  <c:v>4.6399999999999997</c:v>
                </c:pt>
                <c:pt idx="4">
                  <c:v>4.83</c:v>
                </c:pt>
                <c:pt idx="5">
                  <c:v>5</c:v>
                </c:pt>
                <c:pt idx="6">
                  <c:v>5.27</c:v>
                </c:pt>
                <c:pt idx="7">
                  <c:v>5.7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35°C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-15</c:v>
                      </c:pt>
                      <c:pt idx="1">
                        <c:v>-7</c:v>
                      </c:pt>
                      <c:pt idx="2">
                        <c:v>2</c:v>
                      </c:pt>
                      <c:pt idx="3">
                        <c:v>7</c:v>
                      </c:pt>
                      <c:pt idx="4">
                        <c:v>10</c:v>
                      </c:pt>
                      <c:pt idx="5">
                        <c:v>12</c:v>
                      </c:pt>
                      <c:pt idx="6">
                        <c:v>20</c:v>
                      </c:pt>
                      <c:pt idx="7">
                        <c:v>30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1DB-4C63-A2FF-609124F54480}"/>
            </c:ext>
          </c:extLst>
        </c:ser>
        <c:ser>
          <c:idx val="6"/>
          <c:order val="1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Dane!#REF!</c:f>
              <c:numCache>
                <c:formatCode>General</c:formatCode>
                <c:ptCount val="8"/>
                <c:pt idx="0">
                  <c:v>1.6</c:v>
                </c:pt>
                <c:pt idx="1">
                  <c:v>2.2000000000000002</c:v>
                </c:pt>
                <c:pt idx="2">
                  <c:v>2.65</c:v>
                </c:pt>
                <c:pt idx="3">
                  <c:v>3.55</c:v>
                </c:pt>
                <c:pt idx="4">
                  <c:v>3.67</c:v>
                </c:pt>
                <c:pt idx="5">
                  <c:v>3.75</c:v>
                </c:pt>
                <c:pt idx="6">
                  <c:v>4.04</c:v>
                </c:pt>
                <c:pt idx="7">
                  <c:v>4.41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45°C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-15</c:v>
                      </c:pt>
                      <c:pt idx="1">
                        <c:v>-7</c:v>
                      </c:pt>
                      <c:pt idx="2">
                        <c:v>2</c:v>
                      </c:pt>
                      <c:pt idx="3">
                        <c:v>7</c:v>
                      </c:pt>
                      <c:pt idx="4">
                        <c:v>10</c:v>
                      </c:pt>
                      <c:pt idx="5">
                        <c:v>12</c:v>
                      </c:pt>
                      <c:pt idx="6">
                        <c:v>20</c:v>
                      </c:pt>
                      <c:pt idx="7">
                        <c:v>30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1DB-4C63-A2FF-609124F54480}"/>
            </c:ext>
          </c:extLst>
        </c:ser>
        <c:ser>
          <c:idx val="8"/>
          <c:order val="2"/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Dane!#REF!</c:f>
              <c:numCache>
                <c:formatCode>General</c:formatCode>
                <c:ptCount val="8"/>
                <c:pt idx="0">
                  <c:v>1.1599999999999999</c:v>
                </c:pt>
                <c:pt idx="1">
                  <c:v>1.7</c:v>
                </c:pt>
                <c:pt idx="2">
                  <c:v>2.12</c:v>
                </c:pt>
                <c:pt idx="3">
                  <c:v>2.74</c:v>
                </c:pt>
                <c:pt idx="4">
                  <c:v>2.87</c:v>
                </c:pt>
                <c:pt idx="5">
                  <c:v>3.1</c:v>
                </c:pt>
                <c:pt idx="6">
                  <c:v>3.3</c:v>
                </c:pt>
                <c:pt idx="7">
                  <c:v>3.45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strCache>
                      <c:ptCount val="1"/>
                      <c:pt idx="0">
                        <c:v>COP 55°C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Dane!#REF!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-15</c:v>
                      </c:pt>
                      <c:pt idx="1">
                        <c:v>-7</c:v>
                      </c:pt>
                      <c:pt idx="2">
                        <c:v>2</c:v>
                      </c:pt>
                      <c:pt idx="3">
                        <c:v>7</c:v>
                      </c:pt>
                      <c:pt idx="4">
                        <c:v>10</c:v>
                      </c:pt>
                      <c:pt idx="5">
                        <c:v>12</c:v>
                      </c:pt>
                      <c:pt idx="6">
                        <c:v>20</c:v>
                      </c:pt>
                      <c:pt idx="7">
                        <c:v>30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1DB-4C63-A2FF-609124F5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21216"/>
        <c:axId val="185921608"/>
      </c:lineChart>
      <c:catAx>
        <c:axId val="1859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921608"/>
        <c:crosses val="autoZero"/>
        <c:auto val="1"/>
        <c:lblAlgn val="ctr"/>
        <c:lblOffset val="100"/>
        <c:noMultiLvlLbl val="0"/>
      </c:catAx>
      <c:valAx>
        <c:axId val="185921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921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chart" Target="../charts/chart1.xml"/><Relationship Id="rId18" Type="http://schemas.openxmlformats.org/officeDocument/2006/relationships/image" Target="../media/image14.png"/><Relationship Id="rId3" Type="http://schemas.openxmlformats.org/officeDocument/2006/relationships/image" Target="../media/image3.png"/><Relationship Id="rId21" Type="http://schemas.openxmlformats.org/officeDocument/2006/relationships/chart" Target="../charts/chart7.xml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3.png"/><Relationship Id="rId2" Type="http://schemas.openxmlformats.org/officeDocument/2006/relationships/image" Target="../media/image2.png"/><Relationship Id="rId16" Type="http://schemas.openxmlformats.org/officeDocument/2006/relationships/chart" Target="../charts/chart4.xml"/><Relationship Id="rId20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chart" Target="../charts/chart3.xml"/><Relationship Id="rId10" Type="http://schemas.openxmlformats.org/officeDocument/2006/relationships/image" Target="../media/image10.png"/><Relationship Id="rId19" Type="http://schemas.openxmlformats.org/officeDocument/2006/relationships/chart" Target="../charts/chart5.xm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chart" Target="../charts/chart2.xml"/><Relationship Id="rId22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jpe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5.png"/><Relationship Id="rId5" Type="http://schemas.openxmlformats.org/officeDocument/2006/relationships/image" Target="../media/image13.png"/><Relationship Id="rId4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openxmlformats.org/officeDocument/2006/relationships/image" Target="../media/image15.png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image" Target="../media/image15.png"/><Relationship Id="rId5" Type="http://schemas.openxmlformats.org/officeDocument/2006/relationships/image" Target="../media/image13.png"/><Relationship Id="rId4" Type="http://schemas.openxmlformats.org/officeDocument/2006/relationships/chart" Target="../charts/chart2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3.xml"/><Relationship Id="rId5" Type="http://schemas.openxmlformats.org/officeDocument/2006/relationships/image" Target="../media/image15.png"/><Relationship Id="rId4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363008</xdr:colOff>
      <xdr:row>41</xdr:row>
      <xdr:rowOff>87655</xdr:rowOff>
    </xdr:from>
    <xdr:to>
      <xdr:col>6</xdr:col>
      <xdr:colOff>0</xdr:colOff>
      <xdr:row>42</xdr:row>
      <xdr:rowOff>87654</xdr:rowOff>
    </xdr:to>
    <xdr:cxnSp macro="">
      <xdr:nvCxnSpPr>
        <xdr:cNvPr id="66" name="Łącznik prosty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 flipV="1">
          <a:off x="610658" y="7888630"/>
          <a:ext cx="1751542" cy="180974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372533</xdr:colOff>
      <xdr:row>77</xdr:row>
      <xdr:rowOff>24342</xdr:rowOff>
    </xdr:from>
    <xdr:to>
      <xdr:col>6</xdr:col>
      <xdr:colOff>0</xdr:colOff>
      <xdr:row>78</xdr:row>
      <xdr:rowOff>24341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620183" y="14368992"/>
          <a:ext cx="1742017" cy="180974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154779</xdr:colOff>
      <xdr:row>10</xdr:row>
      <xdr:rowOff>185736</xdr:rowOff>
    </xdr:from>
    <xdr:to>
      <xdr:col>8</xdr:col>
      <xdr:colOff>39052</xdr:colOff>
      <xdr:row>20</xdr:row>
      <xdr:rowOff>36679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79" y="1959767"/>
          <a:ext cx="2940846" cy="174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127222</xdr:colOff>
      <xdr:row>18</xdr:row>
      <xdr:rowOff>78767</xdr:rowOff>
    </xdr:from>
    <xdr:to>
      <xdr:col>13</xdr:col>
      <xdr:colOff>285220</xdr:colOff>
      <xdr:row>20</xdr:row>
      <xdr:rowOff>39052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7003" y="3352986"/>
          <a:ext cx="161808" cy="345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213969</xdr:colOff>
      <xdr:row>20</xdr:row>
      <xdr:rowOff>165234</xdr:rowOff>
    </xdr:from>
    <xdr:to>
      <xdr:col>17</xdr:col>
      <xdr:colOff>1900</xdr:colOff>
      <xdr:row>22</xdr:row>
      <xdr:rowOff>8248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38769" y="3841884"/>
          <a:ext cx="393048" cy="225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609465</xdr:colOff>
      <xdr:row>20</xdr:row>
      <xdr:rowOff>165237</xdr:rowOff>
    </xdr:from>
    <xdr:to>
      <xdr:col>19</xdr:col>
      <xdr:colOff>140</xdr:colOff>
      <xdr:row>22</xdr:row>
      <xdr:rowOff>18277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1813"/>
        <a:stretch>
          <a:fillRect/>
        </a:stretch>
      </xdr:blipFill>
      <xdr:spPr bwMode="auto">
        <a:xfrm>
          <a:off x="8534265" y="3841887"/>
          <a:ext cx="324125" cy="23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435347</xdr:colOff>
      <xdr:row>2</xdr:row>
      <xdr:rowOff>47863</xdr:rowOff>
    </xdr:from>
    <xdr:to>
      <xdr:col>3</xdr:col>
      <xdr:colOff>64770</xdr:colOff>
      <xdr:row>5</xdr:row>
      <xdr:rowOff>190412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682997" y="409813"/>
          <a:ext cx="793378" cy="775009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18</xdr:col>
      <xdr:colOff>152400</xdr:colOff>
      <xdr:row>1</xdr:row>
      <xdr:rowOff>123825</xdr:rowOff>
    </xdr:from>
    <xdr:to>
      <xdr:col>20</xdr:col>
      <xdr:colOff>112669</xdr:colOff>
      <xdr:row>8</xdr:row>
      <xdr:rowOff>144542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4853" t="1995" r="7300" b="4323"/>
        <a:stretch>
          <a:fillRect/>
        </a:stretch>
      </xdr:blipFill>
      <xdr:spPr bwMode="auto">
        <a:xfrm>
          <a:off x="9086850" y="304800"/>
          <a:ext cx="312694" cy="144184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323666</xdr:colOff>
      <xdr:row>36</xdr:row>
      <xdr:rowOff>25027</xdr:rowOff>
    </xdr:from>
    <xdr:to>
      <xdr:col>3</xdr:col>
      <xdr:colOff>199439</xdr:colOff>
      <xdr:row>43</xdr:row>
      <xdr:rowOff>9196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43"/>
        <a:stretch>
          <a:fillRect/>
        </a:stretch>
      </xdr:blipFill>
      <xdr:spPr bwMode="auto">
        <a:xfrm>
          <a:off x="1018991" y="6921127"/>
          <a:ext cx="592053" cy="12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22262</xdr:colOff>
      <xdr:row>73</xdr:row>
      <xdr:rowOff>131909</xdr:rowOff>
    </xdr:from>
    <xdr:to>
      <xdr:col>5</xdr:col>
      <xdr:colOff>458224</xdr:colOff>
      <xdr:row>78</xdr:row>
      <xdr:rowOff>45721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51037" y="13752659"/>
          <a:ext cx="584552" cy="820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26794</xdr:colOff>
      <xdr:row>39</xdr:row>
      <xdr:rowOff>158099</xdr:rowOff>
    </xdr:from>
    <xdr:to>
      <xdr:col>5</xdr:col>
      <xdr:colOff>418389</xdr:colOff>
      <xdr:row>42</xdr:row>
      <xdr:rowOff>133797</xdr:rowOff>
    </xdr:to>
    <xdr:pic>
      <xdr:nvPicPr>
        <xdr:cNvPr id="16" name="Pictur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55569" y="7597124"/>
          <a:ext cx="547805" cy="51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344582</xdr:colOff>
      <xdr:row>22</xdr:row>
      <xdr:rowOff>118702</xdr:rowOff>
    </xdr:from>
    <xdr:to>
      <xdr:col>16</xdr:col>
      <xdr:colOff>532232</xdr:colOff>
      <xdr:row>24</xdr:row>
      <xdr:rowOff>65330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69382" y="4176352"/>
          <a:ext cx="187650" cy="329533"/>
        </a:xfrm>
        <a:prstGeom prst="rect">
          <a:avLst/>
        </a:prstGeom>
      </xdr:spPr>
    </xdr:pic>
    <xdr:clientData/>
  </xdr:twoCellAnchor>
  <xdr:twoCellAnchor>
    <xdr:from>
      <xdr:col>12</xdr:col>
      <xdr:colOff>350921</xdr:colOff>
      <xdr:row>14</xdr:row>
      <xdr:rowOff>105116</xdr:rowOff>
    </xdr:from>
    <xdr:to>
      <xdr:col>14</xdr:col>
      <xdr:colOff>593912</xdr:colOff>
      <xdr:row>14</xdr:row>
      <xdr:rowOff>105116</xdr:rowOff>
    </xdr:to>
    <xdr:cxnSp macro="">
      <xdr:nvCxnSpPr>
        <xdr:cNvPr id="21" name="Łącznik prosty ze strzałką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5504447" y="2641774"/>
          <a:ext cx="1616597" cy="0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350925</xdr:colOff>
      <xdr:row>14</xdr:row>
      <xdr:rowOff>11907</xdr:rowOff>
    </xdr:from>
    <xdr:to>
      <xdr:col>12</xdr:col>
      <xdr:colOff>350925</xdr:colOff>
      <xdr:row>14</xdr:row>
      <xdr:rowOff>108857</xdr:rowOff>
    </xdr:to>
    <xdr:cxnSp macro="">
      <xdr:nvCxnSpPr>
        <xdr:cNvPr id="23" name="Łącznik prosty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5504451" y="2548565"/>
          <a:ext cx="0" cy="96950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340799</xdr:colOff>
      <xdr:row>12</xdr:row>
      <xdr:rowOff>9525</xdr:rowOff>
    </xdr:from>
    <xdr:to>
      <xdr:col>15</xdr:col>
      <xdr:colOff>340799</xdr:colOff>
      <xdr:row>13</xdr:row>
      <xdr:rowOff>140368</xdr:rowOff>
    </xdr:to>
    <xdr:cxnSp macro="">
      <xdr:nvCxnSpPr>
        <xdr:cNvPr id="27" name="Łącznik prosty ze strzałką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554733" y="2165183"/>
          <a:ext cx="0" cy="321343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478650</xdr:colOff>
      <xdr:row>26</xdr:row>
      <xdr:rowOff>103194</xdr:rowOff>
    </xdr:from>
    <xdr:to>
      <xdr:col>14</xdr:col>
      <xdr:colOff>593912</xdr:colOff>
      <xdr:row>26</xdr:row>
      <xdr:rowOff>103194</xdr:rowOff>
    </xdr:to>
    <xdr:cxnSp macro="">
      <xdr:nvCxnSpPr>
        <xdr:cNvPr id="32" name="Łącznik prosty ze strzałką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5644562" y="4910518"/>
          <a:ext cx="1482379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472167</xdr:colOff>
      <xdr:row>26</xdr:row>
      <xdr:rowOff>9985</xdr:rowOff>
    </xdr:from>
    <xdr:to>
      <xdr:col>12</xdr:col>
      <xdr:colOff>472167</xdr:colOff>
      <xdr:row>26</xdr:row>
      <xdr:rowOff>106935</xdr:rowOff>
    </xdr:to>
    <xdr:cxnSp macro="">
      <xdr:nvCxnSpPr>
        <xdr:cNvPr id="33" name="Łącznik prosty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5625192" y="4829635"/>
          <a:ext cx="0" cy="96950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358588</xdr:colOff>
      <xdr:row>28</xdr:row>
      <xdr:rowOff>76300</xdr:rowOff>
    </xdr:from>
    <xdr:to>
      <xdr:col>14</xdr:col>
      <xdr:colOff>586539</xdr:colOff>
      <xdr:row>28</xdr:row>
      <xdr:rowOff>76300</xdr:rowOff>
    </xdr:to>
    <xdr:cxnSp macro="">
      <xdr:nvCxnSpPr>
        <xdr:cNvPr id="44" name="Łącznik prosty ze strzałką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5512114" y="5269932"/>
          <a:ext cx="1601557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358870</xdr:colOff>
      <xdr:row>26</xdr:row>
      <xdr:rowOff>11990</xdr:rowOff>
    </xdr:from>
    <xdr:to>
      <xdr:col>12</xdr:col>
      <xdr:colOff>358870</xdr:colOff>
      <xdr:row>28</xdr:row>
      <xdr:rowOff>75197</xdr:rowOff>
    </xdr:to>
    <xdr:cxnSp macro="">
      <xdr:nvCxnSpPr>
        <xdr:cNvPr id="46" name="Łącznik prosty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V="1">
          <a:off x="5511895" y="4831640"/>
          <a:ext cx="0" cy="444207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325855</xdr:colOff>
      <xdr:row>29</xdr:row>
      <xdr:rowOff>44823</xdr:rowOff>
    </xdr:from>
    <xdr:to>
      <xdr:col>15</xdr:col>
      <xdr:colOff>325855</xdr:colOff>
      <xdr:row>30</xdr:row>
      <xdr:rowOff>174281</xdr:rowOff>
    </xdr:to>
    <xdr:cxnSp macro="">
      <xdr:nvCxnSpPr>
        <xdr:cNvPr id="50" name="Łącznik prosty ze strzałką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V="1">
          <a:off x="7542443" y="5423647"/>
          <a:ext cx="0" cy="308752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327422</xdr:colOff>
      <xdr:row>27</xdr:row>
      <xdr:rowOff>16572</xdr:rowOff>
    </xdr:from>
    <xdr:to>
      <xdr:col>15</xdr:col>
      <xdr:colOff>327422</xdr:colOff>
      <xdr:row>27</xdr:row>
      <xdr:rowOff>161459</xdr:rowOff>
    </xdr:to>
    <xdr:cxnSp macro="">
      <xdr:nvCxnSpPr>
        <xdr:cNvPr id="55" name="Łącznik prosty ze strzałką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7544010" y="5014396"/>
          <a:ext cx="0" cy="144887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559023</xdr:colOff>
      <xdr:row>26</xdr:row>
      <xdr:rowOff>93629</xdr:rowOff>
    </xdr:from>
    <xdr:to>
      <xdr:col>20</xdr:col>
      <xdr:colOff>44824</xdr:colOff>
      <xdr:row>26</xdr:row>
      <xdr:rowOff>93629</xdr:rowOff>
    </xdr:to>
    <xdr:cxnSp macro="">
      <xdr:nvCxnSpPr>
        <xdr:cNvPr id="73" name="Łącznik prosty ze strzałką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 flipH="1">
          <a:off x="8684262" y="5104607"/>
          <a:ext cx="603953" cy="0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41297</xdr:colOff>
      <xdr:row>14</xdr:row>
      <xdr:rowOff>123266</xdr:rowOff>
    </xdr:from>
    <xdr:to>
      <xdr:col>20</xdr:col>
      <xdr:colOff>41297</xdr:colOff>
      <xdr:row>26</xdr:row>
      <xdr:rowOff>91109</xdr:rowOff>
    </xdr:to>
    <xdr:cxnSp macro="">
      <xdr:nvCxnSpPr>
        <xdr:cNvPr id="75" name="Łącznik prosty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 flipV="1">
          <a:off x="9284688" y="2856527"/>
          <a:ext cx="0" cy="2245560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583053</xdr:colOff>
      <xdr:row>14</xdr:row>
      <xdr:rowOff>110289</xdr:rowOff>
    </xdr:from>
    <xdr:to>
      <xdr:col>20</xdr:col>
      <xdr:colOff>44824</xdr:colOff>
      <xdr:row>14</xdr:row>
      <xdr:rowOff>110289</xdr:rowOff>
    </xdr:to>
    <xdr:cxnSp macro="">
      <xdr:nvCxnSpPr>
        <xdr:cNvPr id="81" name="Łącznik prosty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8483200" y="2642818"/>
          <a:ext cx="571153" cy="0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336876</xdr:colOff>
      <xdr:row>71</xdr:row>
      <xdr:rowOff>145410</xdr:rowOff>
    </xdr:from>
    <xdr:to>
      <xdr:col>3</xdr:col>
      <xdr:colOff>198918</xdr:colOff>
      <xdr:row>78</xdr:row>
      <xdr:rowOff>103352</xdr:rowOff>
    </xdr:to>
    <xdr:pic>
      <xdr:nvPicPr>
        <xdr:cNvPr id="86" name="Picture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43"/>
        <a:stretch>
          <a:fillRect/>
        </a:stretch>
      </xdr:blipFill>
      <xdr:spPr bwMode="auto">
        <a:xfrm>
          <a:off x="1032201" y="13404210"/>
          <a:ext cx="578322" cy="1226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598844</xdr:colOff>
      <xdr:row>16</xdr:row>
      <xdr:rowOff>134473</xdr:rowOff>
    </xdr:from>
    <xdr:to>
      <xdr:col>18</xdr:col>
      <xdr:colOff>125157</xdr:colOff>
      <xdr:row>18</xdr:row>
      <xdr:rowOff>56028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8498991" y="3036797"/>
          <a:ext cx="286408" cy="3025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16</xdr:col>
      <xdr:colOff>282389</xdr:colOff>
      <xdr:row>16</xdr:row>
      <xdr:rowOff>134470</xdr:rowOff>
    </xdr:from>
    <xdr:to>
      <xdr:col>16</xdr:col>
      <xdr:colOff>571252</xdr:colOff>
      <xdr:row>18</xdr:row>
      <xdr:rowOff>56025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 r="18270"/>
        <a:stretch>
          <a:fillRect/>
        </a:stretch>
      </xdr:blipFill>
      <xdr:spPr bwMode="auto">
        <a:xfrm>
          <a:off x="8207189" y="3049120"/>
          <a:ext cx="288863" cy="3025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8</xdr:col>
      <xdr:colOff>1680</xdr:colOff>
      <xdr:row>69</xdr:row>
      <xdr:rowOff>83404</xdr:rowOff>
    </xdr:from>
    <xdr:to>
      <xdr:col>19</xdr:col>
      <xdr:colOff>144673</xdr:colOff>
      <xdr:row>84</xdr:row>
      <xdr:rowOff>30797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121105</xdr:colOff>
      <xdr:row>34</xdr:row>
      <xdr:rowOff>68036</xdr:rowOff>
    </xdr:from>
    <xdr:to>
      <xdr:col>19</xdr:col>
      <xdr:colOff>142878</xdr:colOff>
      <xdr:row>49</xdr:row>
      <xdr:rowOff>27214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262758</xdr:colOff>
      <xdr:row>49</xdr:row>
      <xdr:rowOff>95250</xdr:rowOff>
    </xdr:from>
    <xdr:to>
      <xdr:col>17</xdr:col>
      <xdr:colOff>118243</xdr:colOff>
      <xdr:row>58</xdr:row>
      <xdr:rowOff>136071</xdr:rowOff>
    </xdr:to>
    <xdr:graphicFrame macro="">
      <xdr:nvGraphicFramePr>
        <xdr:cNvPr id="43" name="Wykres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oneCellAnchor>
    <xdr:from>
      <xdr:col>8</xdr:col>
      <xdr:colOff>392854</xdr:colOff>
      <xdr:row>49</xdr:row>
      <xdr:rowOff>18635</xdr:rowOff>
    </xdr:from>
    <xdr:ext cx="4903046" cy="24885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688504" y="9276935"/>
          <a:ext cx="490304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Ilość d</a:t>
          </a:r>
          <a:r>
            <a:rPr lang="en-US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pl-PL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 o średniej temperaturze</a:t>
          </a:r>
          <a:r>
            <a:rPr lang="en-US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zewnętrznej w okresie: I-IV + IX-XII dla Krakowa w 2012 r.</a:t>
          </a:r>
          <a:endParaRPr lang="pl-PL" sz="10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>
    <xdr:from>
      <xdr:col>1</xdr:col>
      <xdr:colOff>76199</xdr:colOff>
      <xdr:row>92</xdr:row>
      <xdr:rowOff>171451</xdr:rowOff>
    </xdr:from>
    <xdr:to>
      <xdr:col>8</xdr:col>
      <xdr:colOff>268940</xdr:colOff>
      <xdr:row>102</xdr:row>
      <xdr:rowOff>9525</xdr:rowOff>
    </xdr:to>
    <xdr:graphicFrame macro="">
      <xdr:nvGraphicFramePr>
        <xdr:cNvPr id="57" name="Wykres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</xdr:col>
      <xdr:colOff>53178</xdr:colOff>
      <xdr:row>96</xdr:row>
      <xdr:rowOff>46187</xdr:rowOff>
    </xdr:from>
    <xdr:ext cx="744057" cy="380158"/>
    <xdr:pic>
      <xdr:nvPicPr>
        <xdr:cNvPr id="65" name="Picture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707" y="17717863"/>
          <a:ext cx="744057" cy="380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244993</xdr:colOff>
      <xdr:row>93</xdr:row>
      <xdr:rowOff>106987</xdr:rowOff>
    </xdr:from>
    <xdr:ext cx="540278" cy="428662"/>
    <xdr:pic>
      <xdr:nvPicPr>
        <xdr:cNvPr id="70" name="Picture 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22" y="17240781"/>
          <a:ext cx="540278" cy="428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168089</xdr:colOff>
      <xdr:row>92</xdr:row>
      <xdr:rowOff>177491</xdr:rowOff>
    </xdr:from>
    <xdr:to>
      <xdr:col>5</xdr:col>
      <xdr:colOff>291353</xdr:colOff>
      <xdr:row>102</xdr:row>
      <xdr:rowOff>33618</xdr:rowOff>
    </xdr:to>
    <xdr:sp macro="" textlink="">
      <xdr:nvSpPr>
        <xdr:cNvPr id="61" name="Łu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14618" y="17131991"/>
          <a:ext cx="1669676" cy="1649068"/>
        </a:xfrm>
        <a:prstGeom prst="arc">
          <a:avLst>
            <a:gd name="adj1" fmla="val 16154341"/>
            <a:gd name="adj2" fmla="val 18591411"/>
          </a:avLst>
        </a:prstGeom>
        <a:ln w="28575">
          <a:solidFill>
            <a:srgbClr val="00B050"/>
          </a:solidFill>
          <a:headEnd type="none" w="med" len="med"/>
          <a:tailEnd type="triangl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de-DE"/>
          </a:defPPr>
          <a:lvl1pPr marL="0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845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690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535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380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9225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7070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916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761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twoCellAnchor>
  <xdr:twoCellAnchor>
    <xdr:from>
      <xdr:col>1</xdr:col>
      <xdr:colOff>90256</xdr:colOff>
      <xdr:row>57</xdr:row>
      <xdr:rowOff>0</xdr:rowOff>
    </xdr:from>
    <xdr:to>
      <xdr:col>8</xdr:col>
      <xdr:colOff>282997</xdr:colOff>
      <xdr:row>66</xdr:row>
      <xdr:rowOff>17368</xdr:rowOff>
    </xdr:to>
    <xdr:graphicFrame macro="">
      <xdr:nvGraphicFramePr>
        <xdr:cNvPr id="49" name="Wykres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oneCellAnchor>
    <xdr:from>
      <xdr:col>1</xdr:col>
      <xdr:colOff>67235</xdr:colOff>
      <xdr:row>60</xdr:row>
      <xdr:rowOff>54030</xdr:rowOff>
    </xdr:from>
    <xdr:ext cx="744057" cy="380158"/>
    <xdr:pic>
      <xdr:nvPicPr>
        <xdr:cNvPr id="51" name="Picture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4" y="11248706"/>
          <a:ext cx="744057" cy="380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259050</xdr:colOff>
      <xdr:row>57</xdr:row>
      <xdr:rowOff>114830</xdr:rowOff>
    </xdr:from>
    <xdr:ext cx="540278" cy="428662"/>
    <xdr:pic>
      <xdr:nvPicPr>
        <xdr:cNvPr id="52" name="Picture 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579" y="10771624"/>
          <a:ext cx="540278" cy="428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182146</xdr:colOff>
      <xdr:row>57</xdr:row>
      <xdr:rowOff>6040</xdr:rowOff>
    </xdr:from>
    <xdr:to>
      <xdr:col>5</xdr:col>
      <xdr:colOff>305410</xdr:colOff>
      <xdr:row>66</xdr:row>
      <xdr:rowOff>41461</xdr:rowOff>
    </xdr:to>
    <xdr:sp macro="" textlink="">
      <xdr:nvSpPr>
        <xdr:cNvPr id="53" name="Łu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428675" y="10662834"/>
          <a:ext cx="1669676" cy="1649068"/>
        </a:xfrm>
        <a:prstGeom prst="arc">
          <a:avLst>
            <a:gd name="adj1" fmla="val 16154341"/>
            <a:gd name="adj2" fmla="val 18591411"/>
          </a:avLst>
        </a:prstGeom>
        <a:ln w="28575">
          <a:solidFill>
            <a:srgbClr val="00B050"/>
          </a:solidFill>
          <a:headEnd type="none" w="med" len="med"/>
          <a:tailEnd type="triangl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de-DE"/>
          </a:defPPr>
          <a:lvl1pPr marL="0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845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690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535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380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9225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7070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916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761" algn="l" defTabSz="995690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twoCellAnchor>
  <xdr:twoCellAnchor>
    <xdr:from>
      <xdr:col>8</xdr:col>
      <xdr:colOff>341586</xdr:colOff>
      <xdr:row>58</xdr:row>
      <xdr:rowOff>122465</xdr:rowOff>
    </xdr:from>
    <xdr:to>
      <xdr:col>17</xdr:col>
      <xdr:colOff>54429</xdr:colOff>
      <xdr:row>69</xdr:row>
      <xdr:rowOff>0</xdr:rowOff>
    </xdr:to>
    <xdr:graphicFrame macro="">
      <xdr:nvGraphicFramePr>
        <xdr:cNvPr id="54" name="Wykres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oneCellAnchor>
    <xdr:from>
      <xdr:col>8</xdr:col>
      <xdr:colOff>383156</xdr:colOff>
      <xdr:row>58</xdr:row>
      <xdr:rowOff>55508</xdr:rowOff>
    </xdr:from>
    <xdr:ext cx="3250747" cy="248851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678806" y="10942583"/>
          <a:ext cx="325074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Udział źródeł ciepła w pokryciu zapotrzebowania</a:t>
          </a:r>
          <a:endParaRPr lang="pl-PL" sz="10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>
    <xdr:from>
      <xdr:col>8</xdr:col>
      <xdr:colOff>333374</xdr:colOff>
      <xdr:row>93</xdr:row>
      <xdr:rowOff>176891</xdr:rowOff>
    </xdr:from>
    <xdr:to>
      <xdr:col>17</xdr:col>
      <xdr:colOff>46939</xdr:colOff>
      <xdr:row>104</xdr:row>
      <xdr:rowOff>56269</xdr:rowOff>
    </xdr:to>
    <xdr:graphicFrame macro="">
      <xdr:nvGraphicFramePr>
        <xdr:cNvPr id="58" name="Wykres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8</xdr:col>
      <xdr:colOff>395576</xdr:colOff>
      <xdr:row>84</xdr:row>
      <xdr:rowOff>37689</xdr:rowOff>
    </xdr:from>
    <xdr:ext cx="4903046" cy="248851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702112" y="15413760"/>
          <a:ext cx="490304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Ilość d</a:t>
          </a:r>
          <a:r>
            <a:rPr lang="en-US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pl-PL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 o średniej temperaturze</a:t>
          </a:r>
          <a:r>
            <a:rPr lang="en-US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zewnętrznej w okresie: I-IV + IX-XII dla Krakowa w 2012 r.</a:t>
          </a:r>
          <a:endParaRPr lang="pl-PL" sz="10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oneCellAnchor>
    <xdr:from>
      <xdr:col>8</xdr:col>
      <xdr:colOff>385878</xdr:colOff>
      <xdr:row>93</xdr:row>
      <xdr:rowOff>74562</xdr:rowOff>
    </xdr:from>
    <xdr:ext cx="3250747" cy="248851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692414" y="17042669"/>
          <a:ext cx="325074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0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Udział źródeł ciepła w pokryciu zapotrzebowania</a:t>
          </a:r>
          <a:endParaRPr lang="pl-PL" sz="10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>
    <xdr:from>
      <xdr:col>8</xdr:col>
      <xdr:colOff>257175</xdr:colOff>
      <xdr:row>84</xdr:row>
      <xdr:rowOff>133350</xdr:rowOff>
    </xdr:from>
    <xdr:to>
      <xdr:col>17</xdr:col>
      <xdr:colOff>112660</xdr:colOff>
      <xdr:row>93</xdr:row>
      <xdr:rowOff>174171</xdr:rowOff>
    </xdr:to>
    <xdr:graphicFrame macro="">
      <xdr:nvGraphicFramePr>
        <xdr:cNvPr id="62" name="Wykres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581025</xdr:colOff>
      <xdr:row>20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61950"/>
          <a:ext cx="6753225" cy="3419475"/>
        </a:xfrm>
        <a:prstGeom prst="rect">
          <a:avLst/>
        </a:prstGeom>
      </xdr:spPr>
    </xdr:pic>
    <xdr:clientData/>
  </xdr:twoCellAnchor>
  <xdr:twoCellAnchor>
    <xdr:from>
      <xdr:col>0</xdr:col>
      <xdr:colOff>523876</xdr:colOff>
      <xdr:row>21</xdr:row>
      <xdr:rowOff>95250</xdr:rowOff>
    </xdr:from>
    <xdr:to>
      <xdr:col>12</xdr:col>
      <xdr:colOff>395207</xdr:colOff>
      <xdr:row>41</xdr:row>
      <xdr:rowOff>160114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>
          <a:grpSpLocks noChangeAspect="1"/>
        </xdr:cNvGrpSpPr>
      </xdr:nvGrpSpPr>
      <xdr:grpSpPr>
        <a:xfrm>
          <a:off x="523876" y="4095750"/>
          <a:ext cx="8158081" cy="3874864"/>
          <a:chOff x="344557" y="2186610"/>
          <a:chExt cx="8017658" cy="3644348"/>
        </a:xfrm>
      </xdr:grpSpPr>
      <xdr:grpSp>
        <xdr:nvGrpSpPr>
          <xdr:cNvPr id="6" name="Grupa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>
            <a:grpSpLocks noChangeAspect="1"/>
          </xdr:cNvGrpSpPr>
        </xdr:nvGrpSpPr>
        <xdr:grpSpPr>
          <a:xfrm>
            <a:off x="344557" y="2186610"/>
            <a:ext cx="8008133" cy="3644348"/>
            <a:chOff x="463825" y="2186609"/>
            <a:chExt cx="8998227" cy="4094921"/>
          </a:xfrm>
        </xdr:grpSpPr>
        <xdr:pic>
          <xdr:nvPicPr>
            <xdr:cNvPr id="9" name="Obraz 8">
              <a:extLst>
                <a:ext uri="{FF2B5EF4-FFF2-40B4-BE49-F238E27FC236}">
                  <a16:creationId xmlns:a16="http://schemas.microsoft.com/office/drawing/2014/main" id="{00000000-0008-0000-0900-00000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3709" t="10491" r="2764" b="5647"/>
            <a:stretch/>
          </xdr:blipFill>
          <xdr:spPr>
            <a:xfrm>
              <a:off x="569843" y="2186609"/>
              <a:ext cx="8892209" cy="3935896"/>
            </a:xfrm>
            <a:prstGeom prst="rect">
              <a:avLst/>
            </a:prstGeom>
          </xdr:spPr>
        </xdr:pic>
        <xdr:sp macro="" textlink="">
          <xdr:nvSpPr>
            <xdr:cNvPr id="10" name="Prostokąt 9">
              <a:extLst>
                <a:ext uri="{FF2B5EF4-FFF2-40B4-BE49-F238E27FC236}">
                  <a16:creationId xmlns:a16="http://schemas.microsoft.com/office/drawing/2014/main" id="{00000000-0008-0000-0900-00000A000000}"/>
                </a:ext>
              </a:extLst>
            </xdr:cNvPr>
            <xdr:cNvSpPr/>
          </xdr:nvSpPr>
          <xdr:spPr>
            <a:xfrm>
              <a:off x="463825" y="4797287"/>
              <a:ext cx="172279" cy="14842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995690" rtl="0" eaLnBrk="1" latinLnBrk="0" hangingPunct="1">
                <a:defRPr sz="20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97845" algn="l" defTabSz="995690" rtl="0" eaLnBrk="1" latinLnBrk="0" hangingPunct="1">
                <a:defRPr sz="20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95690" algn="l" defTabSz="995690" rtl="0" eaLnBrk="1" latinLnBrk="0" hangingPunct="1">
                <a:defRPr sz="20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493535" algn="l" defTabSz="995690" rtl="0" eaLnBrk="1" latinLnBrk="0" hangingPunct="1">
                <a:defRPr sz="20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991380" algn="l" defTabSz="995690" rtl="0" eaLnBrk="1" latinLnBrk="0" hangingPunct="1">
                <a:defRPr sz="20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489225" algn="l" defTabSz="995690" rtl="0" eaLnBrk="1" latinLnBrk="0" hangingPunct="1">
                <a:defRPr sz="20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987070" algn="l" defTabSz="995690" rtl="0" eaLnBrk="1" latinLnBrk="0" hangingPunct="1">
                <a:defRPr sz="20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484916" algn="l" defTabSz="995690" rtl="0" eaLnBrk="1" latinLnBrk="0" hangingPunct="1">
                <a:defRPr sz="20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982761" algn="l" defTabSz="995690" rtl="0" eaLnBrk="1" latinLnBrk="0" hangingPunct="1">
                <a:defRPr sz="20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l-PL"/>
            </a:p>
          </xdr:txBody>
        </xdr:sp>
      </xdr:grpSp>
      <xdr:sp macro="" textlink="">
        <xdr:nvSpPr>
          <xdr:cNvPr id="7" name="Prostokąt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8057757" y="2586070"/>
            <a:ext cx="304458" cy="3124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9784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9569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9353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9138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48922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98707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484916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982761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l-PL"/>
          </a:p>
        </xdr:txBody>
      </xdr:sp>
      <xdr:sp macro="" textlink="">
        <xdr:nvSpPr>
          <xdr:cNvPr id="8" name="Prostokąt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8057757" y="4674541"/>
            <a:ext cx="304458" cy="3124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9784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9569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9353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9138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48922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98707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484916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982761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l-PL"/>
          </a:p>
        </xdr:txBody>
      </xdr:sp>
    </xdr:grpSp>
    <xdr:clientData/>
  </xdr:twoCellAnchor>
  <xdr:twoCellAnchor>
    <xdr:from>
      <xdr:col>0</xdr:col>
      <xdr:colOff>333375</xdr:colOff>
      <xdr:row>42</xdr:row>
      <xdr:rowOff>47625</xdr:rowOff>
    </xdr:from>
    <xdr:to>
      <xdr:col>12</xdr:col>
      <xdr:colOff>358967</xdr:colOff>
      <xdr:row>62</xdr:row>
      <xdr:rowOff>167308</xdr:rowOff>
    </xdr:to>
    <xdr:grpSp>
      <xdr:nvGrpSpPr>
        <xdr:cNvPr id="11" name="Grupa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>
          <a:grpSpLocks noChangeAspect="1"/>
        </xdr:cNvGrpSpPr>
      </xdr:nvGrpSpPr>
      <xdr:grpSpPr>
        <a:xfrm>
          <a:off x="333375" y="8048625"/>
          <a:ext cx="8312342" cy="3929683"/>
          <a:chOff x="1933575" y="2425148"/>
          <a:chExt cx="7410389" cy="3356530"/>
        </a:xfrm>
      </xdr:grpSpPr>
      <xdr:pic>
        <xdr:nvPicPr>
          <xdr:cNvPr id="12" name="Obraz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3822" t="15665" r="3150" b="4685"/>
          <a:stretch/>
        </xdr:blipFill>
        <xdr:spPr>
          <a:xfrm>
            <a:off x="2093843" y="2425148"/>
            <a:ext cx="7250121" cy="3326295"/>
          </a:xfrm>
          <a:prstGeom prst="rect">
            <a:avLst/>
          </a:prstGeom>
        </xdr:spPr>
      </xdr:pic>
      <xdr:sp macro="" textlink="">
        <xdr:nvSpPr>
          <xdr:cNvPr id="13" name="Prostokąt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/>
        </xdr:nvSpPr>
        <xdr:spPr>
          <a:xfrm>
            <a:off x="1933575" y="3817620"/>
            <a:ext cx="334328" cy="169164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9784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9569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9353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9138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48922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98707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484916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982761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l-PL"/>
          </a:p>
        </xdr:txBody>
      </xdr:sp>
      <xdr:sp macro="" textlink="">
        <xdr:nvSpPr>
          <xdr:cNvPr id="14" name="Prostokąt 13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/>
        </xdr:nvSpPr>
        <xdr:spPr>
          <a:xfrm rot="5400000">
            <a:off x="3051649" y="4801077"/>
            <a:ext cx="214316" cy="174688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9784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9569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9353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9138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489225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987070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484916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982761" algn="l" defTabSz="995690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l-PL"/>
          </a:p>
        </xdr:txBody>
      </xdr:sp>
    </xdr:grpSp>
    <xdr:clientData/>
  </xdr:twoCellAnchor>
  <xdr:twoCellAnchor editAs="oneCell">
    <xdr:from>
      <xdr:col>12</xdr:col>
      <xdr:colOff>591913</xdr:colOff>
      <xdr:row>21</xdr:row>
      <xdr:rowOff>64017</xdr:rowOff>
    </xdr:from>
    <xdr:to>
      <xdr:col>26</xdr:col>
      <xdr:colOff>423631</xdr:colOff>
      <xdr:row>39</xdr:row>
      <xdr:rowOff>185883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45956"/>
        <a:stretch/>
      </xdr:blipFill>
      <xdr:spPr>
        <a:xfrm>
          <a:off x="8878663" y="4064517"/>
          <a:ext cx="9499593" cy="3550866"/>
        </a:xfrm>
        <a:prstGeom prst="rect">
          <a:avLst/>
        </a:prstGeom>
      </xdr:spPr>
    </xdr:pic>
    <xdr:clientData/>
  </xdr:twoCellAnchor>
  <xdr:twoCellAnchor editAs="oneCell">
    <xdr:from>
      <xdr:col>12</xdr:col>
      <xdr:colOff>647270</xdr:colOff>
      <xdr:row>41</xdr:row>
      <xdr:rowOff>170090</xdr:rowOff>
    </xdr:from>
    <xdr:to>
      <xdr:col>26</xdr:col>
      <xdr:colOff>377894</xdr:colOff>
      <xdr:row>60</xdr:row>
      <xdr:rowOff>82153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322" t="47970" r="677" b="729"/>
        <a:stretch/>
      </xdr:blipFill>
      <xdr:spPr>
        <a:xfrm>
          <a:off x="8934020" y="7980590"/>
          <a:ext cx="9398499" cy="3531563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285751</xdr:colOff>
      <xdr:row>1</xdr:row>
      <xdr:rowOff>47626</xdr:rowOff>
    </xdr:from>
    <xdr:to>
      <xdr:col>17</xdr:col>
      <xdr:colOff>119062</xdr:colOff>
      <xdr:row>20</xdr:row>
      <xdr:rowOff>167684</xdr:rowOff>
    </xdr:to>
    <xdr:pic>
      <xdr:nvPicPr>
        <xdr:cNvPr id="17" name="Obraz 16" descr="http://www.dzialkowcy.info/grafika/strefy/sk3.jp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939" y="238126"/>
          <a:ext cx="3976686" cy="3739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108857</xdr:colOff>
      <xdr:row>2</xdr:row>
      <xdr:rowOff>42059</xdr:rowOff>
    </xdr:from>
    <xdr:to>
      <xdr:col>23</xdr:col>
      <xdr:colOff>352549</xdr:colOff>
      <xdr:row>13</xdr:row>
      <xdr:rowOff>152229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35643" y="395845"/>
          <a:ext cx="2965120" cy="205599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133408</xdr:colOff>
      <xdr:row>2</xdr:row>
      <xdr:rowOff>45769</xdr:rowOff>
    </xdr:from>
    <xdr:to>
      <xdr:col>29</xdr:col>
      <xdr:colOff>370817</xdr:colOff>
      <xdr:row>13</xdr:row>
      <xdr:rowOff>149679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2337" y="399555"/>
          <a:ext cx="2958837" cy="2049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393927</xdr:colOff>
      <xdr:row>3</xdr:row>
      <xdr:rowOff>0</xdr:rowOff>
    </xdr:from>
    <xdr:to>
      <xdr:col>44</xdr:col>
      <xdr:colOff>584429</xdr:colOff>
      <xdr:row>23</xdr:row>
      <xdr:rowOff>33338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404133</xdr:colOff>
      <xdr:row>23</xdr:row>
      <xdr:rowOff>153081</xdr:rowOff>
    </xdr:from>
    <xdr:to>
      <xdr:col>44</xdr:col>
      <xdr:colOff>594635</xdr:colOff>
      <xdr:row>45</xdr:row>
      <xdr:rowOff>162606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221116</xdr:colOff>
      <xdr:row>2</xdr:row>
      <xdr:rowOff>190498</xdr:rowOff>
    </xdr:from>
    <xdr:to>
      <xdr:col>31</xdr:col>
      <xdr:colOff>166377</xdr:colOff>
      <xdr:row>35</xdr:row>
      <xdr:rowOff>81642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356505</xdr:colOff>
      <xdr:row>47</xdr:row>
      <xdr:rowOff>70756</xdr:rowOff>
    </xdr:from>
    <xdr:to>
      <xdr:col>44</xdr:col>
      <xdr:colOff>476249</xdr:colOff>
      <xdr:row>75</xdr:row>
      <xdr:rowOff>43542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393927</xdr:colOff>
      <xdr:row>3</xdr:row>
      <xdr:rowOff>0</xdr:rowOff>
    </xdr:from>
    <xdr:to>
      <xdr:col>44</xdr:col>
      <xdr:colOff>584429</xdr:colOff>
      <xdr:row>23</xdr:row>
      <xdr:rowOff>33338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404133</xdr:colOff>
      <xdr:row>23</xdr:row>
      <xdr:rowOff>153081</xdr:rowOff>
    </xdr:from>
    <xdr:to>
      <xdr:col>44</xdr:col>
      <xdr:colOff>594635</xdr:colOff>
      <xdr:row>45</xdr:row>
      <xdr:rowOff>162606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221116</xdr:colOff>
      <xdr:row>2</xdr:row>
      <xdr:rowOff>190498</xdr:rowOff>
    </xdr:from>
    <xdr:to>
      <xdr:col>31</xdr:col>
      <xdr:colOff>166377</xdr:colOff>
      <xdr:row>35</xdr:row>
      <xdr:rowOff>81642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356505</xdr:colOff>
      <xdr:row>47</xdr:row>
      <xdr:rowOff>70756</xdr:rowOff>
    </xdr:from>
    <xdr:to>
      <xdr:col>44</xdr:col>
      <xdr:colOff>476249</xdr:colOff>
      <xdr:row>75</xdr:row>
      <xdr:rowOff>43542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547687</xdr:colOff>
      <xdr:row>57</xdr:row>
      <xdr:rowOff>119063</xdr:rowOff>
    </xdr:from>
    <xdr:to>
      <xdr:col>136</xdr:col>
      <xdr:colOff>285749</xdr:colOff>
      <xdr:row>85</xdr:row>
      <xdr:rowOff>152681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152</xdr:col>
      <xdr:colOff>640773</xdr:colOff>
      <xdr:row>13</xdr:row>
      <xdr:rowOff>91786</xdr:rowOff>
    </xdr:from>
    <xdr:to>
      <xdr:col>159</xdr:col>
      <xdr:colOff>588819</xdr:colOff>
      <xdr:row>37</xdr:row>
      <xdr:rowOff>155864</xdr:rowOff>
    </xdr:to>
    <xdr:graphicFrame macro="">
      <xdr:nvGraphicFramePr>
        <xdr:cNvPr id="30" name="Wykres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910077</xdr:colOff>
      <xdr:row>40</xdr:row>
      <xdr:rowOff>45940</xdr:rowOff>
    </xdr:from>
    <xdr:to>
      <xdr:col>23</xdr:col>
      <xdr:colOff>408215</xdr:colOff>
      <xdr:row>57</xdr:row>
      <xdr:rowOff>11204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179294</xdr:colOff>
      <xdr:row>57</xdr:row>
      <xdr:rowOff>100853</xdr:rowOff>
    </xdr:from>
    <xdr:to>
      <xdr:col>9</xdr:col>
      <xdr:colOff>818751</xdr:colOff>
      <xdr:row>74</xdr:row>
      <xdr:rowOff>66117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</xdr:col>
      <xdr:colOff>11207</xdr:colOff>
      <xdr:row>59</xdr:row>
      <xdr:rowOff>66467</xdr:rowOff>
    </xdr:from>
    <xdr:ext cx="569190" cy="290814"/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5432" y="10782092"/>
          <a:ext cx="569190" cy="29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113374</xdr:colOff>
      <xdr:row>61</xdr:row>
      <xdr:rowOff>123264</xdr:rowOff>
    </xdr:from>
    <xdr:ext cx="413303" cy="327919"/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7599" y="11200839"/>
          <a:ext cx="413303" cy="32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547687</xdr:colOff>
      <xdr:row>57</xdr:row>
      <xdr:rowOff>119063</xdr:rowOff>
    </xdr:from>
    <xdr:to>
      <xdr:col>136</xdr:col>
      <xdr:colOff>285749</xdr:colOff>
      <xdr:row>85</xdr:row>
      <xdr:rowOff>152681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910077</xdr:colOff>
      <xdr:row>40</xdr:row>
      <xdr:rowOff>45940</xdr:rowOff>
    </xdr:from>
    <xdr:to>
      <xdr:col>23</xdr:col>
      <xdr:colOff>408215</xdr:colOff>
      <xdr:row>57</xdr:row>
      <xdr:rowOff>11204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179294</xdr:colOff>
      <xdr:row>57</xdr:row>
      <xdr:rowOff>100853</xdr:rowOff>
    </xdr:from>
    <xdr:to>
      <xdr:col>9</xdr:col>
      <xdr:colOff>818751</xdr:colOff>
      <xdr:row>74</xdr:row>
      <xdr:rowOff>66117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</xdr:col>
      <xdr:colOff>11207</xdr:colOff>
      <xdr:row>59</xdr:row>
      <xdr:rowOff>66467</xdr:rowOff>
    </xdr:from>
    <xdr:ext cx="569190" cy="290814"/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5432" y="10782092"/>
          <a:ext cx="569190" cy="29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113374</xdr:colOff>
      <xdr:row>61</xdr:row>
      <xdr:rowOff>123264</xdr:rowOff>
    </xdr:from>
    <xdr:ext cx="413303" cy="327919"/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7599" y="11200839"/>
          <a:ext cx="413303" cy="32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155</xdr:col>
      <xdr:colOff>17318</xdr:colOff>
      <xdr:row>18</xdr:row>
      <xdr:rowOff>17319</xdr:rowOff>
    </xdr:from>
    <xdr:to>
      <xdr:col>161</xdr:col>
      <xdr:colOff>554183</xdr:colOff>
      <xdr:row>38</xdr:row>
      <xdr:rowOff>103909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299357</xdr:colOff>
      <xdr:row>69</xdr:row>
      <xdr:rowOff>44223</xdr:rowOff>
    </xdr:from>
    <xdr:to>
      <xdr:col>10</xdr:col>
      <xdr:colOff>421820</xdr:colOff>
      <xdr:row>95</xdr:row>
      <xdr:rowOff>61912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152400</xdr:colOff>
      <xdr:row>50</xdr:row>
      <xdr:rowOff>121227</xdr:rowOff>
    </xdr:from>
    <xdr:to>
      <xdr:col>68</xdr:col>
      <xdr:colOff>207818</xdr:colOff>
      <xdr:row>78</xdr:row>
      <xdr:rowOff>154845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153</xdr:col>
      <xdr:colOff>86591</xdr:colOff>
      <xdr:row>13</xdr:row>
      <xdr:rowOff>39831</xdr:rowOff>
    </xdr:from>
    <xdr:to>
      <xdr:col>159</xdr:col>
      <xdr:colOff>727364</xdr:colOff>
      <xdr:row>37</xdr:row>
      <xdr:rowOff>103909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910077</xdr:colOff>
      <xdr:row>40</xdr:row>
      <xdr:rowOff>45940</xdr:rowOff>
    </xdr:from>
    <xdr:to>
      <xdr:col>23</xdr:col>
      <xdr:colOff>408215</xdr:colOff>
      <xdr:row>57</xdr:row>
      <xdr:rowOff>11204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124865</xdr:colOff>
      <xdr:row>58</xdr:row>
      <xdr:rowOff>19210</xdr:rowOff>
    </xdr:from>
    <xdr:to>
      <xdr:col>10</xdr:col>
      <xdr:colOff>492180</xdr:colOff>
      <xdr:row>74</xdr:row>
      <xdr:rowOff>161367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</xdr:col>
      <xdr:colOff>11207</xdr:colOff>
      <xdr:row>59</xdr:row>
      <xdr:rowOff>66467</xdr:rowOff>
    </xdr:from>
    <xdr:ext cx="569190" cy="290814"/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5432" y="10782092"/>
          <a:ext cx="569190" cy="29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113374</xdr:colOff>
      <xdr:row>61</xdr:row>
      <xdr:rowOff>123264</xdr:rowOff>
    </xdr:from>
    <xdr:ext cx="413303" cy="327919"/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7599" y="11200839"/>
          <a:ext cx="413303" cy="32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152400</xdr:colOff>
      <xdr:row>50</xdr:row>
      <xdr:rowOff>121227</xdr:rowOff>
    </xdr:from>
    <xdr:to>
      <xdr:col>68</xdr:col>
      <xdr:colOff>207818</xdr:colOff>
      <xdr:row>78</xdr:row>
      <xdr:rowOff>154845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910077</xdr:colOff>
      <xdr:row>40</xdr:row>
      <xdr:rowOff>45940</xdr:rowOff>
    </xdr:from>
    <xdr:to>
      <xdr:col>23</xdr:col>
      <xdr:colOff>408215</xdr:colOff>
      <xdr:row>57</xdr:row>
      <xdr:rowOff>11204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124865</xdr:colOff>
      <xdr:row>58</xdr:row>
      <xdr:rowOff>19210</xdr:rowOff>
    </xdr:from>
    <xdr:to>
      <xdr:col>10</xdr:col>
      <xdr:colOff>492180</xdr:colOff>
      <xdr:row>74</xdr:row>
      <xdr:rowOff>161367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</xdr:col>
      <xdr:colOff>11207</xdr:colOff>
      <xdr:row>59</xdr:row>
      <xdr:rowOff>66467</xdr:rowOff>
    </xdr:from>
    <xdr:ext cx="569190" cy="290814"/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5432" y="10782092"/>
          <a:ext cx="569190" cy="29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113374</xdr:colOff>
      <xdr:row>61</xdr:row>
      <xdr:rowOff>123264</xdr:rowOff>
    </xdr:from>
    <xdr:ext cx="413303" cy="327919"/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7599" y="11200839"/>
          <a:ext cx="413303" cy="32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152</xdr:col>
      <xdr:colOff>235032</xdr:colOff>
      <xdr:row>20</xdr:row>
      <xdr:rowOff>58141</xdr:rowOff>
    </xdr:from>
    <xdr:to>
      <xdr:col>159</xdr:col>
      <xdr:colOff>663040</xdr:colOff>
      <xdr:row>40</xdr:row>
      <xdr:rowOff>144731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299357</xdr:colOff>
      <xdr:row>69</xdr:row>
      <xdr:rowOff>44223</xdr:rowOff>
    </xdr:from>
    <xdr:to>
      <xdr:col>10</xdr:col>
      <xdr:colOff>421820</xdr:colOff>
      <xdr:row>95</xdr:row>
      <xdr:rowOff>61912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BA129"/>
  <sheetViews>
    <sheetView tabSelected="1" topLeftCell="A4" zoomScale="85" zoomScaleNormal="85" workbookViewId="0">
      <selection activeCell="F108" sqref="F108"/>
    </sheetView>
  </sheetViews>
  <sheetFormatPr defaultRowHeight="13.8"/>
  <cols>
    <col min="1" max="1" width="3.234375" style="49" customWidth="1"/>
    <col min="2" max="2" width="5.85546875" customWidth="1"/>
    <col min="3" max="3" width="9.37890625" customWidth="1"/>
    <col min="4" max="4" width="2.85546875" customWidth="1"/>
    <col min="5" max="5" width="2" customWidth="1"/>
    <col min="6" max="6" width="7.6171875" customWidth="1"/>
    <col min="7" max="7" width="10.6171875" customWidth="1"/>
    <col min="8" max="8" width="1.6171875" customWidth="1"/>
    <col min="9" max="9" width="9.85546875" customWidth="1"/>
    <col min="10" max="10" width="7" customWidth="1"/>
    <col min="12" max="12" width="1.47265625" customWidth="1"/>
    <col min="17" max="17" width="8" style="18" customWidth="1"/>
    <col min="18" max="18" width="2" customWidth="1"/>
    <col min="19" max="19" width="2.234375" customWidth="1"/>
    <col min="20" max="20" width="2.37890625" customWidth="1"/>
    <col min="21" max="21" width="1.85546875" customWidth="1"/>
    <col min="22" max="53" width="9" style="49"/>
  </cols>
  <sheetData>
    <row r="1" spans="2:21" s="49" customFormat="1">
      <c r="Q1" s="81"/>
    </row>
    <row r="2" spans="2:2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9"/>
      <c r="R2" s="1"/>
      <c r="S2" s="1"/>
      <c r="T2" s="1"/>
      <c r="U2" s="1"/>
    </row>
    <row r="3" spans="2:21" ht="14.1">
      <c r="B3" s="153" t="s">
        <v>153</v>
      </c>
      <c r="C3" s="1"/>
      <c r="D3" s="1"/>
      <c r="E3" s="2" t="s">
        <v>51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9"/>
      <c r="R3" s="1"/>
      <c r="S3" s="1"/>
      <c r="T3" s="1"/>
      <c r="U3" s="1"/>
    </row>
    <row r="4" spans="2:21" ht="14.1">
      <c r="B4" s="153"/>
      <c r="C4" s="1"/>
      <c r="D4" s="1"/>
      <c r="E4" s="2" t="s">
        <v>50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9"/>
      <c r="R4" s="1"/>
      <c r="S4" s="1"/>
      <c r="T4" s="1"/>
      <c r="U4" s="1"/>
    </row>
    <row r="5" spans="2:21" ht="18.3">
      <c r="B5" s="153"/>
      <c r="C5" s="1"/>
      <c r="D5" s="1"/>
      <c r="E5" s="3" t="s">
        <v>40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9"/>
      <c r="R5" s="1"/>
      <c r="S5" s="1"/>
      <c r="T5" s="1"/>
      <c r="U5" s="1"/>
    </row>
    <row r="6" spans="2:21" ht="18.3">
      <c r="B6" s="1"/>
      <c r="C6" s="1"/>
      <c r="D6" s="1"/>
      <c r="E6" s="3" t="s">
        <v>39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9"/>
      <c r="R6" s="1"/>
      <c r="S6" s="1"/>
      <c r="T6" s="1"/>
      <c r="U6" s="1"/>
    </row>
    <row r="7" spans="2:21">
      <c r="B7" s="1"/>
      <c r="C7" s="1"/>
      <c r="D7" s="1"/>
      <c r="E7" s="142" t="s">
        <v>290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9"/>
      <c r="R7" s="1"/>
      <c r="S7" s="1"/>
      <c r="T7" s="1"/>
      <c r="U7" s="1"/>
    </row>
    <row r="8" spans="2:21">
      <c r="B8" s="1"/>
      <c r="C8" s="1"/>
      <c r="D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9"/>
      <c r="R8" s="1"/>
      <c r="S8" s="1"/>
      <c r="T8" s="1"/>
      <c r="U8" s="1"/>
    </row>
    <row r="9" spans="2:2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9"/>
      <c r="R9" s="1"/>
      <c r="S9" s="1"/>
      <c r="T9" s="1"/>
      <c r="U9" s="1"/>
    </row>
    <row r="10" spans="2:2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9"/>
      <c r="R10" s="1"/>
      <c r="S10" s="1"/>
      <c r="T10" s="1"/>
      <c r="U10" s="1"/>
    </row>
    <row r="11" spans="2:21" ht="14.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9"/>
      <c r="R11" s="1"/>
      <c r="S11" s="1"/>
      <c r="T11" s="1"/>
      <c r="U11" s="1"/>
    </row>
    <row r="12" spans="2:21" ht="14.1" thickBot="1">
      <c r="B12" s="1"/>
      <c r="C12" s="1"/>
      <c r="D12" s="1"/>
      <c r="E12" s="1"/>
      <c r="F12" s="1"/>
      <c r="G12" s="1"/>
      <c r="H12" s="1"/>
      <c r="I12" s="146" t="s">
        <v>43</v>
      </c>
      <c r="J12" s="146"/>
      <c r="K12" s="146"/>
      <c r="L12" s="20"/>
      <c r="M12" s="150" t="s">
        <v>280</v>
      </c>
      <c r="N12" s="151"/>
      <c r="O12" s="151"/>
      <c r="P12" s="151"/>
      <c r="Q12" s="152"/>
      <c r="R12" s="1"/>
      <c r="S12" s="1"/>
      <c r="T12" s="1"/>
      <c r="U12" s="1"/>
    </row>
    <row r="13" spans="2:21" ht="14.1" thickBot="1">
      <c r="B13" s="1"/>
      <c r="C13" s="1"/>
      <c r="D13" s="1"/>
      <c r="E13" s="1"/>
      <c r="F13" s="1"/>
      <c r="G13" s="1"/>
      <c r="H13" s="1"/>
      <c r="I13" s="67"/>
      <c r="J13" s="67"/>
      <c r="K13" s="67"/>
      <c r="L13" s="1"/>
      <c r="M13" s="77"/>
      <c r="N13" s="77"/>
      <c r="O13" s="77"/>
      <c r="P13" s="77"/>
      <c r="Q13" s="78"/>
      <c r="R13" s="1"/>
      <c r="S13" s="1"/>
      <c r="T13" s="1"/>
      <c r="U13" s="1"/>
    </row>
    <row r="14" spans="2:21" ht="14.1" thickBot="1">
      <c r="B14" s="1"/>
      <c r="C14" s="1"/>
      <c r="D14" s="1"/>
      <c r="E14" s="1"/>
      <c r="F14" s="1"/>
      <c r="G14" s="1"/>
      <c r="H14" s="1"/>
      <c r="I14" s="67"/>
      <c r="J14" s="146" t="s">
        <v>41</v>
      </c>
      <c r="K14" s="146"/>
      <c r="L14" s="20"/>
      <c r="M14" s="75">
        <v>180</v>
      </c>
      <c r="N14" s="79" t="s">
        <v>49</v>
      </c>
      <c r="O14" s="77"/>
      <c r="P14" s="77"/>
      <c r="Q14" s="78"/>
      <c r="R14" s="1"/>
      <c r="S14" s="1"/>
      <c r="T14" s="1"/>
      <c r="U14" s="1"/>
    </row>
    <row r="15" spans="2:21" ht="14.1" thickBot="1">
      <c r="B15" s="1"/>
      <c r="C15" s="1"/>
      <c r="D15" s="1"/>
      <c r="E15" s="1"/>
      <c r="F15" s="1"/>
      <c r="G15" s="1"/>
      <c r="H15" s="1"/>
      <c r="I15" s="67"/>
      <c r="J15" s="69"/>
      <c r="K15" s="69"/>
      <c r="L15" s="20"/>
      <c r="M15" s="77"/>
      <c r="N15" s="77"/>
      <c r="O15" s="77"/>
      <c r="P15" s="143">
        <f>'Dane dla CO'!H34</f>
        <v>10.8</v>
      </c>
      <c r="Q15" s="80" t="s">
        <v>52</v>
      </c>
      <c r="R15" s="1"/>
      <c r="S15" s="1"/>
      <c r="T15" s="1"/>
      <c r="U15" s="1"/>
    </row>
    <row r="16" spans="2:21">
      <c r="B16" s="1"/>
      <c r="C16" s="1"/>
      <c r="D16" s="1"/>
      <c r="E16" s="1"/>
      <c r="F16" s="1"/>
      <c r="G16" s="1"/>
      <c r="H16" s="1"/>
      <c r="I16" s="67"/>
      <c r="J16" s="67"/>
      <c r="K16" s="66"/>
      <c r="L16" s="20"/>
      <c r="M16" s="77"/>
      <c r="N16" s="77"/>
      <c r="O16" s="77"/>
      <c r="P16" s="77"/>
      <c r="Q16" s="78"/>
      <c r="R16" s="1"/>
      <c r="S16" s="1"/>
      <c r="T16" s="1"/>
      <c r="U16" s="1"/>
    </row>
    <row r="17" spans="2:21" ht="14.1" thickBot="1">
      <c r="B17" s="1"/>
      <c r="C17" s="1"/>
      <c r="D17" s="1"/>
      <c r="E17" s="1"/>
      <c r="F17" s="1"/>
      <c r="G17" s="1"/>
      <c r="H17" s="1"/>
      <c r="I17" s="67"/>
      <c r="J17" s="67"/>
      <c r="K17" s="67"/>
      <c r="L17" s="1"/>
      <c r="M17" s="77"/>
      <c r="N17" s="77"/>
      <c r="O17" s="77"/>
      <c r="P17" s="77"/>
      <c r="Q17" s="78"/>
      <c r="R17" s="1"/>
      <c r="S17" s="1"/>
      <c r="T17" s="1"/>
      <c r="U17" s="1"/>
    </row>
    <row r="18" spans="2:21" ht="14.1" thickBot="1">
      <c r="B18" s="1"/>
      <c r="C18" s="1"/>
      <c r="D18" s="1"/>
      <c r="E18" s="1"/>
      <c r="F18" s="1"/>
      <c r="G18" s="1"/>
      <c r="H18" s="1"/>
      <c r="I18" s="69"/>
      <c r="J18" s="146" t="s">
        <v>42</v>
      </c>
      <c r="K18" s="146"/>
      <c r="L18" s="1"/>
      <c r="M18" s="147" t="s">
        <v>12</v>
      </c>
      <c r="N18" s="148"/>
      <c r="O18" s="148"/>
      <c r="P18" s="149"/>
      <c r="Q18" s="78"/>
      <c r="R18" s="1"/>
      <c r="S18" s="1"/>
      <c r="T18" s="1"/>
      <c r="U18" s="1"/>
    </row>
    <row r="19" spans="2:21" ht="14.1" thickBot="1">
      <c r="B19" s="1"/>
      <c r="C19" s="1"/>
      <c r="D19" s="1"/>
      <c r="E19" s="1"/>
      <c r="F19" s="1"/>
      <c r="G19" s="1"/>
      <c r="H19" s="1"/>
      <c r="I19" s="69"/>
      <c r="J19" s="69"/>
      <c r="K19" s="69"/>
      <c r="L19" s="1"/>
      <c r="M19" s="77"/>
      <c r="N19" s="77"/>
      <c r="O19" s="77"/>
      <c r="P19" s="77"/>
      <c r="Q19" s="78"/>
      <c r="R19" s="1"/>
      <c r="S19" s="1"/>
      <c r="T19" s="1"/>
      <c r="U19" s="1"/>
    </row>
    <row r="20" spans="2:21" ht="14.1" thickBot="1">
      <c r="B20" s="1"/>
      <c r="C20" s="1"/>
      <c r="D20" s="1"/>
      <c r="E20" s="1"/>
      <c r="F20" s="1"/>
      <c r="G20" s="1"/>
      <c r="H20" s="1"/>
      <c r="I20" s="69"/>
      <c r="J20" s="146" t="s">
        <v>9</v>
      </c>
      <c r="K20" s="146"/>
      <c r="L20" s="1"/>
      <c r="M20" s="75">
        <v>4</v>
      </c>
      <c r="N20" s="77"/>
      <c r="O20" s="77"/>
      <c r="P20" s="77"/>
      <c r="Q20" s="78"/>
      <c r="R20" s="1"/>
      <c r="S20" s="1"/>
      <c r="T20" s="1"/>
      <c r="U20" s="1"/>
    </row>
    <row r="21" spans="2:21" ht="14.1" thickBot="1">
      <c r="B21" s="1"/>
      <c r="C21" s="1"/>
      <c r="D21" s="1"/>
      <c r="E21" s="1"/>
      <c r="F21" s="1"/>
      <c r="G21" s="1"/>
      <c r="H21" s="1"/>
      <c r="I21" s="69"/>
      <c r="J21" s="69"/>
      <c r="K21" s="69"/>
      <c r="L21" s="1"/>
      <c r="M21" s="77"/>
      <c r="N21" s="77"/>
      <c r="O21" s="77"/>
      <c r="P21" s="77"/>
      <c r="Q21" s="78"/>
      <c r="R21" s="1"/>
      <c r="S21" s="1"/>
      <c r="T21" s="1"/>
      <c r="U21" s="1"/>
    </row>
    <row r="22" spans="2:21" ht="14.1" thickBot="1">
      <c r="B22" s="1"/>
      <c r="C22" s="1"/>
      <c r="D22" s="1"/>
      <c r="E22" s="1"/>
      <c r="F22" s="1"/>
      <c r="G22" s="1"/>
      <c r="H22" s="1"/>
      <c r="I22" s="146" t="s">
        <v>20</v>
      </c>
      <c r="J22" s="146"/>
      <c r="K22" s="146"/>
      <c r="L22" s="1"/>
      <c r="M22" s="147" t="s">
        <v>22</v>
      </c>
      <c r="N22" s="148"/>
      <c r="O22" s="148"/>
      <c r="P22" s="149"/>
      <c r="Q22" s="78"/>
      <c r="R22" s="1"/>
      <c r="S22" s="1"/>
      <c r="T22" s="1"/>
      <c r="U22" s="1"/>
    </row>
    <row r="23" spans="2:21" ht="14.1" thickBot="1">
      <c r="B23" s="1"/>
      <c r="D23" s="1"/>
      <c r="E23" s="1"/>
      <c r="F23" s="1"/>
      <c r="G23" s="1"/>
      <c r="H23" s="1"/>
      <c r="I23" s="67"/>
      <c r="J23" s="67"/>
      <c r="K23" s="67"/>
      <c r="L23" s="1"/>
      <c r="M23" s="77"/>
      <c r="N23" s="77"/>
      <c r="O23" s="77"/>
      <c r="P23" s="77"/>
      <c r="Q23" s="78"/>
      <c r="R23" s="1"/>
      <c r="S23" s="1"/>
      <c r="T23" s="1"/>
      <c r="U23" s="1"/>
    </row>
    <row r="24" spans="2:21" ht="14.1" thickBot="1">
      <c r="B24" s="1"/>
      <c r="C24" s="120" t="s">
        <v>106</v>
      </c>
      <c r="D24" s="121"/>
      <c r="E24" s="121"/>
      <c r="F24" s="119"/>
      <c r="G24" s="119"/>
      <c r="H24" s="121"/>
      <c r="I24" s="146" t="s">
        <v>36</v>
      </c>
      <c r="J24" s="146"/>
      <c r="K24" s="146"/>
      <c r="L24" s="1"/>
      <c r="M24" s="147" t="s">
        <v>45</v>
      </c>
      <c r="N24" s="148"/>
      <c r="O24" s="148"/>
      <c r="P24" s="149"/>
      <c r="Q24" s="78"/>
      <c r="R24" s="1"/>
      <c r="S24" s="1"/>
      <c r="T24" s="1"/>
      <c r="U24" s="1"/>
    </row>
    <row r="25" spans="2:21" ht="14.1" thickBot="1">
      <c r="B25" s="1"/>
      <c r="C25" s="155" t="s">
        <v>103</v>
      </c>
      <c r="D25" s="155"/>
      <c r="E25" s="155"/>
      <c r="F25" s="155"/>
      <c r="G25" s="155"/>
      <c r="H25" s="120" t="s">
        <v>129</v>
      </c>
      <c r="I25" s="1"/>
      <c r="J25" s="1"/>
      <c r="K25" s="1"/>
      <c r="L25" s="1"/>
      <c r="M25" s="77"/>
      <c r="N25" s="77"/>
      <c r="O25" s="77"/>
      <c r="P25" s="77"/>
      <c r="Q25" s="78"/>
      <c r="R25" s="1"/>
      <c r="S25" s="1"/>
      <c r="T25" s="1"/>
      <c r="U25" s="1"/>
    </row>
    <row r="26" spans="2:21" ht="15" customHeight="1" thickBot="1">
      <c r="B26" s="1"/>
      <c r="C26" s="157" t="str">
        <f>IF(M26&gt;0,IF((('Dane dla CO'!H34-'Dane dla CO'!H45)/'Dane dla CO'!H34)&gt;0.3,"Duża różnica w obliczeniach mocy : sprawdź wartość zużycia paliwa",IF((('Dane dla CO'!H34-'Dane dla CO'!H45)/'Dane dla CO'!H34)&lt;-0.3,"Duża różnica w obliczeniach mocy : sprawdź wartość zużycia paliwa","")),"")</f>
        <v/>
      </c>
      <c r="D26" s="157"/>
      <c r="E26" s="157"/>
      <c r="F26" s="157"/>
      <c r="G26" s="157"/>
      <c r="H26" s="1"/>
      <c r="I26" s="144" t="s">
        <v>150</v>
      </c>
      <c r="J26" s="145"/>
      <c r="K26" s="145"/>
      <c r="L26" s="1"/>
      <c r="M26" s="76">
        <v>0</v>
      </c>
      <c r="N26" s="79" t="str">
        <f>IF(M24="Kocioł tradycyjny - gaz ziemny G20","[ m3 ]",IF(M24="Kocioł kondensacyjny - gaz ziemny G20","[ m3 ]","[ litry ]"))</f>
        <v>[ m3 ]</v>
      </c>
      <c r="O26" s="77"/>
      <c r="P26" s="77"/>
      <c r="Q26" s="78"/>
      <c r="R26" s="1"/>
      <c r="S26" s="1"/>
      <c r="T26" s="1"/>
      <c r="U26" s="1"/>
    </row>
    <row r="27" spans="2:21" ht="14.1" thickBot="1">
      <c r="B27" s="1"/>
      <c r="C27" s="157"/>
      <c r="D27" s="157"/>
      <c r="E27" s="157"/>
      <c r="F27" s="157"/>
      <c r="G27" s="157"/>
      <c r="H27" s="1"/>
      <c r="I27" s="1"/>
      <c r="J27" s="1"/>
      <c r="K27" s="1"/>
      <c r="L27" s="1"/>
      <c r="M27" s="1"/>
      <c r="N27" s="1"/>
      <c r="O27" s="1"/>
      <c r="P27" s="143">
        <f>IF(M26=0,P15,'Dane dla CO'!H45)</f>
        <v>10.8</v>
      </c>
      <c r="Q27" s="73" t="s">
        <v>52</v>
      </c>
      <c r="R27" s="1"/>
      <c r="S27" s="1"/>
      <c r="T27" s="1"/>
      <c r="U27" s="1"/>
    </row>
    <row r="28" spans="2:21" ht="14.1" thickBot="1">
      <c r="B28" s="1"/>
      <c r="C28" s="1"/>
      <c r="D28" s="1"/>
      <c r="E28" s="1"/>
      <c r="F28" s="31"/>
      <c r="G28" s="31"/>
      <c r="H28" s="1"/>
      <c r="I28" s="1"/>
      <c r="J28" s="1"/>
      <c r="K28" s="1"/>
      <c r="L28" s="1"/>
      <c r="M28" s="1"/>
      <c r="N28" s="1"/>
      <c r="O28" s="1"/>
      <c r="P28" s="1"/>
      <c r="Q28" s="74"/>
      <c r="R28" s="1"/>
      <c r="S28" s="1"/>
      <c r="T28" s="1"/>
      <c r="U28" s="1"/>
    </row>
    <row r="29" spans="2:21" ht="16.2" thickBot="1">
      <c r="B29" s="1"/>
      <c r="C29" s="1"/>
      <c r="D29" s="1"/>
      <c r="E29" s="1"/>
      <c r="F29" s="31"/>
      <c r="G29" s="31"/>
      <c r="H29" s="1"/>
      <c r="I29" s="146" t="s">
        <v>81</v>
      </c>
      <c r="J29" s="146"/>
      <c r="K29" s="146"/>
      <c r="L29" s="1"/>
      <c r="M29" s="1"/>
      <c r="N29" s="29"/>
      <c r="O29" s="30"/>
      <c r="P29" s="143">
        <f>IF(M26=0,'Dane dla CO'!H36,IF(N26="[ m3 ]",P32*M26,P33*M26))</f>
        <v>6373.6565901788554</v>
      </c>
      <c r="Q29" s="73" t="s">
        <v>82</v>
      </c>
      <c r="R29" s="1"/>
      <c r="S29" s="1"/>
      <c r="T29" s="1"/>
      <c r="U29" s="1"/>
    </row>
    <row r="30" spans="2:2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74"/>
      <c r="R30" s="1"/>
      <c r="S30" s="1"/>
      <c r="T30" s="1"/>
      <c r="U30" s="1"/>
    </row>
    <row r="31" spans="2:21" ht="14.1" thickBo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74"/>
      <c r="R31" s="1"/>
      <c r="S31" s="1"/>
      <c r="T31" s="1"/>
      <c r="U31" s="1"/>
    </row>
    <row r="32" spans="2:21" ht="14.4" thickBot="1">
      <c r="B32" s="1"/>
      <c r="C32" s="22"/>
      <c r="D32" s="70" t="s">
        <v>86</v>
      </c>
      <c r="E32" s="67" t="s">
        <v>84</v>
      </c>
      <c r="F32" s="67"/>
      <c r="G32" s="67"/>
      <c r="H32" s="1"/>
      <c r="I32" s="1"/>
      <c r="J32" s="32" t="s">
        <v>99</v>
      </c>
      <c r="K32" s="1"/>
      <c r="L32" s="1"/>
      <c r="M32" s="1"/>
      <c r="N32" s="71" t="s">
        <v>79</v>
      </c>
      <c r="P32" s="75">
        <v>2.2999999999999998</v>
      </c>
      <c r="Q32" s="72" t="s">
        <v>77</v>
      </c>
      <c r="R32" s="1"/>
      <c r="S32" s="1"/>
      <c r="T32" s="1"/>
      <c r="U32" s="1"/>
    </row>
    <row r="33" spans="2:24" ht="14.4" thickBot="1">
      <c r="B33" s="1"/>
      <c r="C33" s="23"/>
      <c r="D33" s="70" t="s">
        <v>86</v>
      </c>
      <c r="E33" s="67" t="s">
        <v>85</v>
      </c>
      <c r="F33" s="67"/>
      <c r="G33" s="67"/>
      <c r="H33" s="1"/>
      <c r="I33" s="1"/>
      <c r="J33" s="32" t="s">
        <v>208</v>
      </c>
      <c r="K33" s="1"/>
      <c r="L33" s="1"/>
      <c r="M33" s="1"/>
      <c r="N33" s="71" t="s">
        <v>78</v>
      </c>
      <c r="O33" s="1"/>
      <c r="P33" s="75">
        <v>1.95</v>
      </c>
      <c r="Q33" s="72" t="s">
        <v>80</v>
      </c>
      <c r="R33" s="1"/>
      <c r="S33" s="1"/>
      <c r="T33" s="1"/>
      <c r="U33" s="1"/>
      <c r="W33" s="49" t="s">
        <v>289</v>
      </c>
    </row>
    <row r="34" spans="2:24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W34" s="81"/>
      <c r="X34" s="81"/>
    </row>
    <row r="35" spans="2:24" ht="14.1">
      <c r="B35" s="158" t="s">
        <v>278</v>
      </c>
      <c r="C35" s="158"/>
      <c r="D35" s="158"/>
      <c r="E35" s="158"/>
      <c r="F35" s="158"/>
      <c r="G35" s="158"/>
      <c r="H35" s="158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</row>
    <row r="36" spans="2:24">
      <c r="B36" s="153" t="s">
        <v>151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9"/>
      <c r="R36" s="1"/>
      <c r="S36" s="1"/>
      <c r="T36" s="1"/>
      <c r="U36" s="1"/>
    </row>
    <row r="37" spans="2:24">
      <c r="B37" s="15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9"/>
      <c r="R37" s="1"/>
      <c r="S37" s="1"/>
      <c r="T37" s="1"/>
      <c r="U37" s="1"/>
    </row>
    <row r="38" spans="2:24">
      <c r="B38" s="15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9"/>
      <c r="R38" s="1"/>
      <c r="S38" s="1"/>
      <c r="T38" s="1"/>
      <c r="U38" s="1"/>
    </row>
    <row r="39" spans="2:2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9"/>
      <c r="R39" s="1"/>
      <c r="S39" s="1"/>
      <c r="T39" s="1"/>
      <c r="U39" s="1"/>
    </row>
    <row r="40" spans="2:2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9"/>
      <c r="R40" s="1"/>
      <c r="S40" s="1"/>
      <c r="T40" s="1"/>
      <c r="U40" s="1"/>
    </row>
    <row r="41" spans="2:2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9"/>
      <c r="R41" s="1"/>
      <c r="S41" s="1"/>
      <c r="T41" s="1"/>
      <c r="U41" s="1"/>
    </row>
    <row r="42" spans="2:2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9"/>
      <c r="R42" s="1"/>
      <c r="S42" s="1"/>
      <c r="T42" s="1"/>
      <c r="U42" s="1"/>
    </row>
    <row r="43" spans="2:2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9"/>
      <c r="R43" s="1"/>
      <c r="S43" s="1"/>
      <c r="T43" s="1"/>
      <c r="U43" s="1"/>
    </row>
    <row r="44" spans="2:2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9"/>
      <c r="R44" s="1"/>
      <c r="S44" s="1"/>
      <c r="T44" s="1"/>
      <c r="U44" s="1"/>
    </row>
    <row r="45" spans="2:24">
      <c r="B45" s="154" t="s">
        <v>76</v>
      </c>
      <c r="C45" s="105" t="s">
        <v>143</v>
      </c>
      <c r="D45" s="82"/>
      <c r="E45" s="82"/>
      <c r="F45" s="82"/>
      <c r="G45" s="106" t="str">
        <f>ROUND('Dane dla CO'!Z54,1)&amp;"°C"</f>
        <v>-1,8°C</v>
      </c>
      <c r="H45" s="1"/>
      <c r="I45" s="1"/>
      <c r="J45" s="1"/>
      <c r="K45" s="1"/>
      <c r="L45" s="1"/>
      <c r="M45" s="1"/>
      <c r="N45" s="1"/>
      <c r="O45" s="1"/>
      <c r="P45" s="1"/>
      <c r="Q45" s="19"/>
      <c r="R45" s="1"/>
      <c r="S45" s="1"/>
      <c r="T45" s="1"/>
      <c r="U45" s="1"/>
    </row>
    <row r="46" spans="2:24" ht="14.25" customHeight="1">
      <c r="B46" s="154"/>
      <c r="C46" s="107" t="s">
        <v>144</v>
      </c>
      <c r="D46" s="108"/>
      <c r="E46" s="109"/>
      <c r="F46" s="109"/>
      <c r="G46" s="106" t="str">
        <f>ROUND('Dane dla CO'!Z67,1)&amp;"°C"</f>
        <v>-3°C</v>
      </c>
      <c r="H46" s="1"/>
      <c r="I46" s="1"/>
      <c r="J46" s="1"/>
      <c r="K46" s="1"/>
      <c r="L46" s="1"/>
      <c r="M46" s="1"/>
      <c r="N46" s="1"/>
      <c r="O46" s="1"/>
      <c r="P46" s="1"/>
      <c r="Q46" s="19"/>
      <c r="R46" s="1"/>
      <c r="S46" s="1"/>
      <c r="T46" s="1"/>
      <c r="U46" s="1"/>
    </row>
    <row r="47" spans="2:24">
      <c r="B47" s="21"/>
      <c r="C47" s="82"/>
      <c r="D47" s="82"/>
      <c r="E47" s="82"/>
      <c r="F47" s="82"/>
      <c r="G47" s="110"/>
      <c r="H47" s="1"/>
      <c r="I47" s="1"/>
      <c r="J47" s="1"/>
      <c r="K47" s="1"/>
      <c r="L47" s="1"/>
      <c r="M47" s="1"/>
      <c r="N47" s="1"/>
      <c r="O47" s="1"/>
      <c r="P47" s="1"/>
      <c r="Q47" s="19"/>
      <c r="R47" s="1"/>
      <c r="S47" s="1"/>
      <c r="T47" s="1"/>
      <c r="U47" s="1"/>
    </row>
    <row r="48" spans="2:24">
      <c r="B48" s="154" t="s">
        <v>184</v>
      </c>
      <c r="C48" s="135" t="s">
        <v>143</v>
      </c>
      <c r="D48" s="136"/>
      <c r="E48" s="136"/>
      <c r="F48" s="136"/>
      <c r="G48" s="137" t="str">
        <f>ROUND('Dane dla CWU'!Z54,1)&amp;"°C"</f>
        <v>-0,4°C</v>
      </c>
      <c r="H48" s="1"/>
      <c r="I48" s="1"/>
      <c r="J48" s="1"/>
      <c r="K48" s="1"/>
      <c r="L48" s="1"/>
      <c r="M48" s="1"/>
      <c r="N48" s="1"/>
      <c r="O48" s="1"/>
      <c r="P48" s="1"/>
      <c r="Q48" s="19"/>
      <c r="R48" s="1"/>
      <c r="S48" s="1"/>
      <c r="T48" s="1"/>
      <c r="U48" s="1"/>
    </row>
    <row r="49" spans="2:21" ht="15" customHeight="1">
      <c r="B49" s="154"/>
      <c r="C49" s="107" t="s">
        <v>144</v>
      </c>
      <c r="D49" s="108"/>
      <c r="E49" s="109"/>
      <c r="F49" s="109"/>
      <c r="G49" s="106" t="str">
        <f>ROUND('Dane dla CWU'!Z67,1)&amp;"°C"</f>
        <v>7,2°C</v>
      </c>
      <c r="H49" s="1"/>
      <c r="I49" s="1"/>
      <c r="J49" s="1"/>
      <c r="K49" s="1"/>
      <c r="L49" s="1"/>
      <c r="M49" s="1"/>
      <c r="N49" s="1"/>
      <c r="O49" s="1"/>
      <c r="P49" s="1"/>
      <c r="Q49" s="19"/>
      <c r="R49" s="1"/>
      <c r="S49" s="1"/>
      <c r="T49" s="1"/>
      <c r="U49" s="1"/>
    </row>
    <row r="50" spans="2:21">
      <c r="B50" s="1"/>
      <c r="C50" s="82"/>
      <c r="D50" s="82"/>
      <c r="E50" s="82"/>
      <c r="F50" s="82"/>
      <c r="G50" s="110"/>
      <c r="H50" s="1"/>
      <c r="I50" s="1"/>
      <c r="J50" s="1"/>
      <c r="K50" s="1"/>
      <c r="L50" s="1"/>
      <c r="M50" s="1"/>
      <c r="N50" s="1"/>
      <c r="O50" s="1"/>
      <c r="P50" s="1"/>
      <c r="Q50" s="19"/>
      <c r="R50" s="1"/>
      <c r="S50" s="1"/>
      <c r="T50" s="1"/>
      <c r="U50" s="1"/>
    </row>
    <row r="51" spans="2:21">
      <c r="B51" s="1"/>
      <c r="C51" s="107" t="s">
        <v>185</v>
      </c>
      <c r="D51" s="82"/>
      <c r="E51" s="82"/>
      <c r="F51" s="82"/>
      <c r="G51" s="111">
        <f>'SCOP 221.A26 ver 2'!FB4</f>
        <v>2.8805950082079961</v>
      </c>
      <c r="H51" s="1"/>
      <c r="I51" s="1"/>
      <c r="J51" s="1"/>
      <c r="K51" s="1"/>
      <c r="L51" s="1"/>
      <c r="M51" s="1"/>
      <c r="N51" s="1"/>
      <c r="O51" s="1"/>
      <c r="P51" s="1"/>
      <c r="Q51" s="19"/>
      <c r="R51" s="1"/>
      <c r="S51" s="1"/>
      <c r="T51" s="1"/>
      <c r="U51" s="1"/>
    </row>
    <row r="52" spans="2:21">
      <c r="B52" s="1"/>
      <c r="C52" s="107" t="s">
        <v>186</v>
      </c>
      <c r="D52" s="108"/>
      <c r="E52" s="82"/>
      <c r="F52" s="82"/>
      <c r="G52" s="111">
        <f>'SCOP 221.A26 ver 2'!FB7</f>
        <v>2.5999949704657044</v>
      </c>
      <c r="H52" s="1"/>
      <c r="I52" s="1"/>
      <c r="J52" s="1"/>
      <c r="K52" s="1"/>
      <c r="L52" s="1"/>
      <c r="M52" s="1"/>
      <c r="N52" s="1"/>
      <c r="O52" s="1"/>
      <c r="P52" s="1"/>
      <c r="Q52" s="19"/>
      <c r="R52" s="1"/>
      <c r="S52" s="1"/>
      <c r="T52" s="1"/>
      <c r="U52" s="1"/>
    </row>
    <row r="53" spans="2:21">
      <c r="B53" s="1"/>
      <c r="C53" s="107" t="s">
        <v>187</v>
      </c>
      <c r="D53" s="82"/>
      <c r="E53" s="82"/>
      <c r="F53" s="82"/>
      <c r="G53" s="111">
        <f>('SCOP 221.A26 ver 2'!FB4*'SCOP 221.A26 ver 2'!FD4+'SCOP 221.A26 ver 2'!FB7*'SCOP 221.A26 ver 2'!FD7)/('SCOP 221.A26 ver 2'!FD4+'SCOP 221.A26 ver 2'!FD7)</f>
        <v>2.8428025729343558</v>
      </c>
      <c r="H53" s="1"/>
      <c r="I53" s="1"/>
      <c r="J53" s="1"/>
      <c r="K53" s="1"/>
      <c r="L53" s="1"/>
      <c r="M53" s="1"/>
      <c r="N53" s="1"/>
      <c r="O53" s="1"/>
      <c r="P53" s="1"/>
      <c r="Q53" s="19"/>
      <c r="R53" s="1"/>
      <c r="S53" s="1"/>
      <c r="T53" s="1"/>
      <c r="U53" s="1"/>
    </row>
    <row r="54" spans="2:21">
      <c r="B54" s="1"/>
      <c r="C54" s="107" t="s">
        <v>147</v>
      </c>
      <c r="D54" s="82"/>
      <c r="E54" s="82"/>
      <c r="F54" s="82"/>
      <c r="G54" s="112">
        <f>'SCOP 221.A26 ver 2'!FD15</f>
        <v>5577.185605942047</v>
      </c>
      <c r="H54" s="104"/>
      <c r="I54" s="1"/>
      <c r="J54" s="1"/>
      <c r="K54" s="1"/>
      <c r="L54" s="1"/>
      <c r="M54" s="1"/>
      <c r="N54" s="1"/>
      <c r="O54" s="1"/>
      <c r="P54" s="1"/>
      <c r="Q54" s="19"/>
      <c r="R54" s="1"/>
      <c r="S54" s="1"/>
      <c r="T54" s="1"/>
      <c r="U54" s="1"/>
    </row>
    <row r="55" spans="2:21">
      <c r="B55" s="1"/>
      <c r="C55" s="107" t="s">
        <v>148</v>
      </c>
      <c r="D55" s="82"/>
      <c r="E55" s="82"/>
      <c r="F55" s="82"/>
      <c r="G55" s="113" t="str">
        <f>ROUND('SCOP 221.A26 ver 2'!FN8,0)&amp;" "&amp;N26</f>
        <v>739 [ m3 ]</v>
      </c>
      <c r="I55" s="1"/>
      <c r="J55" s="1"/>
      <c r="K55" s="1"/>
      <c r="L55" s="1"/>
      <c r="M55" s="1"/>
      <c r="N55" s="1"/>
      <c r="O55" s="1"/>
      <c r="P55" s="1"/>
      <c r="Q55" s="19"/>
      <c r="R55" s="1"/>
      <c r="S55" s="1"/>
      <c r="T55" s="1"/>
      <c r="U55" s="1"/>
    </row>
    <row r="56" spans="2:21">
      <c r="B56" s="1"/>
      <c r="C56" s="107" t="s">
        <v>149</v>
      </c>
      <c r="D56" s="82"/>
      <c r="E56" s="82"/>
      <c r="F56" s="82"/>
      <c r="G56" s="114" t="str">
        <f>ROUND('SCOP 221.A26 ver 2'!FC8,0)&amp;" kWh"</f>
        <v>6098 kWh</v>
      </c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</row>
    <row r="57" spans="2:2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</row>
    <row r="58" spans="2:21">
      <c r="B58" s="1"/>
      <c r="C58" s="6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9"/>
      <c r="R58" s="1"/>
      <c r="S58" s="1"/>
      <c r="T58" s="1"/>
      <c r="U58" s="1"/>
    </row>
    <row r="59" spans="2:21">
      <c r="B59" s="1"/>
      <c r="C59" s="68"/>
      <c r="D59" s="1"/>
      <c r="E59" s="1"/>
      <c r="F59" s="156" t="str">
        <f>ROUND(G54-P29,2)&amp;" zł"</f>
        <v>-796,47 zł</v>
      </c>
      <c r="G59" s="156"/>
      <c r="H59" s="1"/>
      <c r="I59" s="1"/>
      <c r="J59" s="1"/>
      <c r="K59" s="1"/>
      <c r="L59" s="1"/>
      <c r="M59" s="1"/>
      <c r="N59" s="1"/>
      <c r="O59" s="1"/>
      <c r="P59" s="1"/>
      <c r="Q59" s="19"/>
      <c r="R59" s="1"/>
      <c r="S59" s="1"/>
      <c r="T59" s="1"/>
      <c r="U59" s="1"/>
    </row>
    <row r="60" spans="2:2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9"/>
      <c r="R60" s="1"/>
      <c r="S60" s="1"/>
      <c r="T60" s="1"/>
      <c r="U60" s="1"/>
    </row>
    <row r="61" spans="2:21"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9"/>
      <c r="R61" s="1"/>
      <c r="S61" s="1"/>
      <c r="T61" s="1"/>
    </row>
    <row r="62" spans="2:2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9"/>
      <c r="R62" s="159" t="s">
        <v>256</v>
      </c>
      <c r="S62" s="159"/>
      <c r="T62" s="159"/>
      <c r="U62" s="159"/>
    </row>
    <row r="63" spans="2:21">
      <c r="B63" s="1"/>
      <c r="C63" s="6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9"/>
      <c r="R63" s="160">
        <f>'SCOP 221.A26 ver 2'!D56</f>
        <v>0.706972875936831</v>
      </c>
      <c r="S63" s="160"/>
      <c r="T63" s="160"/>
      <c r="U63" s="1"/>
    </row>
    <row r="64" spans="2:21">
      <c r="B64" s="6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9"/>
      <c r="S64" s="1"/>
      <c r="T64" s="1"/>
    </row>
    <row r="65" spans="2:21">
      <c r="B65" s="6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9"/>
      <c r="R65" s="159" t="s">
        <v>255</v>
      </c>
      <c r="S65" s="159"/>
      <c r="T65" s="159"/>
      <c r="U65" s="159"/>
    </row>
    <row r="66" spans="2:2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9"/>
      <c r="R66" s="160">
        <f>'SCOP 221.A26 ver 2'!F56</f>
        <v>0.56675749318801083</v>
      </c>
      <c r="S66" s="160"/>
      <c r="T66" s="160"/>
      <c r="U66" s="1"/>
    </row>
    <row r="67" spans="2:21">
      <c r="B67" s="168" t="s">
        <v>286</v>
      </c>
      <c r="C67" s="139" t="s">
        <v>282</v>
      </c>
      <c r="D67" s="82"/>
      <c r="E67" s="82"/>
      <c r="F67" s="82"/>
      <c r="G67" s="111"/>
      <c r="H67" s="161"/>
      <c r="I67" s="161"/>
      <c r="J67" s="1"/>
      <c r="K67" s="1"/>
      <c r="L67" s="1"/>
      <c r="M67" s="1"/>
      <c r="N67" s="1"/>
      <c r="O67" s="1"/>
      <c r="P67" s="1"/>
      <c r="Q67" s="19"/>
      <c r="R67" s="1"/>
      <c r="S67" s="1"/>
      <c r="T67" s="1"/>
      <c r="U67" s="1"/>
    </row>
    <row r="68" spans="2:21">
      <c r="B68" s="168"/>
      <c r="C68" s="107" t="s">
        <v>281</v>
      </c>
      <c r="D68" s="82"/>
      <c r="E68" s="82"/>
      <c r="F68" s="82"/>
      <c r="G68" s="111" t="str">
        <f>ROUND('Dane dla CO'!B80*100,0)&amp;" "&amp;"[ gr/kWh ]"</f>
        <v>27 [ gr/kWh ]</v>
      </c>
      <c r="H68" s="161"/>
      <c r="I68" s="161"/>
      <c r="J68" s="1"/>
      <c r="K68" s="1"/>
      <c r="L68" s="1"/>
      <c r="M68" s="1"/>
      <c r="N68" s="1"/>
      <c r="O68" s="1"/>
      <c r="P68" s="1"/>
      <c r="Q68" s="19"/>
      <c r="R68" s="1"/>
      <c r="S68" s="1"/>
      <c r="T68" s="1"/>
      <c r="U68" s="1"/>
    </row>
    <row r="69" spans="2:21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</row>
    <row r="70" spans="2:21" ht="14.1">
      <c r="B70" s="158" t="s">
        <v>279</v>
      </c>
      <c r="C70" s="158"/>
      <c r="D70" s="158"/>
      <c r="E70" s="158"/>
      <c r="F70" s="158"/>
      <c r="G70" s="158"/>
      <c r="H70" s="158"/>
      <c r="I70" s="1"/>
      <c r="J70" s="1"/>
      <c r="K70" s="1"/>
      <c r="L70" s="1"/>
      <c r="M70" s="1"/>
      <c r="N70" s="1"/>
      <c r="O70" s="1"/>
      <c r="P70" s="1"/>
      <c r="Q70" s="19"/>
      <c r="R70" s="1"/>
      <c r="S70" s="1"/>
      <c r="T70" s="1"/>
      <c r="U70" s="1"/>
    </row>
    <row r="71" spans="2:21">
      <c r="B71" s="153" t="s">
        <v>152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9"/>
      <c r="R71" s="1"/>
      <c r="S71" s="1"/>
      <c r="T71" s="1"/>
      <c r="U71" s="1"/>
    </row>
    <row r="72" spans="2:21">
      <c r="B72" s="15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9"/>
      <c r="R72" s="1"/>
      <c r="S72" s="1"/>
      <c r="T72" s="1"/>
      <c r="U72" s="1"/>
    </row>
    <row r="73" spans="2:21">
      <c r="B73" s="15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9"/>
      <c r="R73" s="1"/>
      <c r="S73" s="1"/>
      <c r="T73" s="1"/>
      <c r="U73" s="1"/>
    </row>
    <row r="74" spans="2:2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"/>
      <c r="S74" s="1"/>
      <c r="T74" s="1"/>
      <c r="U74" s="1"/>
    </row>
    <row r="75" spans="2:2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9"/>
      <c r="R75" s="1"/>
      <c r="S75" s="1"/>
      <c r="T75" s="1"/>
      <c r="U75" s="1"/>
    </row>
    <row r="76" spans="2:2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9"/>
      <c r="R76" s="1"/>
      <c r="S76" s="1"/>
      <c r="T76" s="1"/>
      <c r="U76" s="1"/>
    </row>
    <row r="77" spans="2:2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9"/>
      <c r="R77" s="1"/>
      <c r="S77" s="1"/>
      <c r="T77" s="1"/>
      <c r="U77" s="1"/>
    </row>
    <row r="78" spans="2:2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9"/>
      <c r="R78" s="1"/>
      <c r="S78" s="1"/>
      <c r="T78" s="1"/>
      <c r="U78" s="1"/>
    </row>
    <row r="79" spans="2:2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9"/>
      <c r="R79" s="1"/>
      <c r="S79" s="1"/>
      <c r="T79" s="1"/>
      <c r="U79" s="1"/>
    </row>
    <row r="80" spans="2:2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9"/>
      <c r="R80" s="1"/>
      <c r="S80" s="1"/>
      <c r="T80" s="1"/>
      <c r="U80" s="1"/>
    </row>
    <row r="81" spans="2:21" ht="15" customHeight="1">
      <c r="B81" s="154" t="s">
        <v>76</v>
      </c>
      <c r="C81" s="105" t="s">
        <v>143</v>
      </c>
      <c r="D81" s="82"/>
      <c r="E81" s="82"/>
      <c r="F81" s="82"/>
      <c r="G81" s="106" t="str">
        <f>ROUND('Dane dla CO'!R54,1)&amp;"°C"</f>
        <v>-10,3°C</v>
      </c>
      <c r="H81" s="1"/>
      <c r="I81" s="1"/>
      <c r="J81" s="1"/>
      <c r="K81" s="1"/>
      <c r="L81" s="1"/>
      <c r="M81" s="1"/>
      <c r="N81" s="1"/>
      <c r="O81" s="1"/>
      <c r="P81" s="1"/>
      <c r="Q81" s="19"/>
      <c r="R81" s="1"/>
      <c r="S81" s="1"/>
      <c r="T81" s="1"/>
      <c r="U81" s="1"/>
    </row>
    <row r="82" spans="2:21">
      <c r="B82" s="154"/>
      <c r="C82" s="107" t="s">
        <v>144</v>
      </c>
      <c r="D82" s="108"/>
      <c r="E82" s="109"/>
      <c r="F82" s="109"/>
      <c r="G82" s="106" t="str">
        <f>ROUND('Dane dla CO'!R67,1)&amp;"°C"</f>
        <v>-7,3°C</v>
      </c>
      <c r="H82" s="1"/>
      <c r="I82" s="1"/>
      <c r="J82" s="1"/>
      <c r="K82" s="1"/>
      <c r="L82" s="1"/>
      <c r="M82" s="1"/>
      <c r="N82" s="1"/>
      <c r="O82" s="1"/>
      <c r="P82" s="1"/>
      <c r="Q82" s="19"/>
      <c r="R82" s="1"/>
      <c r="S82" s="1"/>
      <c r="T82" s="1"/>
      <c r="U82" s="1"/>
    </row>
    <row r="83" spans="2:21">
      <c r="B83" s="1"/>
      <c r="C83" s="82"/>
      <c r="D83" s="82"/>
      <c r="E83" s="82"/>
      <c r="F83" s="82"/>
      <c r="G83" s="110"/>
      <c r="H83" s="1"/>
      <c r="I83" s="1"/>
      <c r="J83" s="1"/>
      <c r="K83" s="1"/>
      <c r="L83" s="1"/>
      <c r="M83" s="1"/>
      <c r="N83" s="1"/>
      <c r="O83" s="1"/>
      <c r="P83" s="1"/>
      <c r="Q83" s="19"/>
      <c r="R83" s="1"/>
      <c r="S83" s="1"/>
      <c r="T83" s="1"/>
      <c r="U83" s="1"/>
    </row>
    <row r="84" spans="2:21" ht="15" customHeight="1">
      <c r="B84" s="154" t="s">
        <v>184</v>
      </c>
      <c r="C84" s="135" t="s">
        <v>143</v>
      </c>
      <c r="D84" s="136"/>
      <c r="E84" s="136"/>
      <c r="F84" s="136"/>
      <c r="G84" s="137" t="str">
        <f>ROUND('Dane dla CWU'!R54,1)&amp;"°C"</f>
        <v>-9,3°C</v>
      </c>
      <c r="H84" s="1"/>
      <c r="I84" s="1"/>
      <c r="J84" s="1"/>
      <c r="K84" s="1"/>
      <c r="L84" s="1"/>
      <c r="M84" s="1"/>
      <c r="N84" s="1"/>
      <c r="O84" s="1"/>
      <c r="P84" s="1"/>
      <c r="Q84" s="19"/>
      <c r="R84" s="1"/>
      <c r="S84" s="1"/>
      <c r="T84" s="1"/>
      <c r="U84" s="1"/>
    </row>
    <row r="85" spans="2:21">
      <c r="B85" s="154"/>
      <c r="C85" s="107" t="s">
        <v>144</v>
      </c>
      <c r="D85" s="108"/>
      <c r="E85" s="109"/>
      <c r="F85" s="109"/>
      <c r="G85" s="106" t="str">
        <f>ROUND('Dane dla CWU'!R67,1)&amp;"°C"</f>
        <v>2,6°C</v>
      </c>
      <c r="H85" s="1"/>
      <c r="I85" s="1"/>
      <c r="J85" s="1"/>
      <c r="K85" s="1"/>
      <c r="L85" s="1"/>
      <c r="M85" s="1"/>
      <c r="N85" s="1"/>
      <c r="O85" s="1"/>
      <c r="P85" s="1"/>
      <c r="Q85" s="19"/>
      <c r="R85" s="1"/>
      <c r="S85" s="1"/>
      <c r="T85" s="1"/>
      <c r="U85" s="1"/>
    </row>
    <row r="86" spans="2:21">
      <c r="B86" s="1"/>
      <c r="C86" s="82"/>
      <c r="D86" s="82"/>
      <c r="E86" s="82"/>
      <c r="F86" s="82"/>
      <c r="G86" s="110"/>
      <c r="H86" s="1"/>
      <c r="I86" s="1"/>
      <c r="J86" s="1"/>
      <c r="K86" s="1"/>
      <c r="L86" s="1"/>
      <c r="M86" s="1"/>
      <c r="N86" s="1"/>
      <c r="O86" s="1"/>
      <c r="P86" s="1"/>
      <c r="Q86" s="19"/>
      <c r="R86" s="1"/>
      <c r="S86" s="1"/>
      <c r="T86" s="1"/>
      <c r="U86" s="1"/>
    </row>
    <row r="87" spans="2:21">
      <c r="B87" s="1"/>
      <c r="C87" s="107" t="s">
        <v>185</v>
      </c>
      <c r="D87" s="82"/>
      <c r="E87" s="82"/>
      <c r="F87" s="82"/>
      <c r="G87" s="111">
        <f>'SCOP 221.A29 ver 2'!FB4</f>
        <v>3.2519608698815579</v>
      </c>
      <c r="H87" s="1"/>
      <c r="I87" s="1"/>
      <c r="J87" s="1"/>
      <c r="K87" s="1"/>
      <c r="L87" s="1"/>
      <c r="M87" s="1"/>
      <c r="N87" s="1"/>
      <c r="O87" s="1"/>
      <c r="P87" s="1"/>
      <c r="Q87" s="19"/>
      <c r="R87" s="1"/>
      <c r="S87" s="1"/>
      <c r="T87" s="1"/>
      <c r="U87" s="1"/>
    </row>
    <row r="88" spans="2:21">
      <c r="B88" s="1"/>
      <c r="C88" s="107" t="s">
        <v>186</v>
      </c>
      <c r="D88" s="108"/>
      <c r="E88" s="82"/>
      <c r="F88" s="82"/>
      <c r="G88" s="111">
        <f>'SCOP 221.A29 ver 2'!FB7</f>
        <v>2.960542475186394</v>
      </c>
      <c r="H88" s="1"/>
      <c r="I88" s="1"/>
      <c r="J88" s="1"/>
      <c r="K88" s="1"/>
      <c r="L88" s="1"/>
      <c r="M88" s="1"/>
      <c r="N88" s="1"/>
      <c r="O88" s="1"/>
      <c r="P88" s="1"/>
      <c r="Q88" s="19"/>
      <c r="R88" s="1"/>
      <c r="S88" s="1"/>
      <c r="T88" s="1"/>
      <c r="U88" s="1"/>
    </row>
    <row r="89" spans="2:21">
      <c r="B89" s="1"/>
      <c r="C89" s="107" t="s">
        <v>187</v>
      </c>
      <c r="D89" s="82"/>
      <c r="E89" s="82"/>
      <c r="F89" s="82"/>
      <c r="G89" s="111">
        <f>('SCOP 221.A29 ver 2'!FB4*'SCOP 221.A29 ver 2'!FD4+'SCOP 221.A29 ver 2'!FB7*'SCOP 221.A29 ver 2'!FD7)/('SCOP 221.A29 ver 2'!FD4+'SCOP 221.A29 ver 2'!FD7)</f>
        <v>3.2075365750134166</v>
      </c>
      <c r="H89" s="1"/>
      <c r="I89" s="1"/>
      <c r="J89" s="1"/>
      <c r="K89" s="1"/>
      <c r="L89" s="1"/>
      <c r="M89" s="1"/>
      <c r="N89" s="1"/>
      <c r="O89" s="67"/>
      <c r="P89" s="1"/>
      <c r="Q89" s="19"/>
      <c r="R89" s="1"/>
      <c r="S89" s="1"/>
      <c r="T89" s="1"/>
      <c r="U89" s="1"/>
    </row>
    <row r="90" spans="2:21">
      <c r="B90" s="1"/>
      <c r="C90" s="107" t="s">
        <v>147</v>
      </c>
      <c r="D90" s="82"/>
      <c r="E90" s="82"/>
      <c r="F90" s="82"/>
      <c r="G90" s="112">
        <f>'SCOP 221.A29 ver 2'!FD15</f>
        <v>4976.7595699992207</v>
      </c>
      <c r="H90" s="1"/>
      <c r="I90" s="1"/>
      <c r="J90" s="1"/>
      <c r="K90" s="1"/>
      <c r="L90" s="1"/>
      <c r="M90" s="1"/>
      <c r="N90" s="1"/>
      <c r="O90" s="67"/>
      <c r="P90" s="1"/>
      <c r="Q90" s="19"/>
      <c r="R90" s="1"/>
      <c r="S90" s="1"/>
      <c r="T90" s="1"/>
      <c r="U90" s="1"/>
    </row>
    <row r="91" spans="2:21">
      <c r="B91" s="1"/>
      <c r="C91" s="107" t="s">
        <v>148</v>
      </c>
      <c r="D91" s="82"/>
      <c r="E91" s="82"/>
      <c r="F91" s="82"/>
      <c r="G91" s="113" t="str">
        <f>ROUND('SCOP 221.A29 ver 2'!FN4+'SCOP 221.A29 ver 2'!FN7,0)&amp;" "&amp;N26</f>
        <v>365 [ m3 ]</v>
      </c>
      <c r="H91" s="104"/>
      <c r="I91" s="1"/>
      <c r="J91" s="1"/>
      <c r="K91" s="1"/>
      <c r="L91" s="1"/>
      <c r="M91" s="1"/>
      <c r="N91" s="1"/>
      <c r="O91" s="67"/>
      <c r="P91" s="1"/>
      <c r="Q91" s="19"/>
      <c r="R91" s="1"/>
      <c r="S91" s="1"/>
      <c r="T91" s="1"/>
      <c r="U91" s="1"/>
    </row>
    <row r="92" spans="2:21">
      <c r="B92" s="1"/>
      <c r="C92" s="107" t="s">
        <v>149</v>
      </c>
      <c r="D92" s="82"/>
      <c r="E92" s="82"/>
      <c r="F92" s="82"/>
      <c r="G92" s="114" t="str">
        <f>ROUND('SCOP 221.A29'!FD4/'SCOP 221.A29'!FB4+'SCOP 221.A29'!FD7/'SCOP 221.A29'!FB7,0)&amp;" kWh"</f>
        <v>5924 kWh</v>
      </c>
      <c r="I92" s="1"/>
      <c r="J92" s="1"/>
      <c r="K92" s="1"/>
      <c r="L92" s="1"/>
      <c r="M92" s="1"/>
      <c r="N92" s="1"/>
      <c r="O92" s="67"/>
      <c r="P92" s="1"/>
      <c r="Q92" s="19"/>
      <c r="R92" s="1"/>
      <c r="S92" s="1"/>
      <c r="T92" s="1"/>
      <c r="U92" s="1"/>
    </row>
    <row r="93" spans="2:21" ht="11.2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67"/>
      <c r="P93" s="1"/>
      <c r="Q93" s="19"/>
      <c r="R93" s="1"/>
      <c r="S93" s="1"/>
      <c r="T93" s="1"/>
      <c r="U93" s="1"/>
    </row>
    <row r="94" spans="2:21">
      <c r="B94" s="1"/>
      <c r="C94" s="6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67"/>
      <c r="P94" s="1"/>
      <c r="Q94" s="19"/>
      <c r="R94" s="1"/>
      <c r="S94" s="1"/>
      <c r="T94" s="1"/>
      <c r="U94" s="1"/>
    </row>
    <row r="95" spans="2:21">
      <c r="B95" s="1"/>
      <c r="C95" s="68"/>
      <c r="D95" s="1"/>
      <c r="E95" s="1"/>
      <c r="F95" s="156" t="str">
        <f>ROUND(G90-P29,2)&amp;" zł"</f>
        <v>-1396,9 zł</v>
      </c>
      <c r="G95" s="156"/>
      <c r="H95" s="1"/>
      <c r="I95" s="1"/>
      <c r="J95" s="1"/>
      <c r="K95" s="1"/>
      <c r="L95" s="1"/>
      <c r="M95" s="1"/>
      <c r="N95" s="1"/>
      <c r="O95" s="68"/>
      <c r="P95" s="1"/>
      <c r="Q95" s="19"/>
      <c r="R95" s="1"/>
      <c r="S95" s="1"/>
      <c r="T95" s="1"/>
      <c r="U95" s="1"/>
    </row>
    <row r="96" spans="2:2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9"/>
      <c r="R96" s="1"/>
      <c r="S96" s="1"/>
      <c r="T96" s="1"/>
    </row>
    <row r="97" spans="2:21">
      <c r="B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67"/>
      <c r="P97" s="1"/>
      <c r="Q97" s="19"/>
      <c r="R97" s="159" t="s">
        <v>256</v>
      </c>
      <c r="S97" s="159"/>
      <c r="T97" s="159"/>
      <c r="U97" s="159"/>
    </row>
    <row r="98" spans="2:2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9"/>
      <c r="R98" s="160">
        <f>'SCOP 221.A29 ver 2'!$D$56</f>
        <v>0.80491382471580475</v>
      </c>
      <c r="S98" s="160"/>
      <c r="T98" s="160"/>
      <c r="U98" s="1"/>
    </row>
    <row r="99" spans="2:21">
      <c r="B99" s="1"/>
      <c r="C99" s="6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67"/>
      <c r="P99" s="1"/>
      <c r="Q99" s="19"/>
      <c r="R99" s="1"/>
      <c r="S99" s="1"/>
      <c r="T99" s="1"/>
    </row>
    <row r="100" spans="2:2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9"/>
      <c r="R100" s="159" t="s">
        <v>255</v>
      </c>
      <c r="S100" s="159"/>
      <c r="T100" s="159"/>
      <c r="U100" s="159"/>
    </row>
    <row r="101" spans="2:21">
      <c r="B101" s="6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9"/>
      <c r="R101" s="160">
        <f>'SCOP 221.A29 ver 2'!$F$56</f>
        <v>0.76294277929155307</v>
      </c>
      <c r="S101" s="160"/>
      <c r="T101" s="160"/>
      <c r="U101" s="1"/>
    </row>
    <row r="102" spans="2:21">
      <c r="B102" s="6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9"/>
      <c r="R102" s="1"/>
      <c r="S102" s="1"/>
      <c r="T102" s="1"/>
      <c r="U102" s="1"/>
    </row>
    <row r="103" spans="2:21">
      <c r="B103" s="168" t="s">
        <v>286</v>
      </c>
      <c r="C103" s="139" t="s">
        <v>282</v>
      </c>
      <c r="D103" s="82"/>
      <c r="E103" s="82"/>
      <c r="F103" s="82"/>
      <c r="G103" s="111"/>
      <c r="H103" s="1"/>
      <c r="I103" s="1"/>
      <c r="J103" s="1"/>
      <c r="K103" s="1"/>
      <c r="L103" s="1"/>
      <c r="M103" s="1"/>
      <c r="N103" s="1"/>
      <c r="O103" s="1"/>
      <c r="P103" s="1"/>
      <c r="Q103" s="19"/>
      <c r="R103" s="1"/>
      <c r="S103" s="1"/>
      <c r="T103" s="1"/>
      <c r="U103" s="1"/>
    </row>
    <row r="104" spans="2:21" ht="14.25" customHeight="1">
      <c r="B104" s="168"/>
      <c r="C104" s="107" t="s">
        <v>281</v>
      </c>
      <c r="D104" s="82"/>
      <c r="E104" s="82"/>
      <c r="F104" s="82"/>
      <c r="G104" s="111" t="str">
        <f>ROUND('Dane dla CO'!B82*100,0)&amp;" "&amp;"[ gr/kWh ]"</f>
        <v>30 [ gr/kWh ]</v>
      </c>
      <c r="H104" s="1"/>
      <c r="I104" s="1"/>
      <c r="J104" s="1"/>
      <c r="K104" s="1"/>
      <c r="L104" s="1"/>
      <c r="M104" s="1"/>
      <c r="N104" s="1"/>
      <c r="O104" s="1"/>
      <c r="P104" s="1"/>
      <c r="Q104" s="19"/>
      <c r="R104" s="1"/>
      <c r="S104" s="1"/>
      <c r="T104" s="1"/>
      <c r="U104" s="1"/>
    </row>
    <row r="105" spans="2:21" s="49" customFormat="1" ht="9" customHeight="1">
      <c r="B105" s="19"/>
      <c r="C105" s="19"/>
      <c r="D105" s="19"/>
      <c r="E105" s="19"/>
      <c r="F105" s="19"/>
      <c r="G105" s="19"/>
      <c r="H105" s="19"/>
      <c r="I105" s="1"/>
      <c r="J105" s="1"/>
      <c r="K105" s="1"/>
      <c r="L105" s="1"/>
      <c r="M105" s="1"/>
      <c r="N105" s="1"/>
      <c r="O105" s="1"/>
      <c r="P105" s="1"/>
      <c r="Q105" s="19"/>
      <c r="R105" s="1"/>
      <c r="S105" s="1"/>
      <c r="T105" s="1"/>
      <c r="U105" s="1"/>
    </row>
    <row r="106" spans="2:21" s="49" customFormat="1">
      <c r="B106" s="81"/>
      <c r="C106" s="81"/>
      <c r="D106" s="81"/>
      <c r="E106" s="81"/>
      <c r="F106" s="81"/>
      <c r="G106" s="81"/>
      <c r="H106" s="81"/>
      <c r="Q106" s="81"/>
    </row>
    <row r="107" spans="2:21" s="49" customFormat="1">
      <c r="Q107" s="81"/>
    </row>
    <row r="108" spans="2:21" s="49" customFormat="1">
      <c r="Q108" s="81"/>
    </row>
    <row r="109" spans="2:21" s="49" customFormat="1">
      <c r="Q109" s="81"/>
    </row>
    <row r="110" spans="2:21" s="49" customFormat="1">
      <c r="Q110" s="81"/>
    </row>
    <row r="111" spans="2:21" s="49" customFormat="1">
      <c r="Q111" s="81"/>
    </row>
    <row r="112" spans="2:21" s="49" customFormat="1">
      <c r="Q112" s="81"/>
    </row>
    <row r="113" spans="17:17" s="49" customFormat="1">
      <c r="Q113" s="81"/>
    </row>
    <row r="114" spans="17:17" s="49" customFormat="1">
      <c r="Q114" s="81"/>
    </row>
    <row r="115" spans="17:17" s="49" customFormat="1">
      <c r="Q115" s="81"/>
    </row>
    <row r="116" spans="17:17" s="49" customFormat="1">
      <c r="Q116" s="81"/>
    </row>
    <row r="117" spans="17:17" s="49" customFormat="1">
      <c r="Q117" s="81"/>
    </row>
    <row r="118" spans="17:17" s="49" customFormat="1">
      <c r="Q118" s="81"/>
    </row>
    <row r="119" spans="17:17" s="49" customFormat="1">
      <c r="Q119" s="81"/>
    </row>
    <row r="120" spans="17:17" s="49" customFormat="1">
      <c r="Q120" s="81"/>
    </row>
    <row r="121" spans="17:17" s="49" customFormat="1">
      <c r="Q121" s="81"/>
    </row>
    <row r="122" spans="17:17" s="49" customFormat="1">
      <c r="Q122" s="81"/>
    </row>
    <row r="123" spans="17:17" s="49" customFormat="1">
      <c r="Q123" s="81"/>
    </row>
    <row r="124" spans="17:17" s="49" customFormat="1">
      <c r="Q124" s="81"/>
    </row>
    <row r="125" spans="17:17" s="49" customFormat="1">
      <c r="Q125" s="81"/>
    </row>
    <row r="126" spans="17:17" s="49" customFormat="1">
      <c r="Q126" s="81"/>
    </row>
    <row r="127" spans="17:17" s="49" customFormat="1">
      <c r="Q127" s="81"/>
    </row>
    <row r="128" spans="17:17" s="49" customFormat="1">
      <c r="Q128" s="81"/>
    </row>
    <row r="129" spans="17:17" s="49" customFormat="1">
      <c r="Q129" s="81"/>
    </row>
  </sheetData>
  <sheetProtection algorithmName="SHA-512" hashValue="I+zIV7Ft6pPWV5qjlSKsK8oMZi/Q5Q4wwSQM7yjdCdexl9ptOaBUtYoWlNkBqqVZAckSA7NBvhm+rpsi51sUyA==" saltValue="iVKWPJIV62Wp45XQpuMCTw==" spinCount="100000" sheet="1" objects="1" scenarios="1"/>
  <protectedRanges>
    <protectedRange sqref="M12" name="Charakterystyka budunku"/>
    <protectedRange sqref="M14" name="Powierzchnia"/>
    <protectedRange sqref="M18" name="System grzewczy"/>
    <protectedRange sqref="M20" name="Ilość mieszkańców"/>
    <protectedRange sqref="M22" name="Wyposażenie łazienek"/>
    <protectedRange sqref="M24" name="Modernizowane źródło ciepła"/>
    <protectedRange sqref="M26" name="Roczne zużycie paliwa"/>
    <protectedRange sqref="P32" name="Cena G20"/>
    <protectedRange sqref="P33" name="Cena G31"/>
  </protectedRanges>
  <mergeCells count="37">
    <mergeCell ref="B103:B104"/>
    <mergeCell ref="B67:B68"/>
    <mergeCell ref="R101:T101"/>
    <mergeCell ref="H67:I67"/>
    <mergeCell ref="H68:I68"/>
    <mergeCell ref="F95:G95"/>
    <mergeCell ref="B71:B73"/>
    <mergeCell ref="R62:U62"/>
    <mergeCell ref="R65:U65"/>
    <mergeCell ref="R97:U97"/>
    <mergeCell ref="R100:U100"/>
    <mergeCell ref="R63:T63"/>
    <mergeCell ref="R66:T66"/>
    <mergeCell ref="R98:T98"/>
    <mergeCell ref="B36:B38"/>
    <mergeCell ref="B3:B5"/>
    <mergeCell ref="B84:B85"/>
    <mergeCell ref="B81:B82"/>
    <mergeCell ref="C25:G25"/>
    <mergeCell ref="B45:B46"/>
    <mergeCell ref="B48:B49"/>
    <mergeCell ref="F59:G59"/>
    <mergeCell ref="C26:G27"/>
    <mergeCell ref="B70:H70"/>
    <mergeCell ref="B35:H35"/>
    <mergeCell ref="M12:Q12"/>
    <mergeCell ref="J14:K14"/>
    <mergeCell ref="I12:K12"/>
    <mergeCell ref="M18:P18"/>
    <mergeCell ref="J18:K18"/>
    <mergeCell ref="I26:K26"/>
    <mergeCell ref="I22:K22"/>
    <mergeCell ref="J20:K20"/>
    <mergeCell ref="I29:K29"/>
    <mergeCell ref="M22:P22"/>
    <mergeCell ref="I24:K24"/>
    <mergeCell ref="M24:P24"/>
  </mergeCells>
  <dataValidations count="8">
    <dataValidation type="list" allowBlank="1" showInputMessage="1" showErrorMessage="1" errorTitle="Rodzaj budynku" prompt="Rodzaj budynku" sqref="M12:Q12" xr:uid="{00000000-0002-0000-0000-000000000000}">
      <formula1>budynek</formula1>
    </dataValidation>
    <dataValidation type="list" allowBlank="1" showInputMessage="1" showErrorMessage="1" prompt="Wyposażenie łazienek" sqref="M22:P22" xr:uid="{00000000-0002-0000-0000-000001000000}">
      <formula1>wyposażenie</formula1>
    </dataValidation>
    <dataValidation type="list" allowBlank="1" showInputMessage="1" showErrorMessage="1" prompt="Dotychczasowe źródło ciepła" sqref="M24:P24" xr:uid="{00000000-0002-0000-0000-000002000000}">
      <formula1>zrodlo</formula1>
    </dataValidation>
    <dataValidation type="list" allowBlank="1" showInputMessage="1" showErrorMessage="1" prompt="Wybierz strefę klimatyczną" sqref="C25" xr:uid="{00000000-0002-0000-0000-000003000000}">
      <formula1>krakow</formula1>
    </dataValidation>
    <dataValidation type="whole" operator="greaterThanOrEqual" allowBlank="1" showInputMessage="1" showErrorMessage="1" prompt="Podaj roczne zużycie paliwa do celów CO i CWU" sqref="M26" xr:uid="{00000000-0002-0000-0000-000004000000}">
      <formula1>0</formula1>
    </dataValidation>
    <dataValidation type="whole" operator="greaterThan" allowBlank="1" showInputMessage="1" showErrorMessage="1" prompt="Ilość mieszkańców" sqref="M20" xr:uid="{00000000-0002-0000-0000-000005000000}">
      <formula1>0</formula1>
    </dataValidation>
    <dataValidation type="whole" allowBlank="1" showInputMessage="1" showErrorMessage="1" prompt="Powierzchnia ogrzewana budynku (10-350)" sqref="M14" xr:uid="{00000000-0002-0000-0000-000006000000}">
      <formula1>10</formula1>
      <formula2>350</formula2>
    </dataValidation>
    <dataValidation type="list" allowBlank="1" showInputMessage="1" showErrorMessage="1" prompt="Rodzaj ogrzewania" sqref="M18:P18" xr:uid="{00000000-0002-0000-0000-000007000000}">
      <formula1>ogrzew2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U3:AE38"/>
  <sheetViews>
    <sheetView zoomScale="40" zoomScaleNormal="40" workbookViewId="0">
      <selection activeCell="AG14" sqref="AG14"/>
    </sheetView>
  </sheetViews>
  <sheetFormatPr defaultRowHeight="13.8"/>
  <sheetData>
    <row r="3" spans="21:31">
      <c r="V3" t="s">
        <v>157</v>
      </c>
      <c r="X3">
        <v>-20</v>
      </c>
      <c r="Y3">
        <f>$V$12*X3+$V$13</f>
        <v>55</v>
      </c>
      <c r="AB3" t="s">
        <v>157</v>
      </c>
      <c r="AD3">
        <v>-20</v>
      </c>
      <c r="AE3">
        <f>$AB$12*AD3+$AB$13</f>
        <v>35</v>
      </c>
    </row>
    <row r="4" spans="21:31">
      <c r="X4">
        <v>-19</v>
      </c>
      <c r="Y4">
        <f t="shared" ref="Y4:Y38" si="0">$V$12*X4+$V$13</f>
        <v>54.4</v>
      </c>
      <c r="AD4">
        <v>-19</v>
      </c>
      <c r="AE4">
        <f t="shared" ref="AE4:AE38" si="1">$AB$12*AD4+$AB$13</f>
        <v>34.633333333333333</v>
      </c>
    </row>
    <row r="5" spans="21:31">
      <c r="V5" t="s">
        <v>159</v>
      </c>
      <c r="W5" t="s">
        <v>160</v>
      </c>
      <c r="X5">
        <v>-18</v>
      </c>
      <c r="Y5">
        <f t="shared" si="0"/>
        <v>53.8</v>
      </c>
      <c r="AB5" t="s">
        <v>170</v>
      </c>
      <c r="AC5" t="s">
        <v>160</v>
      </c>
      <c r="AD5">
        <v>-18</v>
      </c>
      <c r="AE5">
        <f t="shared" si="1"/>
        <v>34.266666666666666</v>
      </c>
    </row>
    <row r="6" spans="21:31">
      <c r="V6" t="s">
        <v>158</v>
      </c>
      <c r="W6" t="s">
        <v>161</v>
      </c>
      <c r="X6">
        <v>-17</v>
      </c>
      <c r="Y6">
        <f t="shared" si="0"/>
        <v>53.2</v>
      </c>
      <c r="AB6" t="s">
        <v>171</v>
      </c>
      <c r="AC6" t="s">
        <v>161</v>
      </c>
      <c r="AD6">
        <v>-17</v>
      </c>
      <c r="AE6">
        <f t="shared" si="1"/>
        <v>33.9</v>
      </c>
    </row>
    <row r="7" spans="21:31">
      <c r="X7">
        <v>-16</v>
      </c>
      <c r="Y7">
        <f t="shared" si="0"/>
        <v>52.6</v>
      </c>
      <c r="AD7">
        <v>-16</v>
      </c>
      <c r="AE7">
        <f t="shared" si="1"/>
        <v>33.533333333333331</v>
      </c>
    </row>
    <row r="8" spans="21:31">
      <c r="V8" t="s">
        <v>163</v>
      </c>
      <c r="W8" t="s">
        <v>164</v>
      </c>
      <c r="X8">
        <v>-15</v>
      </c>
      <c r="Y8">
        <f t="shared" si="0"/>
        <v>52</v>
      </c>
      <c r="AB8" t="s">
        <v>172</v>
      </c>
      <c r="AC8" t="s">
        <v>175</v>
      </c>
      <c r="AD8">
        <v>-15</v>
      </c>
      <c r="AE8">
        <f t="shared" si="1"/>
        <v>33.166666666666671</v>
      </c>
    </row>
    <row r="9" spans="21:31">
      <c r="V9" t="s">
        <v>162</v>
      </c>
      <c r="X9">
        <v>-14</v>
      </c>
      <c r="Y9">
        <f t="shared" si="0"/>
        <v>51.4</v>
      </c>
      <c r="AB9" t="s">
        <v>173</v>
      </c>
      <c r="AD9">
        <v>-14</v>
      </c>
      <c r="AE9">
        <f t="shared" si="1"/>
        <v>32.799999999999997</v>
      </c>
    </row>
    <row r="10" spans="21:31">
      <c r="V10" t="s">
        <v>165</v>
      </c>
      <c r="X10">
        <v>-13</v>
      </c>
      <c r="Y10">
        <f t="shared" si="0"/>
        <v>50.8</v>
      </c>
      <c r="AB10" t="s">
        <v>174</v>
      </c>
      <c r="AD10">
        <v>-13</v>
      </c>
      <c r="AE10">
        <f t="shared" si="1"/>
        <v>32.433333333333337</v>
      </c>
    </row>
    <row r="11" spans="21:31">
      <c r="V11" t="s">
        <v>166</v>
      </c>
      <c r="X11">
        <v>-12</v>
      </c>
      <c r="Y11">
        <f t="shared" si="0"/>
        <v>50.2</v>
      </c>
      <c r="AB11" t="s">
        <v>176</v>
      </c>
      <c r="AD11">
        <v>-12</v>
      </c>
      <c r="AE11">
        <f t="shared" si="1"/>
        <v>32.06666666666667</v>
      </c>
    </row>
    <row r="12" spans="21:31">
      <c r="U12" t="s">
        <v>167</v>
      </c>
      <c r="V12">
        <f>(37-55)/30</f>
        <v>-0.6</v>
      </c>
      <c r="X12">
        <v>-11</v>
      </c>
      <c r="Y12">
        <f t="shared" si="0"/>
        <v>49.6</v>
      </c>
      <c r="AA12" t="s">
        <v>167</v>
      </c>
      <c r="AB12">
        <f>(24-35)/30</f>
        <v>-0.36666666666666664</v>
      </c>
      <c r="AD12">
        <v>-11</v>
      </c>
      <c r="AE12">
        <f t="shared" si="1"/>
        <v>31.700000000000003</v>
      </c>
    </row>
    <row r="13" spans="21:31">
      <c r="U13" t="s">
        <v>168</v>
      </c>
      <c r="V13">
        <f>55+20*V12</f>
        <v>43</v>
      </c>
      <c r="X13">
        <v>-10</v>
      </c>
      <c r="Y13">
        <f t="shared" si="0"/>
        <v>49</v>
      </c>
      <c r="AA13" t="s">
        <v>168</v>
      </c>
      <c r="AB13">
        <f>35+20*AB12</f>
        <v>27.666666666666668</v>
      </c>
      <c r="AD13">
        <v>-10</v>
      </c>
      <c r="AE13">
        <f t="shared" si="1"/>
        <v>31.333333333333336</v>
      </c>
    </row>
    <row r="14" spans="21:31">
      <c r="V14" t="s">
        <v>169</v>
      </c>
      <c r="X14">
        <v>-9</v>
      </c>
      <c r="Y14">
        <f t="shared" si="0"/>
        <v>48.4</v>
      </c>
      <c r="AB14" t="s">
        <v>169</v>
      </c>
      <c r="AD14">
        <v>-9</v>
      </c>
      <c r="AE14">
        <f t="shared" si="1"/>
        <v>30.966666666666669</v>
      </c>
    </row>
    <row r="15" spans="21:31">
      <c r="X15">
        <v>-8</v>
      </c>
      <c r="Y15">
        <f t="shared" si="0"/>
        <v>47.8</v>
      </c>
      <c r="AD15">
        <v>-8</v>
      </c>
      <c r="AE15">
        <f t="shared" si="1"/>
        <v>30.6</v>
      </c>
    </row>
    <row r="16" spans="21:31">
      <c r="X16">
        <v>-7</v>
      </c>
      <c r="Y16">
        <f t="shared" si="0"/>
        <v>47.2</v>
      </c>
      <c r="AD16">
        <v>-7</v>
      </c>
      <c r="AE16">
        <f t="shared" si="1"/>
        <v>30.233333333333334</v>
      </c>
    </row>
    <row r="17" spans="24:31">
      <c r="X17">
        <v>-6</v>
      </c>
      <c r="Y17">
        <f t="shared" si="0"/>
        <v>46.6</v>
      </c>
      <c r="AD17">
        <v>-6</v>
      </c>
      <c r="AE17">
        <f t="shared" si="1"/>
        <v>29.866666666666667</v>
      </c>
    </row>
    <row r="18" spans="24:31">
      <c r="X18">
        <v>-5</v>
      </c>
      <c r="Y18">
        <f t="shared" si="0"/>
        <v>46</v>
      </c>
      <c r="AD18">
        <v>-5</v>
      </c>
      <c r="AE18">
        <f t="shared" si="1"/>
        <v>29.5</v>
      </c>
    </row>
    <row r="19" spans="24:31">
      <c r="X19">
        <v>-4</v>
      </c>
      <c r="Y19">
        <f t="shared" si="0"/>
        <v>45.4</v>
      </c>
      <c r="AD19">
        <v>-4</v>
      </c>
      <c r="AE19">
        <f t="shared" si="1"/>
        <v>29.133333333333333</v>
      </c>
    </row>
    <row r="20" spans="24:31">
      <c r="X20">
        <v>-3</v>
      </c>
      <c r="Y20">
        <f t="shared" si="0"/>
        <v>44.8</v>
      </c>
      <c r="AD20">
        <v>-3</v>
      </c>
      <c r="AE20">
        <f t="shared" si="1"/>
        <v>28.766666666666669</v>
      </c>
    </row>
    <row r="21" spans="24:31">
      <c r="X21">
        <v>-2</v>
      </c>
      <c r="Y21">
        <f t="shared" si="0"/>
        <v>44.2</v>
      </c>
      <c r="AD21">
        <v>-2</v>
      </c>
      <c r="AE21">
        <f t="shared" si="1"/>
        <v>28.400000000000002</v>
      </c>
    </row>
    <row r="22" spans="24:31">
      <c r="X22">
        <v>-1</v>
      </c>
      <c r="Y22">
        <f t="shared" si="0"/>
        <v>43.6</v>
      </c>
      <c r="AD22">
        <v>-1</v>
      </c>
      <c r="AE22">
        <f t="shared" si="1"/>
        <v>28.033333333333335</v>
      </c>
    </row>
    <row r="23" spans="24:31">
      <c r="X23">
        <v>0</v>
      </c>
      <c r="Y23">
        <f t="shared" si="0"/>
        <v>43</v>
      </c>
      <c r="AD23">
        <v>0</v>
      </c>
      <c r="AE23">
        <f t="shared" si="1"/>
        <v>27.666666666666668</v>
      </c>
    </row>
    <row r="24" spans="24:31">
      <c r="X24">
        <v>1</v>
      </c>
      <c r="Y24">
        <f t="shared" si="0"/>
        <v>42.4</v>
      </c>
      <c r="AD24">
        <v>1</v>
      </c>
      <c r="AE24">
        <f t="shared" si="1"/>
        <v>27.3</v>
      </c>
    </row>
    <row r="25" spans="24:31">
      <c r="X25">
        <v>2</v>
      </c>
      <c r="Y25">
        <f t="shared" si="0"/>
        <v>41.8</v>
      </c>
      <c r="AD25">
        <v>2</v>
      </c>
      <c r="AE25">
        <f t="shared" si="1"/>
        <v>26.933333333333334</v>
      </c>
    </row>
    <row r="26" spans="24:31">
      <c r="X26">
        <v>3</v>
      </c>
      <c r="Y26">
        <f t="shared" si="0"/>
        <v>41.2</v>
      </c>
      <c r="AD26">
        <v>3</v>
      </c>
      <c r="AE26">
        <f t="shared" si="1"/>
        <v>26.566666666666666</v>
      </c>
    </row>
    <row r="27" spans="24:31">
      <c r="X27">
        <v>4</v>
      </c>
      <c r="Y27">
        <f t="shared" si="0"/>
        <v>40.6</v>
      </c>
      <c r="AD27">
        <v>4</v>
      </c>
      <c r="AE27">
        <f t="shared" si="1"/>
        <v>26.200000000000003</v>
      </c>
    </row>
    <row r="28" spans="24:31">
      <c r="X28">
        <v>5</v>
      </c>
      <c r="Y28">
        <f t="shared" si="0"/>
        <v>40</v>
      </c>
      <c r="AD28">
        <v>5</v>
      </c>
      <c r="AE28">
        <f t="shared" si="1"/>
        <v>25.833333333333336</v>
      </c>
    </row>
    <row r="29" spans="24:31">
      <c r="X29">
        <v>6</v>
      </c>
      <c r="Y29">
        <f t="shared" si="0"/>
        <v>39.4</v>
      </c>
      <c r="AD29">
        <v>6</v>
      </c>
      <c r="AE29">
        <f t="shared" si="1"/>
        <v>25.466666666666669</v>
      </c>
    </row>
    <row r="30" spans="24:31">
      <c r="X30">
        <v>7</v>
      </c>
      <c r="Y30">
        <f t="shared" si="0"/>
        <v>38.799999999999997</v>
      </c>
      <c r="AD30">
        <v>7</v>
      </c>
      <c r="AE30">
        <f t="shared" si="1"/>
        <v>25.1</v>
      </c>
    </row>
    <row r="31" spans="24:31">
      <c r="X31">
        <v>8</v>
      </c>
      <c r="Y31">
        <f t="shared" si="0"/>
        <v>38.200000000000003</v>
      </c>
      <c r="AD31">
        <v>8</v>
      </c>
      <c r="AE31">
        <f t="shared" si="1"/>
        <v>24.733333333333334</v>
      </c>
    </row>
    <row r="32" spans="24:31">
      <c r="X32">
        <v>9</v>
      </c>
      <c r="Y32">
        <f t="shared" si="0"/>
        <v>37.6</v>
      </c>
      <c r="AD32">
        <v>9</v>
      </c>
      <c r="AE32">
        <f t="shared" si="1"/>
        <v>24.366666666666667</v>
      </c>
    </row>
    <row r="33" spans="24:31">
      <c r="X33">
        <v>10</v>
      </c>
      <c r="Y33">
        <f t="shared" si="0"/>
        <v>37</v>
      </c>
      <c r="AD33">
        <v>10</v>
      </c>
      <c r="AE33">
        <f t="shared" si="1"/>
        <v>24</v>
      </c>
    </row>
    <row r="34" spans="24:31">
      <c r="X34">
        <v>11</v>
      </c>
      <c r="Y34">
        <f t="shared" si="0"/>
        <v>36.4</v>
      </c>
      <c r="AD34">
        <v>11</v>
      </c>
      <c r="AE34">
        <f t="shared" si="1"/>
        <v>23.633333333333333</v>
      </c>
    </row>
    <row r="35" spans="24:31">
      <c r="X35">
        <v>12</v>
      </c>
      <c r="Y35">
        <f t="shared" si="0"/>
        <v>35.799999999999997</v>
      </c>
      <c r="AD35">
        <v>12</v>
      </c>
      <c r="AE35">
        <f t="shared" si="1"/>
        <v>23.266666666666669</v>
      </c>
    </row>
    <row r="36" spans="24:31">
      <c r="X36">
        <v>13</v>
      </c>
      <c r="Y36">
        <f t="shared" si="0"/>
        <v>35.200000000000003</v>
      </c>
      <c r="AD36">
        <v>13</v>
      </c>
      <c r="AE36">
        <f t="shared" si="1"/>
        <v>22.900000000000002</v>
      </c>
    </row>
    <row r="37" spans="24:31">
      <c r="X37">
        <v>14</v>
      </c>
      <c r="Y37">
        <f t="shared" si="0"/>
        <v>34.6</v>
      </c>
      <c r="AD37">
        <v>14</v>
      </c>
      <c r="AE37">
        <f t="shared" si="1"/>
        <v>22.533333333333335</v>
      </c>
    </row>
    <row r="38" spans="24:31">
      <c r="X38">
        <v>15</v>
      </c>
      <c r="Y38">
        <f t="shared" si="0"/>
        <v>34</v>
      </c>
      <c r="AD38">
        <v>15</v>
      </c>
      <c r="AE38">
        <f t="shared" si="1"/>
        <v>22.166666666666668</v>
      </c>
    </row>
  </sheetData>
  <sheetProtection algorithmName="SHA-512" hashValue="4caHyEI4zrmV/U14Ot/1KUEzn/WTJPxXsNjpUlubAtog9E2nEQB44JLI18qyfuXpqG3nwOdm0gOsqCwziNGcKw==" saltValue="eH7pkndu3osVHNJTyFuRq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3:AD117"/>
  <sheetViews>
    <sheetView zoomScale="70" zoomScaleNormal="70" workbookViewId="0">
      <selection activeCell="D91" sqref="D91"/>
    </sheetView>
  </sheetViews>
  <sheetFormatPr defaultColWidth="9" defaultRowHeight="13.8"/>
  <cols>
    <col min="1" max="3" width="9" style="4"/>
    <col min="4" max="4" width="17.6171875" style="4" bestFit="1" customWidth="1"/>
    <col min="5" max="5" width="17.234375" style="4" bestFit="1" customWidth="1"/>
    <col min="6" max="6" width="13.6171875" style="4" customWidth="1"/>
    <col min="7" max="7" width="11.76171875" style="4" customWidth="1"/>
    <col min="8" max="8" width="17.6171875" style="4" bestFit="1" customWidth="1"/>
    <col min="9" max="9" width="17.234375" style="4" customWidth="1"/>
    <col min="10" max="10" width="9.76171875" style="4" bestFit="1" customWidth="1"/>
    <col min="11" max="11" width="5.76171875" style="4" bestFit="1" customWidth="1"/>
    <col min="12" max="12" width="17.6171875" style="4" bestFit="1" customWidth="1"/>
    <col min="13" max="13" width="17.234375" style="4" bestFit="1" customWidth="1"/>
    <col min="14" max="14" width="9.76171875" style="4" bestFit="1" customWidth="1"/>
    <col min="15" max="15" width="10.47265625" style="4" customWidth="1"/>
    <col min="16" max="16" width="7.6171875" style="4" customWidth="1"/>
    <col min="17" max="18" width="13" style="4" bestFit="1" customWidth="1"/>
    <col min="19" max="19" width="6.47265625" style="4" bestFit="1" customWidth="1"/>
    <col min="20" max="20" width="9" style="4" bestFit="1" customWidth="1"/>
    <col min="21" max="21" width="7" style="4" customWidth="1"/>
    <col min="22" max="22" width="9.76171875" style="4" customWidth="1"/>
    <col min="23" max="24" width="16.234375" style="4" customWidth="1"/>
    <col min="25" max="25" width="9.76171875" style="4" bestFit="1" customWidth="1"/>
    <col min="26" max="26" width="9.76171875" style="4" customWidth="1"/>
    <col min="27" max="28" width="9" style="4"/>
    <col min="29" max="29" width="9.234375" style="4" bestFit="1" customWidth="1"/>
    <col min="30" max="16384" width="9" style="4"/>
  </cols>
  <sheetData>
    <row r="3" spans="1:25" ht="14.1">
      <c r="B3" s="5" t="s">
        <v>60</v>
      </c>
    </row>
    <row r="4" spans="1:25">
      <c r="A4" s="8"/>
      <c r="Q4" s="4" t="s">
        <v>154</v>
      </c>
      <c r="X4" s="7"/>
      <c r="Y4" s="7"/>
    </row>
    <row r="5" spans="1:25">
      <c r="A5" s="9" t="s">
        <v>35</v>
      </c>
      <c r="B5" s="4" t="s">
        <v>0</v>
      </c>
      <c r="C5" s="15" t="s">
        <v>1</v>
      </c>
      <c r="D5" s="14" t="s">
        <v>31</v>
      </c>
      <c r="E5" s="14" t="s">
        <v>5</v>
      </c>
      <c r="F5" s="14" t="s">
        <v>4</v>
      </c>
      <c r="G5" s="15" t="s">
        <v>1</v>
      </c>
      <c r="H5" s="14" t="s">
        <v>32</v>
      </c>
      <c r="I5" s="14" t="s">
        <v>6</v>
      </c>
      <c r="J5" s="14" t="s">
        <v>3</v>
      </c>
      <c r="K5" s="15" t="s">
        <v>1</v>
      </c>
      <c r="L5" s="14" t="s">
        <v>33</v>
      </c>
      <c r="M5" s="14" t="s">
        <v>7</v>
      </c>
      <c r="N5" s="14" t="s">
        <v>2</v>
      </c>
      <c r="Q5" s="83" t="s">
        <v>25</v>
      </c>
      <c r="R5" s="83" t="s">
        <v>26</v>
      </c>
      <c r="S5" s="83" t="s">
        <v>28</v>
      </c>
      <c r="T5" s="83" t="s">
        <v>134</v>
      </c>
      <c r="U5" s="83"/>
      <c r="V5" s="83"/>
      <c r="X5" s="7"/>
      <c r="Y5" s="7"/>
    </row>
    <row r="6" spans="1:25">
      <c r="A6" s="8">
        <f>Dobór!P27</f>
        <v>10.8</v>
      </c>
      <c r="B6" s="4">
        <v>-20</v>
      </c>
      <c r="C6" s="15">
        <v>35</v>
      </c>
      <c r="D6" s="14"/>
      <c r="E6" s="14"/>
      <c r="F6" s="16"/>
      <c r="G6" s="15"/>
      <c r="H6" s="14"/>
      <c r="I6" s="14"/>
      <c r="J6" s="16"/>
      <c r="K6" s="15"/>
      <c r="L6" s="14"/>
      <c r="M6" s="14"/>
      <c r="N6" s="16"/>
      <c r="P6" s="8"/>
      <c r="T6" s="60"/>
      <c r="U6" s="4">
        <v>-20</v>
      </c>
      <c r="V6" s="60">
        <f>$G$54</f>
        <v>0.28000000000000003</v>
      </c>
      <c r="X6" s="7"/>
      <c r="Y6" s="7"/>
    </row>
    <row r="7" spans="1:25">
      <c r="A7" s="8"/>
      <c r="B7" s="4">
        <v>-15</v>
      </c>
      <c r="C7" s="15">
        <v>35</v>
      </c>
      <c r="D7" s="14">
        <f>'SCOP 221.A26'!DY10</f>
        <v>5.2</v>
      </c>
      <c r="E7" s="14">
        <f>'SCOP 221.A26'!DZ10</f>
        <v>2.5299999999999998</v>
      </c>
      <c r="F7" s="16">
        <f t="shared" ref="F7:F12" si="0">D7/E7</f>
        <v>2.0553359683794468</v>
      </c>
      <c r="G7" s="15">
        <v>45</v>
      </c>
      <c r="H7" s="14">
        <v>3</v>
      </c>
      <c r="I7" s="14">
        <v>1.96</v>
      </c>
      <c r="J7" s="16">
        <f t="shared" ref="J7:J12" si="1">H7/I7</f>
        <v>1.5306122448979591</v>
      </c>
      <c r="K7" s="15">
        <v>55</v>
      </c>
      <c r="L7" s="16">
        <f>'SCOP 221.A26'!DV10</f>
        <v>3</v>
      </c>
      <c r="M7" s="16">
        <f>'SCOP 221.A26'!DW10</f>
        <v>2.4</v>
      </c>
      <c r="N7" s="16">
        <f t="shared" ref="N7:N12" si="2">L7/M7</f>
        <v>1.25</v>
      </c>
      <c r="P7" s="8"/>
      <c r="Q7" s="4">
        <f>IF(Dobór!$M$18="Ogrzewanie podłogowe 35/28",'Dane dla CO'!D7,IF(Dobór!$M$18="Grzejniki niskotemperaturowe 55/45",'Dane dla CO'!L7,'Dane dla CO'!L7))</f>
        <v>3</v>
      </c>
      <c r="R7" s="4">
        <f>IF(Dobór!$M$18="Ogrzewanie podłogowe 35/28",'Dane dla CO'!E7,IF(Dobór!$M$18="Grzejniki niskotemperaturowe 55/45",'Dane dla CO'!M7,'Dane dla CO'!M7))</f>
        <v>2.4</v>
      </c>
      <c r="S7" s="4">
        <f>IF(Dobór!$M$18="Ogrzewanie podłogowe 35/28",'Dane dla CO'!F7,IF(Dobór!$M$18="Grzejniki niskotemperaturowe 55/45",'Dane dla CO'!N7,'Dane dla CO'!N7))</f>
        <v>1.25</v>
      </c>
      <c r="T7" s="60">
        <f t="shared" ref="T7:T13" si="3">$C$56/S7</f>
        <v>0.48799999999999999</v>
      </c>
      <c r="U7" s="4">
        <v>-15</v>
      </c>
      <c r="V7" s="60">
        <f>$G$54</f>
        <v>0.28000000000000003</v>
      </c>
      <c r="X7" s="7"/>
      <c r="Y7" s="7"/>
    </row>
    <row r="8" spans="1:25">
      <c r="A8" s="8"/>
      <c r="B8" s="4">
        <v>-7</v>
      </c>
      <c r="C8" s="15">
        <v>35</v>
      </c>
      <c r="D8" s="14">
        <f>'SCOP 221.A26'!DY18</f>
        <v>6.4</v>
      </c>
      <c r="E8" s="14">
        <f>'SCOP 221.A26'!DZ18</f>
        <v>2.5299999999999998</v>
      </c>
      <c r="F8" s="16">
        <f t="shared" si="0"/>
        <v>2.5296442687747041</v>
      </c>
      <c r="G8" s="15">
        <v>45</v>
      </c>
      <c r="H8" s="14">
        <v>4.4000000000000004</v>
      </c>
      <c r="I8" s="14">
        <v>2.14</v>
      </c>
      <c r="J8" s="16">
        <f t="shared" si="1"/>
        <v>2.0560747663551404</v>
      </c>
      <c r="K8" s="15">
        <v>55</v>
      </c>
      <c r="L8" s="16">
        <f>'SCOP 221.A26'!DV18</f>
        <v>5</v>
      </c>
      <c r="M8" s="16">
        <f>'SCOP 221.A26'!DW18</f>
        <v>2.48</v>
      </c>
      <c r="N8" s="16">
        <f t="shared" si="2"/>
        <v>2.0161290322580645</v>
      </c>
      <c r="P8" s="8"/>
      <c r="Q8" s="4">
        <f>IF(Dobór!$M$18="Ogrzewanie podłogowe 35/28",'Dane dla CO'!D8,IF(Dobór!$M$18="Grzejniki niskotemperaturowe 55/45",'Dane dla CO'!L8,'Dane dla CO'!L8))</f>
        <v>5</v>
      </c>
      <c r="R8" s="4">
        <f>IF(Dobór!$M$18="Ogrzewanie podłogowe 35/28",'Dane dla CO'!E8,IF(Dobór!$M$18="Grzejniki niskotemperaturowe 55/45",'Dane dla CO'!M8,'Dane dla CO'!M8))</f>
        <v>2.48</v>
      </c>
      <c r="S8" s="4">
        <f>IF(Dobór!$M$18="Ogrzewanie podłogowe 35/28",'Dane dla CO'!F8,IF(Dobór!$M$18="Grzejniki niskotemperaturowe 55/45",'Dane dla CO'!N8,'Dane dla CO'!N8))</f>
        <v>2.0161290322580645</v>
      </c>
      <c r="T8" s="60">
        <f t="shared" si="3"/>
        <v>0.30256</v>
      </c>
      <c r="U8" s="4">
        <v>-7</v>
      </c>
      <c r="V8" s="60">
        <f t="shared" ref="V8:V13" si="4">$G$54</f>
        <v>0.28000000000000003</v>
      </c>
      <c r="X8" s="7"/>
      <c r="Y8" s="7"/>
    </row>
    <row r="9" spans="1:25">
      <c r="A9" s="8"/>
      <c r="B9" s="4">
        <v>2</v>
      </c>
      <c r="C9" s="15">
        <v>35</v>
      </c>
      <c r="D9" s="14">
        <f>'SCOP 221.A26'!DY27</f>
        <v>6.3</v>
      </c>
      <c r="E9" s="14">
        <f>'SCOP 221.A26'!DZ27</f>
        <v>1.7</v>
      </c>
      <c r="F9" s="16">
        <f t="shared" si="0"/>
        <v>3.7058823529411766</v>
      </c>
      <c r="G9" s="15">
        <v>45</v>
      </c>
      <c r="H9" s="14">
        <v>5.3</v>
      </c>
      <c r="I9" s="14">
        <v>2.19</v>
      </c>
      <c r="J9" s="16">
        <f t="shared" si="1"/>
        <v>2.4200913242009134</v>
      </c>
      <c r="K9" s="15">
        <v>55</v>
      </c>
      <c r="L9" s="16">
        <f>'SCOP 221.A26'!DV27</f>
        <v>5.3</v>
      </c>
      <c r="M9" s="16">
        <f>'SCOP 221.A26'!DW27</f>
        <v>2.19</v>
      </c>
      <c r="N9" s="16">
        <f t="shared" si="2"/>
        <v>2.4200913242009134</v>
      </c>
      <c r="P9" s="8"/>
      <c r="Q9" s="4">
        <f>IF(Dobór!$M$18="Ogrzewanie podłogowe 35/28",'Dane dla CO'!D9,IF(Dobór!$M$18="Grzejniki niskotemperaturowe 55/45",'Dane dla CO'!L9,'Dane dla CO'!L9))</f>
        <v>5.3</v>
      </c>
      <c r="R9" s="4">
        <f>IF(Dobór!$M$18="Ogrzewanie podłogowe 35/28",'Dane dla CO'!E9,IF(Dobór!$M$18="Grzejniki niskotemperaturowe 55/45",'Dane dla CO'!M9,'Dane dla CO'!M9))</f>
        <v>2.19</v>
      </c>
      <c r="S9" s="4">
        <f>IF(Dobór!$M$18="Ogrzewanie podłogowe 35/28",'Dane dla CO'!F9,IF(Dobór!$M$18="Grzejniki niskotemperaturowe 55/45",'Dane dla CO'!N9,'Dane dla CO'!N9))</f>
        <v>2.4200913242009134</v>
      </c>
      <c r="T9" s="60">
        <f t="shared" si="3"/>
        <v>0.25205660377358485</v>
      </c>
      <c r="U9" s="4">
        <v>2</v>
      </c>
      <c r="V9" s="60">
        <f t="shared" si="4"/>
        <v>0.28000000000000003</v>
      </c>
      <c r="X9" s="7"/>
      <c r="Y9" s="7"/>
    </row>
    <row r="10" spans="1:25">
      <c r="A10" s="8"/>
      <c r="B10" s="4">
        <v>7</v>
      </c>
      <c r="C10" s="15">
        <v>35</v>
      </c>
      <c r="D10" s="14">
        <f>'SCOP 221.A26'!DY32</f>
        <v>9.5</v>
      </c>
      <c r="E10" s="14">
        <f>'SCOP 221.A26'!DZ32</f>
        <v>1.91</v>
      </c>
      <c r="F10" s="16">
        <f>D10/E10</f>
        <v>4.9738219895287958</v>
      </c>
      <c r="G10" s="15">
        <v>45</v>
      </c>
      <c r="H10" s="14">
        <v>6.8</v>
      </c>
      <c r="I10" s="14">
        <v>2.31</v>
      </c>
      <c r="J10" s="16">
        <f>H10/I10</f>
        <v>2.9437229437229435</v>
      </c>
      <c r="K10" s="15">
        <v>55</v>
      </c>
      <c r="L10" s="16">
        <f>'SCOP 221.A26'!DV32</f>
        <v>7.59</v>
      </c>
      <c r="M10" s="16">
        <f>'SCOP 221.A26'!DW32</f>
        <v>2.1349999999999998</v>
      </c>
      <c r="N10" s="16">
        <f>L10/M10</f>
        <v>3.555035128805621</v>
      </c>
      <c r="P10" s="8"/>
      <c r="Q10" s="4">
        <f>IF(Dobór!$M$18="Ogrzewanie podłogowe 35/28",'Dane dla CO'!D10,IF(Dobór!$M$18="Grzejniki niskotemperaturowe 55/45",'Dane dla CO'!L10,'Dane dla CO'!L10))</f>
        <v>7.59</v>
      </c>
      <c r="R10" s="4">
        <f>IF(Dobór!$M$18="Ogrzewanie podłogowe 35/28",'Dane dla CO'!E10,IF(Dobór!$M$18="Grzejniki niskotemperaturowe 55/45",'Dane dla CO'!M10,'Dane dla CO'!M10))</f>
        <v>2.1349999999999998</v>
      </c>
      <c r="S10" s="4">
        <f>IF(Dobór!$M$18="Ogrzewanie podłogowe 35/28",'Dane dla CO'!F10,IF(Dobór!$M$18="Grzejniki niskotemperaturowe 55/45",'Dane dla CO'!N10,'Dane dla CO'!N10))</f>
        <v>3.555035128805621</v>
      </c>
      <c r="T10" s="60">
        <f t="shared" si="3"/>
        <v>0.17158761528326744</v>
      </c>
      <c r="U10" s="4">
        <v>7</v>
      </c>
      <c r="V10" s="60">
        <f t="shared" si="4"/>
        <v>0.28000000000000003</v>
      </c>
      <c r="X10" s="7"/>
      <c r="Y10" s="7"/>
    </row>
    <row r="11" spans="1:25">
      <c r="A11" s="8"/>
      <c r="B11" s="4">
        <v>10</v>
      </c>
      <c r="C11" s="15">
        <v>35</v>
      </c>
      <c r="D11" s="14">
        <f>'SCOP 221.A26'!DY35</f>
        <v>10</v>
      </c>
      <c r="E11" s="14">
        <f>'SCOP 221.A26'!DZ35</f>
        <v>1.91</v>
      </c>
      <c r="F11" s="16">
        <f t="shared" si="0"/>
        <v>5.2356020942408383</v>
      </c>
      <c r="G11" s="15">
        <v>45</v>
      </c>
      <c r="H11" s="14">
        <v>7.3</v>
      </c>
      <c r="I11" s="14">
        <v>2.323</v>
      </c>
      <c r="J11" s="16">
        <f t="shared" si="1"/>
        <v>3.1424881618596641</v>
      </c>
      <c r="K11" s="15">
        <v>55</v>
      </c>
      <c r="L11" s="16">
        <f>'SCOP 221.A26'!DV35</f>
        <v>8.5</v>
      </c>
      <c r="M11" s="16">
        <f>'SCOP 221.A26'!DW35</f>
        <v>1.91</v>
      </c>
      <c r="N11" s="16">
        <f t="shared" si="2"/>
        <v>4.4502617801047126</v>
      </c>
      <c r="P11" s="8"/>
      <c r="Q11" s="4">
        <f>IF(Dobór!$M$18="Ogrzewanie podłogowe 35/28",'Dane dla CO'!D11,IF(Dobór!$M$18="Grzejniki niskotemperaturowe 55/45",'Dane dla CO'!L11,'Dane dla CO'!L11))</f>
        <v>8.5</v>
      </c>
      <c r="R11" s="4">
        <f>IF(Dobór!$M$18="Ogrzewanie podłogowe 35/28",'Dane dla CO'!E11,IF(Dobór!$M$18="Grzejniki niskotemperaturowe 55/45",'Dane dla CO'!M11,'Dane dla CO'!M11))</f>
        <v>1.91</v>
      </c>
      <c r="S11" s="4">
        <f>IF(Dobór!$M$18="Ogrzewanie podłogowe 35/28",'Dane dla CO'!F11,IF(Dobór!$M$18="Grzejniki niskotemperaturowe 55/45",'Dane dla CO'!N11,'Dane dla CO'!N11))</f>
        <v>4.4502617801047126</v>
      </c>
      <c r="T11" s="60">
        <f t="shared" si="3"/>
        <v>0.13707058823529408</v>
      </c>
      <c r="U11" s="4">
        <v>10</v>
      </c>
      <c r="V11" s="60">
        <f t="shared" si="4"/>
        <v>0.28000000000000003</v>
      </c>
      <c r="X11" s="7"/>
      <c r="Y11" s="7"/>
    </row>
    <row r="12" spans="1:25">
      <c r="A12" s="8"/>
      <c r="B12" s="4">
        <v>12</v>
      </c>
      <c r="C12" s="15">
        <v>35</v>
      </c>
      <c r="D12" s="16">
        <f>'SCOP 221.A26'!DY37</f>
        <v>10.199999999999999</v>
      </c>
      <c r="E12" s="14">
        <f>'SCOP 221.A26'!DZ37</f>
        <v>1.91</v>
      </c>
      <c r="F12" s="16">
        <f t="shared" si="0"/>
        <v>5.3403141361256541</v>
      </c>
      <c r="G12" s="15">
        <v>45</v>
      </c>
      <c r="H12" s="16">
        <f>H11+(H14-H11)/10*2</f>
        <v>5.84</v>
      </c>
      <c r="I12" s="14">
        <v>2.33</v>
      </c>
      <c r="J12" s="16">
        <f t="shared" si="1"/>
        <v>2.5064377682403434</v>
      </c>
      <c r="K12" s="15">
        <v>55</v>
      </c>
      <c r="L12" s="16">
        <f>'SCOP 221.A26'!DV37</f>
        <v>8.7799999999999994</v>
      </c>
      <c r="M12" s="16">
        <f>'SCOP 221.A26'!DW37</f>
        <v>1.9079999999999999</v>
      </c>
      <c r="N12" s="16">
        <f t="shared" si="2"/>
        <v>4.6016771488469601</v>
      </c>
      <c r="P12" s="8"/>
      <c r="Q12" s="4">
        <f>IF(Dobór!$M$18="Ogrzewanie podłogowe 35/28",'Dane dla CO'!D12,IF(Dobór!$M$18="Grzejniki niskotemperaturowe 55/45",'Dane dla CO'!L12,'Dane dla CO'!L12))</f>
        <v>8.7799999999999994</v>
      </c>
      <c r="R12" s="4">
        <f>IF(Dobór!$M$18="Ogrzewanie podłogowe 35/28",'Dane dla CO'!E12,IF(Dobór!$M$18="Grzejniki niskotemperaturowe 55/45",'Dane dla CO'!M12,'Dane dla CO'!M12))</f>
        <v>1.9079999999999999</v>
      </c>
      <c r="S12" s="4">
        <f>IF(Dobór!$M$18="Ogrzewanie podłogowe 35/28",'Dane dla CO'!F12,IF(Dobór!$M$18="Grzejniki niskotemperaturowe 55/45",'Dane dla CO'!N12,'Dane dla CO'!N12))</f>
        <v>4.6016771488469601</v>
      </c>
      <c r="T12" s="60">
        <f t="shared" si="3"/>
        <v>0.13256036446469249</v>
      </c>
      <c r="U12" s="4">
        <v>12</v>
      </c>
      <c r="V12" s="60">
        <f t="shared" si="4"/>
        <v>0.28000000000000003</v>
      </c>
      <c r="X12" s="7"/>
      <c r="Y12" s="7"/>
    </row>
    <row r="13" spans="1:25">
      <c r="A13" s="8"/>
      <c r="B13" s="4">
        <v>15</v>
      </c>
      <c r="C13" s="15">
        <v>35</v>
      </c>
      <c r="D13" s="14">
        <f>'SCOP 221.A26'!DY40</f>
        <v>10.5</v>
      </c>
      <c r="E13" s="14">
        <f>'SCOP 221.A26'!DZ40</f>
        <v>1.9</v>
      </c>
      <c r="F13" s="16">
        <f>D13/E13</f>
        <v>5.5263157894736841</v>
      </c>
      <c r="G13" s="15">
        <v>45</v>
      </c>
      <c r="H13" s="14">
        <f>(H11+H14)/2</f>
        <v>3.65</v>
      </c>
      <c r="I13" s="14">
        <v>2.35</v>
      </c>
      <c r="J13" s="16">
        <f>H13/I13</f>
        <v>1.553191489361702</v>
      </c>
      <c r="K13" s="15">
        <v>55</v>
      </c>
      <c r="L13" s="16">
        <f>'SCOP 221.A26'!DV40</f>
        <v>9.1999999999999993</v>
      </c>
      <c r="M13" s="16">
        <f>'SCOP 221.A26'!DW40</f>
        <v>1.9049999999999998</v>
      </c>
      <c r="N13" s="16">
        <f>L13/M13</f>
        <v>4.8293963254593173</v>
      </c>
      <c r="P13" s="8"/>
      <c r="Q13" s="4">
        <f>IF(Dobór!$M$18="Ogrzewanie podłogowe 35/28",'Dane dla CO'!D13,IF(Dobór!$M$18="Grzejniki niskotemperaturowe 55/45",'Dane dla CO'!L13,'Dane dla CO'!L13))</f>
        <v>9.1999999999999993</v>
      </c>
      <c r="R13" s="4">
        <f>IF(Dobór!$M$18="Ogrzewanie podłogowe 35/28",'Dane dla CO'!E13,IF(Dobór!$M$18="Grzejniki niskotemperaturowe 55/45",'Dane dla CO'!M13,'Dane dla CO'!M13))</f>
        <v>1.9049999999999998</v>
      </c>
      <c r="S13" s="4">
        <f>IF(Dobór!$M$18="Ogrzewanie podłogowe 35/28",'Dane dla CO'!F13,IF(Dobór!$M$18="Grzejniki niskotemperaturowe 55/45",'Dane dla CO'!N13,'Dane dla CO'!N13))</f>
        <v>4.8293963254593173</v>
      </c>
      <c r="T13" s="60">
        <f t="shared" si="3"/>
        <v>0.12630978260869566</v>
      </c>
      <c r="U13" s="4">
        <v>15</v>
      </c>
      <c r="V13" s="60">
        <f t="shared" si="4"/>
        <v>0.28000000000000003</v>
      </c>
      <c r="X13" s="7"/>
      <c r="Y13" s="7"/>
    </row>
    <row r="14" spans="1:25">
      <c r="A14" s="8"/>
      <c r="B14" s="4">
        <v>20</v>
      </c>
      <c r="C14" s="15">
        <v>35</v>
      </c>
      <c r="D14" s="14"/>
      <c r="E14" s="14"/>
      <c r="F14" s="16"/>
      <c r="G14" s="15"/>
      <c r="H14" s="14"/>
      <c r="I14" s="14"/>
      <c r="J14" s="16"/>
      <c r="K14" s="15"/>
      <c r="L14" s="14"/>
      <c r="M14" s="14"/>
      <c r="N14" s="16"/>
      <c r="P14" s="8"/>
      <c r="X14" s="7"/>
      <c r="Y14" s="7"/>
    </row>
    <row r="15" spans="1:25">
      <c r="A15" s="8"/>
      <c r="B15" s="4">
        <v>30</v>
      </c>
      <c r="C15" s="15">
        <v>35</v>
      </c>
      <c r="D15" s="14"/>
      <c r="E15" s="14"/>
      <c r="F15" s="16"/>
      <c r="G15" s="15"/>
      <c r="H15" s="14"/>
      <c r="I15" s="14"/>
      <c r="J15" s="16"/>
      <c r="K15" s="15"/>
      <c r="L15" s="14"/>
      <c r="M15" s="14"/>
      <c r="N15" s="16"/>
      <c r="X15" s="7"/>
      <c r="Y15" s="7"/>
    </row>
    <row r="16" spans="1:25">
      <c r="A16" s="8"/>
      <c r="X16" s="7"/>
      <c r="Y16" s="7"/>
    </row>
    <row r="17" spans="1:30">
      <c r="A17" s="9" t="s">
        <v>34</v>
      </c>
      <c r="B17" s="4" t="s">
        <v>0</v>
      </c>
      <c r="C17" s="15" t="s">
        <v>1</v>
      </c>
      <c r="D17" s="14" t="s">
        <v>31</v>
      </c>
      <c r="E17" s="14" t="s">
        <v>5</v>
      </c>
      <c r="F17" s="14" t="s">
        <v>4</v>
      </c>
      <c r="G17" s="15" t="s">
        <v>1</v>
      </c>
      <c r="H17" s="14" t="s">
        <v>32</v>
      </c>
      <c r="I17" s="14" t="s">
        <v>6</v>
      </c>
      <c r="J17" s="14" t="s">
        <v>3</v>
      </c>
      <c r="K17" s="15" t="s">
        <v>1</v>
      </c>
      <c r="L17" s="14" t="s">
        <v>33</v>
      </c>
      <c r="M17" s="14" t="s">
        <v>7</v>
      </c>
      <c r="N17" s="14" t="s">
        <v>2</v>
      </c>
      <c r="Q17" s="83" t="s">
        <v>25</v>
      </c>
      <c r="R17" s="83" t="s">
        <v>27</v>
      </c>
      <c r="S17" s="83" t="s">
        <v>28</v>
      </c>
      <c r="T17" s="83"/>
      <c r="U17" s="83"/>
      <c r="V17" s="83"/>
      <c r="X17" s="7"/>
      <c r="Y17" s="7"/>
    </row>
    <row r="18" spans="1:30">
      <c r="A18" s="8">
        <f>Dobór!P27</f>
        <v>10.8</v>
      </c>
      <c r="B18" s="4">
        <v>-20</v>
      </c>
      <c r="C18" s="15">
        <v>35</v>
      </c>
      <c r="D18" s="14">
        <v>7.04</v>
      </c>
      <c r="E18" s="14">
        <v>3.09</v>
      </c>
      <c r="F18" s="16">
        <f t="shared" ref="F18:F27" si="5">D18/E18</f>
        <v>2.2783171521035599</v>
      </c>
      <c r="G18" s="15">
        <v>45</v>
      </c>
      <c r="H18" s="14">
        <v>6.22</v>
      </c>
      <c r="I18" s="14">
        <v>3.54</v>
      </c>
      <c r="J18" s="16">
        <f>H18/I18</f>
        <v>1.7570621468926553</v>
      </c>
      <c r="K18" s="15">
        <v>50</v>
      </c>
      <c r="L18" s="16">
        <f>'SCOP 221.A29'!DV5</f>
        <v>6</v>
      </c>
      <c r="M18" s="16">
        <f>'SCOP 221.A29'!DW5</f>
        <v>4.2</v>
      </c>
      <c r="N18" s="16">
        <f>L18/M18</f>
        <v>1.4285714285714286</v>
      </c>
      <c r="P18" s="8"/>
      <c r="Q18" s="4">
        <f>IF(Dobór!$M$18="Ogrzewanie podłogowe 35/28",'Dane dla CO'!D18,IF(Dobór!$M$18="Grzejniki niskotemperaturowe 55/45",'Dane dla CO'!L18,'Dane dla CO'!L18))</f>
        <v>6</v>
      </c>
      <c r="R18" s="4">
        <f>IF(Dobór!$M$18="Ogrzewanie podłogowe 35/28",'Dane dla CO'!E18,IF(Dobór!$M$18="Grzejniki niskotemperaturowe 55/45",'Dane dla CO'!M18,'Dane dla CO'!M18))</f>
        <v>4.2</v>
      </c>
      <c r="S18" s="4">
        <f>IF(Dobór!$M$18="Ogrzewanie podłogowe 35/28",'Dane dla CO'!F18,IF(Dobór!$M$18="Grzejniki niskotemperaturowe 55/45",'Dane dla CO'!N18,'Dane dla CO'!N18))</f>
        <v>1.4285714285714286</v>
      </c>
      <c r="T18" s="60">
        <f>$C$56/S18</f>
        <v>0.42699999999999999</v>
      </c>
      <c r="U18" s="4">
        <v>-20</v>
      </c>
      <c r="V18" s="60">
        <f>$G$54</f>
        <v>0.28000000000000003</v>
      </c>
      <c r="X18" s="7"/>
      <c r="Y18" s="7"/>
    </row>
    <row r="19" spans="1:30">
      <c r="A19" s="8"/>
      <c r="B19" s="4">
        <v>-15</v>
      </c>
      <c r="C19" s="15">
        <v>35</v>
      </c>
      <c r="D19" s="14">
        <v>8.01</v>
      </c>
      <c r="E19" s="14">
        <v>3.1</v>
      </c>
      <c r="F19" s="16">
        <f t="shared" si="5"/>
        <v>2.5838709677419351</v>
      </c>
      <c r="G19" s="15">
        <v>45</v>
      </c>
      <c r="H19" s="14">
        <v>7.2</v>
      </c>
      <c r="I19" s="14">
        <v>3.56</v>
      </c>
      <c r="J19" s="16">
        <f t="shared" ref="J19:J27" si="6">H19/I19</f>
        <v>2.0224719101123596</v>
      </c>
      <c r="K19" s="15">
        <v>55</v>
      </c>
      <c r="L19" s="16">
        <f>'SCOP 221.A29'!DV10</f>
        <v>7</v>
      </c>
      <c r="M19" s="16">
        <f>'SCOP 221.A29'!DW10</f>
        <v>4.07</v>
      </c>
      <c r="N19" s="16">
        <f t="shared" ref="N19:N25" si="7">L19/M19</f>
        <v>1.7199017199017197</v>
      </c>
      <c r="P19" s="8"/>
      <c r="Q19" s="4">
        <f>IF(Dobór!$M$18="Ogrzewanie podłogowe 35/28",'Dane dla CO'!D19,IF(Dobór!$M$18="Grzejniki niskotemperaturowe 55/45",'Dane dla CO'!L19,'Dane dla CO'!L19))</f>
        <v>7</v>
      </c>
      <c r="R19" s="4">
        <f>IF(Dobór!$M$18="Ogrzewanie podłogowe 35/28",'Dane dla CO'!E19,IF(Dobór!$M$18="Grzejniki niskotemperaturowe 55/45",'Dane dla CO'!M19,'Dane dla CO'!M19))</f>
        <v>4.07</v>
      </c>
      <c r="S19" s="4">
        <f>IF(Dobór!$M$18="Ogrzewanie podłogowe 35/28",'Dane dla CO'!F19,IF(Dobór!$M$18="Grzejniki niskotemperaturowe 55/45",'Dane dla CO'!N19,'Dane dla CO'!N19))</f>
        <v>1.7199017199017197</v>
      </c>
      <c r="T19" s="60">
        <f t="shared" ref="T19:T25" si="8">$C$56/S19</f>
        <v>0.35467142857142858</v>
      </c>
      <c r="U19" s="4">
        <v>-15</v>
      </c>
      <c r="V19" s="60">
        <f t="shared" ref="V19:V25" si="9">$G$54</f>
        <v>0.28000000000000003</v>
      </c>
      <c r="X19" s="7"/>
      <c r="Y19" s="7"/>
    </row>
    <row r="20" spans="1:30">
      <c r="A20" s="8"/>
      <c r="B20" s="4">
        <v>-7</v>
      </c>
      <c r="C20" s="15">
        <v>35</v>
      </c>
      <c r="D20" s="14">
        <v>9.57</v>
      </c>
      <c r="E20" s="14">
        <v>3.11</v>
      </c>
      <c r="F20" s="16">
        <f t="shared" si="5"/>
        <v>3.077170418006431</v>
      </c>
      <c r="G20" s="15">
        <v>45</v>
      </c>
      <c r="H20" s="14">
        <v>8.77</v>
      </c>
      <c r="I20" s="14">
        <v>3.59</v>
      </c>
      <c r="J20" s="16">
        <f t="shared" si="6"/>
        <v>2.4428969359331476</v>
      </c>
      <c r="K20" s="15">
        <v>55</v>
      </c>
      <c r="L20" s="16">
        <f>'SCOP 221.A29'!DV18</f>
        <v>8.3650000000000002</v>
      </c>
      <c r="M20" s="16">
        <f>'SCOP 221.A29'!DW18</f>
        <v>3.7949999999999999</v>
      </c>
      <c r="N20" s="16">
        <f t="shared" si="7"/>
        <v>2.2042160737812915</v>
      </c>
      <c r="P20" s="8"/>
      <c r="Q20" s="4">
        <f>IF(Dobór!$M$18="Ogrzewanie podłogowe 35/28",'Dane dla CO'!D20,IF(Dobór!$M$18="Grzejniki niskotemperaturowe 55/45",'Dane dla CO'!L20,'Dane dla CO'!L20))</f>
        <v>8.3650000000000002</v>
      </c>
      <c r="R20" s="4">
        <f>IF(Dobór!$M$18="Ogrzewanie podłogowe 35/28",'Dane dla CO'!E20,IF(Dobór!$M$18="Grzejniki niskotemperaturowe 55/45",'Dane dla CO'!M20,'Dane dla CO'!M20))</f>
        <v>3.7949999999999999</v>
      </c>
      <c r="S20" s="4">
        <f>IF(Dobór!$M$18="Ogrzewanie podłogowe 35/28",'Dane dla CO'!F20,IF(Dobór!$M$18="Grzejniki niskotemperaturowe 55/45",'Dane dla CO'!N20,'Dane dla CO'!N20))</f>
        <v>2.2042160737812915</v>
      </c>
      <c r="T20" s="60">
        <f t="shared" si="8"/>
        <v>0.27674237895995213</v>
      </c>
      <c r="U20" s="4">
        <v>-7</v>
      </c>
      <c r="V20" s="60">
        <f t="shared" si="9"/>
        <v>0.28000000000000003</v>
      </c>
      <c r="X20" s="7"/>
      <c r="Y20" s="7"/>
      <c r="AD20" s="8"/>
    </row>
    <row r="21" spans="1:30">
      <c r="A21" s="8"/>
      <c r="B21" s="4">
        <v>2</v>
      </c>
      <c r="C21" s="15">
        <v>35</v>
      </c>
      <c r="D21" s="14">
        <v>7.57</v>
      </c>
      <c r="E21" s="14">
        <v>1.99</v>
      </c>
      <c r="F21" s="16">
        <f t="shared" si="5"/>
        <v>3.8040201005025129</v>
      </c>
      <c r="G21" s="15">
        <v>45</v>
      </c>
      <c r="H21" s="14">
        <v>6.85</v>
      </c>
      <c r="I21" s="14">
        <v>2.46</v>
      </c>
      <c r="J21" s="16">
        <f t="shared" si="6"/>
        <v>2.7845528455284554</v>
      </c>
      <c r="K21" s="15">
        <v>55</v>
      </c>
      <c r="L21" s="16">
        <f>'SCOP 221.A29'!DV27</f>
        <v>6.85</v>
      </c>
      <c r="M21" s="16">
        <f>'SCOP 221.A29'!DW27</f>
        <v>2.46</v>
      </c>
      <c r="N21" s="16">
        <f t="shared" si="7"/>
        <v>2.7845528455284554</v>
      </c>
      <c r="P21" s="8"/>
      <c r="Q21" s="4">
        <f>IF(Dobór!$M$18="Ogrzewanie podłogowe 35/28",'Dane dla CO'!D21,IF(Dobór!$M$18="Grzejniki niskotemperaturowe 55/45",'Dane dla CO'!L21,'Dane dla CO'!L21))</f>
        <v>6.85</v>
      </c>
      <c r="R21" s="4">
        <f>IF(Dobór!$M$18="Ogrzewanie podłogowe 35/28",'Dane dla CO'!E21,IF(Dobór!$M$18="Grzejniki niskotemperaturowe 55/45",'Dane dla CO'!M21,'Dane dla CO'!M21))</f>
        <v>2.46</v>
      </c>
      <c r="S21" s="4">
        <f>IF(Dobór!$M$18="Ogrzewanie podłogowe 35/28",'Dane dla CO'!F21,IF(Dobór!$M$18="Grzejniki niskotemperaturowe 55/45",'Dane dla CO'!N21,'Dane dla CO'!N21))</f>
        <v>2.7845528455284554</v>
      </c>
      <c r="T21" s="60">
        <f t="shared" si="8"/>
        <v>0.21906569343065693</v>
      </c>
      <c r="U21" s="4">
        <v>2</v>
      </c>
      <c r="V21" s="60">
        <f t="shared" si="9"/>
        <v>0.28000000000000003</v>
      </c>
      <c r="X21" s="7"/>
      <c r="Y21" s="7"/>
      <c r="AD21" s="8"/>
    </row>
    <row r="22" spans="1:30">
      <c r="A22" s="8"/>
      <c r="B22" s="4">
        <v>7</v>
      </c>
      <c r="C22" s="15">
        <v>35</v>
      </c>
      <c r="D22" s="14">
        <v>10.16</v>
      </c>
      <c r="E22" s="14">
        <v>2</v>
      </c>
      <c r="F22" s="16">
        <f t="shared" si="5"/>
        <v>5.08</v>
      </c>
      <c r="G22" s="15">
        <v>45</v>
      </c>
      <c r="H22" s="14">
        <v>8.7899999999999991</v>
      </c>
      <c r="I22" s="14">
        <v>2.48</v>
      </c>
      <c r="J22" s="16">
        <f t="shared" si="6"/>
        <v>3.544354838709677</v>
      </c>
      <c r="K22" s="15">
        <v>55</v>
      </c>
      <c r="L22" s="16">
        <f>'SCOP 221.A29'!DV32</f>
        <v>9.4749999999999996</v>
      </c>
      <c r="M22" s="16">
        <f>'SCOP 221.A29'!DW32</f>
        <v>2.2400000000000002</v>
      </c>
      <c r="N22" s="16">
        <f t="shared" si="7"/>
        <v>4.2299107142857135</v>
      </c>
      <c r="P22" s="8"/>
      <c r="Q22" s="4">
        <f>IF(Dobór!$M$18="Ogrzewanie podłogowe 35/28",'Dane dla CO'!D22,IF(Dobór!$M$18="Grzejniki niskotemperaturowe 55/45",'Dane dla CO'!L22,'Dane dla CO'!L22))</f>
        <v>9.4749999999999996</v>
      </c>
      <c r="R22" s="4">
        <f>IF(Dobór!$M$18="Ogrzewanie podłogowe 35/28",'Dane dla CO'!E22,IF(Dobór!$M$18="Grzejniki niskotemperaturowe 55/45",'Dane dla CO'!M22,'Dane dla CO'!M22))</f>
        <v>2.2400000000000002</v>
      </c>
      <c r="S22" s="4">
        <f>IF(Dobór!$M$18="Ogrzewanie podłogowe 35/28",'Dane dla CO'!F22,IF(Dobór!$M$18="Grzejniki niskotemperaturowe 55/45",'Dane dla CO'!N22,'Dane dla CO'!N22))</f>
        <v>4.2299107142857135</v>
      </c>
      <c r="T22" s="60">
        <f t="shared" si="8"/>
        <v>0.14421108179419528</v>
      </c>
      <c r="U22" s="4">
        <v>7</v>
      </c>
      <c r="V22" s="60">
        <f t="shared" si="9"/>
        <v>0.28000000000000003</v>
      </c>
      <c r="X22" s="7"/>
      <c r="Y22" s="7"/>
      <c r="AD22" s="8"/>
    </row>
    <row r="23" spans="1:30">
      <c r="A23" s="8"/>
      <c r="B23" s="4">
        <v>10</v>
      </c>
      <c r="C23" s="15">
        <v>35</v>
      </c>
      <c r="D23" s="14">
        <v>10.51</v>
      </c>
      <c r="E23" s="14">
        <v>1.98</v>
      </c>
      <c r="F23" s="16">
        <f t="shared" si="5"/>
        <v>5.308080808080808</v>
      </c>
      <c r="G23" s="15">
        <v>45</v>
      </c>
      <c r="H23" s="14">
        <v>9.16</v>
      </c>
      <c r="I23" s="14">
        <v>2.44</v>
      </c>
      <c r="J23" s="16">
        <f t="shared" si="6"/>
        <v>3.7540983606557377</v>
      </c>
      <c r="K23" s="15">
        <v>55</v>
      </c>
      <c r="L23" s="16">
        <f>'SCOP 221.A29'!DV35</f>
        <v>10.51</v>
      </c>
      <c r="M23" s="16">
        <f>'SCOP 221.A29'!DW35</f>
        <v>1.98</v>
      </c>
      <c r="N23" s="16">
        <f t="shared" si="7"/>
        <v>5.308080808080808</v>
      </c>
      <c r="P23" s="8"/>
      <c r="Q23" s="4">
        <f>IF(Dobór!$M$18="Ogrzewanie podłogowe 35/28",'Dane dla CO'!D23,IF(Dobór!$M$18="Grzejniki niskotemperaturowe 55/45",'Dane dla CO'!L23,'Dane dla CO'!L23))</f>
        <v>10.51</v>
      </c>
      <c r="R23" s="4">
        <f>IF(Dobór!$M$18="Ogrzewanie podłogowe 35/28",'Dane dla CO'!E23,IF(Dobór!$M$18="Grzejniki niskotemperaturowe 55/45",'Dane dla CO'!M23,'Dane dla CO'!M23))</f>
        <v>1.98</v>
      </c>
      <c r="S23" s="4">
        <f>IF(Dobór!$M$18="Ogrzewanie podłogowe 35/28",'Dane dla CO'!F23,IF(Dobór!$M$18="Grzejniki niskotemperaturowe 55/45",'Dane dla CO'!N23,'Dane dla CO'!N23))</f>
        <v>5.308080808080808</v>
      </c>
      <c r="T23" s="60">
        <f t="shared" si="8"/>
        <v>0.11491912464319695</v>
      </c>
      <c r="U23" s="4">
        <v>10</v>
      </c>
      <c r="V23" s="60">
        <f t="shared" si="9"/>
        <v>0.28000000000000003</v>
      </c>
      <c r="X23" s="7"/>
      <c r="Y23" s="7"/>
    </row>
    <row r="24" spans="1:30">
      <c r="A24" s="8"/>
      <c r="B24" s="4">
        <v>12</v>
      </c>
      <c r="C24" s="15">
        <v>35</v>
      </c>
      <c r="D24" s="16">
        <f>D23+(D26-D23)/10*2</f>
        <v>10.741999999999999</v>
      </c>
      <c r="E24" s="14">
        <v>1.94</v>
      </c>
      <c r="F24" s="16">
        <f t="shared" si="5"/>
        <v>5.5371134020618555</v>
      </c>
      <c r="G24" s="15">
        <v>45</v>
      </c>
      <c r="H24" s="16">
        <f>H23+(H26-H23)/10*2</f>
        <v>9.4079999999999995</v>
      </c>
      <c r="I24" s="14">
        <f>(I23+I26)/2</f>
        <v>2.3849999999999998</v>
      </c>
      <c r="J24" s="16">
        <f t="shared" si="6"/>
        <v>3.9446540880503145</v>
      </c>
      <c r="K24" s="15">
        <v>55</v>
      </c>
      <c r="L24" s="16">
        <f>'SCOP 221.A29'!DV37</f>
        <v>10.741999999999999</v>
      </c>
      <c r="M24" s="16">
        <f>'SCOP 221.A29'!DW37</f>
        <v>1.964</v>
      </c>
      <c r="N24" s="16">
        <f t="shared" si="7"/>
        <v>5.4694501018329937</v>
      </c>
      <c r="P24" s="8"/>
      <c r="Q24" s="4">
        <f>IF(Dobór!$M$18="Ogrzewanie podłogowe 35/28",'Dane dla CO'!D24,IF(Dobór!$M$18="Grzejniki niskotemperaturowe 55/45",'Dane dla CO'!L24,'Dane dla CO'!L24))</f>
        <v>10.741999999999999</v>
      </c>
      <c r="R24" s="4">
        <f>IF(Dobór!$M$18="Ogrzewanie podłogowe 35/28",'Dane dla CO'!E24,IF(Dobór!$M$18="Grzejniki niskotemperaturowe 55/45",'Dane dla CO'!M24,'Dane dla CO'!M24))</f>
        <v>1.964</v>
      </c>
      <c r="S24" s="4">
        <f>IF(Dobór!$M$18="Ogrzewanie podłogowe 35/28",'Dane dla CO'!F24,IF(Dobór!$M$18="Grzejniki niskotemperaturowe 55/45",'Dane dla CO'!N24,'Dane dla CO'!N24))</f>
        <v>5.4694501018329937</v>
      </c>
      <c r="T24" s="60">
        <f t="shared" si="8"/>
        <v>0.11152857940793148</v>
      </c>
      <c r="U24" s="4">
        <v>12</v>
      </c>
      <c r="V24" s="60">
        <f t="shared" si="9"/>
        <v>0.28000000000000003</v>
      </c>
      <c r="X24" s="7"/>
      <c r="Y24" s="7"/>
    </row>
    <row r="25" spans="1:30">
      <c r="A25" s="8"/>
      <c r="B25" s="4">
        <v>15</v>
      </c>
      <c r="C25" s="15">
        <v>35</v>
      </c>
      <c r="D25" s="14">
        <f>(D23+D26)/2</f>
        <v>11.09</v>
      </c>
      <c r="E25" s="14">
        <v>1.93</v>
      </c>
      <c r="F25" s="16">
        <f t="shared" si="5"/>
        <v>5.7461139896373057</v>
      </c>
      <c r="G25" s="15">
        <v>45</v>
      </c>
      <c r="H25" s="14">
        <f>(H23+H26)/2</f>
        <v>9.7800000000000011</v>
      </c>
      <c r="I25" s="14">
        <v>2.35</v>
      </c>
      <c r="J25" s="16">
        <f t="shared" si="6"/>
        <v>4.1617021276595745</v>
      </c>
      <c r="K25" s="15">
        <v>55</v>
      </c>
      <c r="L25" s="16">
        <f>'SCOP 221.A29'!DV40</f>
        <v>11.09</v>
      </c>
      <c r="M25" s="16">
        <f>'SCOP 221.A29'!DW40</f>
        <v>1.94</v>
      </c>
      <c r="N25" s="16">
        <f t="shared" si="7"/>
        <v>5.7164948453608249</v>
      </c>
      <c r="P25" s="8"/>
      <c r="Q25" s="4">
        <f>IF(Dobór!$M$18="Ogrzewanie podłogowe 35/28",'Dane dla CO'!D25,IF(Dobór!$M$18="Grzejniki niskotemperaturowe 55/45",'Dane dla CO'!L25,'Dane dla CO'!L25))</f>
        <v>11.09</v>
      </c>
      <c r="R25" s="4">
        <f>IF(Dobór!$M$18="Ogrzewanie podłogowe 35/28",'Dane dla CO'!E25,IF(Dobór!$M$18="Grzejniki niskotemperaturowe 55/45",'Dane dla CO'!M25,'Dane dla CO'!M25))</f>
        <v>1.94</v>
      </c>
      <c r="S25" s="4">
        <f>IF(Dobór!$M$18="Ogrzewanie podłogowe 35/28",'Dane dla CO'!F25,IF(Dobór!$M$18="Grzejniki niskotemperaturowe 55/45",'Dane dla CO'!N25,'Dane dla CO'!N25))</f>
        <v>5.7164948453608249</v>
      </c>
      <c r="T25" s="60">
        <f t="shared" si="8"/>
        <v>0.1067087466185753</v>
      </c>
      <c r="U25" s="4">
        <v>15</v>
      </c>
      <c r="V25" s="60">
        <f t="shared" si="9"/>
        <v>0.28000000000000003</v>
      </c>
      <c r="X25" s="7"/>
      <c r="Y25" s="7"/>
    </row>
    <row r="26" spans="1:30">
      <c r="A26" s="8"/>
      <c r="B26" s="4">
        <v>20</v>
      </c>
      <c r="C26" s="15">
        <v>35</v>
      </c>
      <c r="D26" s="14">
        <v>11.67</v>
      </c>
      <c r="E26" s="14">
        <v>1.9</v>
      </c>
      <c r="F26" s="16">
        <f t="shared" si="5"/>
        <v>6.1421052631578954</v>
      </c>
      <c r="G26" s="15">
        <v>45</v>
      </c>
      <c r="H26" s="14">
        <v>10.4</v>
      </c>
      <c r="I26" s="14">
        <v>2.33</v>
      </c>
      <c r="J26" s="16">
        <f t="shared" si="6"/>
        <v>4.4635193133047206</v>
      </c>
      <c r="K26" s="15">
        <v>55</v>
      </c>
      <c r="L26" s="14"/>
      <c r="M26" s="14"/>
      <c r="N26" s="16"/>
      <c r="P26" s="8"/>
      <c r="X26" s="7"/>
      <c r="Y26" s="7"/>
    </row>
    <row r="27" spans="1:30">
      <c r="A27" s="8"/>
      <c r="B27" s="4">
        <v>30</v>
      </c>
      <c r="C27" s="15">
        <v>35</v>
      </c>
      <c r="D27" s="14">
        <v>12.82</v>
      </c>
      <c r="E27" s="14">
        <v>1.83</v>
      </c>
      <c r="F27" s="16">
        <f t="shared" si="5"/>
        <v>7.0054644808743172</v>
      </c>
      <c r="G27" s="15">
        <v>45</v>
      </c>
      <c r="H27" s="14">
        <v>11.63</v>
      </c>
      <c r="I27" s="14">
        <v>2.21</v>
      </c>
      <c r="J27" s="16">
        <f t="shared" si="6"/>
        <v>5.262443438914028</v>
      </c>
      <c r="K27" s="15">
        <v>55</v>
      </c>
      <c r="L27" s="14"/>
      <c r="M27" s="14"/>
      <c r="N27" s="16"/>
      <c r="X27" s="7"/>
      <c r="Y27" s="7"/>
    </row>
    <row r="28" spans="1:30">
      <c r="A28" s="8"/>
      <c r="X28" s="7"/>
      <c r="Y28" s="7"/>
    </row>
    <row r="30" spans="1:30" ht="14.1">
      <c r="B30" s="17" t="s">
        <v>14</v>
      </c>
      <c r="H30" s="17" t="s">
        <v>53</v>
      </c>
      <c r="M30" s="61" t="s">
        <v>98</v>
      </c>
      <c r="N30" s="61"/>
      <c r="O30" s="61"/>
      <c r="P30" s="61"/>
      <c r="Q30" s="61"/>
    </row>
    <row r="31" spans="1:30">
      <c r="B31" s="4" t="s">
        <v>13</v>
      </c>
      <c r="H31" s="24" t="str">
        <f>IF(Dobór!M12="Budownictwo szeregowe (55 W/m²)","55",IF(Dobór!M12="Budynek wolnostojący z dobrą izolacją (60 W/m²)","60",IF(Dobór!M12="Budynek wolnostojący z przeciętną izolacją (80 W/m²)","80","100")))</f>
        <v>60</v>
      </c>
      <c r="I31" s="4" t="s">
        <v>55</v>
      </c>
      <c r="M31" s="4">
        <v>-20</v>
      </c>
      <c r="N31" s="8">
        <f>Dobór!P27</f>
        <v>10.8</v>
      </c>
      <c r="P31" s="8">
        <f>Dobór!P27</f>
        <v>10.8</v>
      </c>
      <c r="Q31" s="4">
        <v>-20</v>
      </c>
    </row>
    <row r="32" spans="1:30">
      <c r="B32" s="4" t="s">
        <v>12</v>
      </c>
      <c r="H32" s="4">
        <f>Dobór!$M$14</f>
        <v>180</v>
      </c>
      <c r="I32" s="4" t="s">
        <v>54</v>
      </c>
      <c r="M32" s="4">
        <v>-15</v>
      </c>
      <c r="N32" s="8">
        <f t="shared" ref="N32:N38" si="10">M32*$P$35+$Q$35</f>
        <v>9.257142857142858</v>
      </c>
      <c r="P32" s="4">
        <v>0</v>
      </c>
      <c r="Q32" s="4">
        <v>15</v>
      </c>
    </row>
    <row r="33" spans="2:28">
      <c r="B33" s="4" t="s">
        <v>24</v>
      </c>
      <c r="H33" s="4">
        <f>H31*H32</f>
        <v>10800</v>
      </c>
      <c r="I33" s="4" t="s">
        <v>56</v>
      </c>
      <c r="M33" s="4">
        <v>-7</v>
      </c>
      <c r="N33" s="8">
        <f t="shared" si="10"/>
        <v>6.7885714285714291</v>
      </c>
      <c r="P33" s="62" t="s">
        <v>139</v>
      </c>
      <c r="Q33" s="27" t="s">
        <v>133</v>
      </c>
    </row>
    <row r="34" spans="2:28">
      <c r="H34" s="25">
        <f>H33/1000</f>
        <v>10.8</v>
      </c>
      <c r="I34" s="4" t="s">
        <v>57</v>
      </c>
      <c r="M34" s="4">
        <v>2</v>
      </c>
      <c r="N34" s="8">
        <f t="shared" si="10"/>
        <v>4.0114285714285716</v>
      </c>
      <c r="P34" s="27" t="s">
        <v>131</v>
      </c>
      <c r="Q34" s="27" t="s">
        <v>132</v>
      </c>
      <c r="R34" s="6" t="s">
        <v>141</v>
      </c>
      <c r="U34" s="10"/>
      <c r="X34" s="10"/>
      <c r="Z34" s="10"/>
      <c r="AB34" s="10"/>
    </row>
    <row r="35" spans="2:28" ht="14.1">
      <c r="B35" s="5" t="s">
        <v>8</v>
      </c>
      <c r="G35" s="4">
        <f>(H34*1800+H43)</f>
        <v>23206.444733333334</v>
      </c>
      <c r="H35" s="8">
        <f>'Energia 221.A26'!H2+H43</f>
        <v>23948.044733333332</v>
      </c>
      <c r="I35" s="4" t="s">
        <v>61</v>
      </c>
      <c r="M35" s="4">
        <v>7</v>
      </c>
      <c r="N35" s="8">
        <f t="shared" si="10"/>
        <v>2.4685714285714289</v>
      </c>
      <c r="P35" s="27">
        <f>P31/(Q31-Q32)</f>
        <v>-0.30857142857142861</v>
      </c>
      <c r="Q35" s="27">
        <f>-15*P35</f>
        <v>4.628571428571429</v>
      </c>
      <c r="R35" s="6" t="s">
        <v>140</v>
      </c>
      <c r="U35" s="10"/>
      <c r="X35" s="10"/>
      <c r="Z35" s="10"/>
      <c r="AB35" s="10"/>
    </row>
    <row r="36" spans="2:28">
      <c r="B36" s="4" t="s">
        <v>37</v>
      </c>
      <c r="H36" s="4">
        <f>IF(Dobór!M24="Kocioł tradycyjny - gaz ziemny G20",'Dane dla CO'!H35/K38*K42/E50,IF(Dobór!M24="Kocioł kondensacyjny - gaz ziemny G20",'Dane dla CO'!H35/K38*K42/E51,IF(Dobór!M24="Kocioł tradycyjny - propan G31",'Dane dla CO'!H35/K39*K43/E52,'Dane dla CO'!H35/K39*K43/E53)))</f>
        <v>6373.6565901788554</v>
      </c>
      <c r="I36" s="4" t="s">
        <v>83</v>
      </c>
      <c r="M36" s="4">
        <v>10</v>
      </c>
      <c r="N36" s="8">
        <f t="shared" si="10"/>
        <v>1.5428571428571427</v>
      </c>
      <c r="T36" s="10"/>
      <c r="U36" s="10"/>
      <c r="X36" s="10"/>
      <c r="Z36" s="10"/>
      <c r="AB36" s="10"/>
    </row>
    <row r="37" spans="2:28" ht="14.1">
      <c r="B37" s="4" t="s">
        <v>280</v>
      </c>
      <c r="H37" s="17" t="s">
        <v>58</v>
      </c>
      <c r="J37" s="17" t="s">
        <v>63</v>
      </c>
      <c r="K37" s="11"/>
      <c r="L37" s="12"/>
      <c r="M37" s="4">
        <v>12</v>
      </c>
      <c r="N37" s="8">
        <f t="shared" si="10"/>
        <v>0.92571428571428571</v>
      </c>
      <c r="T37" s="10"/>
      <c r="U37" s="10"/>
      <c r="X37" s="10"/>
      <c r="Z37" s="10"/>
      <c r="AB37" s="10"/>
    </row>
    <row r="38" spans="2:28">
      <c r="B38" s="4" t="s">
        <v>287</v>
      </c>
      <c r="H38" s="4">
        <f>Dobór!M26</f>
        <v>0</v>
      </c>
      <c r="I38" s="4" t="str">
        <f>Dobór!N26</f>
        <v>[ m3 ]</v>
      </c>
      <c r="J38" s="4" t="s">
        <v>64</v>
      </c>
      <c r="K38" s="28">
        <v>9.7100000000000009</v>
      </c>
      <c r="L38" s="12" t="s">
        <v>65</v>
      </c>
      <c r="M38" s="4">
        <v>15</v>
      </c>
      <c r="N38" s="8">
        <f t="shared" si="10"/>
        <v>0</v>
      </c>
      <c r="T38" s="10"/>
      <c r="U38" s="10"/>
      <c r="X38" s="10"/>
      <c r="Z38" s="10"/>
      <c r="AB38" s="10"/>
    </row>
    <row r="39" spans="2:28">
      <c r="B39" s="4" t="s">
        <v>288</v>
      </c>
      <c r="H39" s="4">
        <f>Dobór!M20</f>
        <v>4</v>
      </c>
      <c r="I39" s="4" t="s">
        <v>59</v>
      </c>
      <c r="J39" s="4" t="s">
        <v>66</v>
      </c>
      <c r="K39" s="27">
        <v>6.65</v>
      </c>
      <c r="L39" s="12" t="s">
        <v>67</v>
      </c>
      <c r="M39" s="4">
        <v>20</v>
      </c>
      <c r="T39" s="10"/>
      <c r="U39" s="10"/>
      <c r="X39" s="10"/>
      <c r="Z39" s="10"/>
      <c r="AB39" s="10"/>
    </row>
    <row r="40" spans="2:28">
      <c r="H40" s="4">
        <f>IF(Dobór!N26="[ m3 ]",'Dane dla CO'!K38,'Dane dla CO'!K39)</f>
        <v>9.7100000000000009</v>
      </c>
      <c r="I40" s="4" t="s">
        <v>62</v>
      </c>
      <c r="K40" s="12"/>
      <c r="L40" s="12"/>
      <c r="M40" s="4">
        <v>30</v>
      </c>
      <c r="T40" s="10"/>
      <c r="U40" s="10"/>
      <c r="X40" s="10"/>
      <c r="Z40" s="10"/>
      <c r="AB40" s="10"/>
    </row>
    <row r="41" spans="2:28" ht="14.1">
      <c r="B41" s="17" t="s">
        <v>15</v>
      </c>
      <c r="E41" s="4" t="s">
        <v>74</v>
      </c>
      <c r="H41" s="4">
        <f>H38*H40*H42</f>
        <v>0</v>
      </c>
      <c r="I41" s="4" t="s">
        <v>73</v>
      </c>
      <c r="J41" s="17" t="s">
        <v>68</v>
      </c>
      <c r="K41" s="12"/>
      <c r="L41" s="12"/>
      <c r="T41" s="10"/>
      <c r="U41" s="10"/>
      <c r="X41" s="10"/>
      <c r="Z41" s="10"/>
      <c r="AB41" s="10"/>
    </row>
    <row r="42" spans="2:28">
      <c r="B42" s="4" t="s">
        <v>18</v>
      </c>
      <c r="E42" s="4">
        <f>140*365*35*0.0011638*H39/3</f>
        <v>2775.2750666666666</v>
      </c>
      <c r="H42" s="4">
        <f>IF(Dobór!M24="Kocioł tradycyjny - gaz ziemny G20",'Dane dla CO'!E50,IF(Dobór!M24="Kocioł kondensacyjny - gaz ziemny G20",'Dane dla CO'!E51,IF(Dobór!M24="Kocioł tradycyjny - propan G31",'Dane dla CO'!E52,'Dane dla CO'!E53)))</f>
        <v>0.89</v>
      </c>
      <c r="I42" s="4" t="s">
        <v>72</v>
      </c>
      <c r="J42" s="4" t="s">
        <v>64</v>
      </c>
      <c r="K42" s="27">
        <f>Dobór!P32</f>
        <v>2.2999999999999998</v>
      </c>
      <c r="L42" s="4" t="s">
        <v>69</v>
      </c>
      <c r="M42" s="61" t="s">
        <v>137</v>
      </c>
      <c r="N42" s="61"/>
      <c r="O42" s="61"/>
      <c r="P42" s="64"/>
      <c r="Q42" s="61"/>
      <c r="R42" s="61"/>
      <c r="U42" s="61" t="s">
        <v>183</v>
      </c>
      <c r="V42" s="61"/>
      <c r="W42" s="61"/>
      <c r="X42" s="64"/>
      <c r="Y42" s="61"/>
      <c r="Z42" s="61"/>
    </row>
    <row r="43" spans="2:28">
      <c r="B43" s="4" t="s">
        <v>19</v>
      </c>
      <c r="E43" s="4">
        <f>200*365*35*0.0011638*H39/3</f>
        <v>3964.6786666666667</v>
      </c>
      <c r="H43" s="4">
        <f>IF(Dobór!M22="Wanna normalna (140 litrów)",'Dane dla CO'!E42,IF(Dobór!M22="Wanna komfortowa (200 litrów)",'Dane dla CO'!E43,IF(Dobór!M22="Natrysk normalny (zużycie 50 litrów)",'Dane dla CO'!E44,IF(Dobór!M22="Natrysk komfortowy (zużycie 75 litrów)",'Dane dla CO'!E45,IF(Dobór!M22="Natrysk i wanna (warunki normalne)",'Dane dla CO'!E46,'Dane dla CO'!E47)))))</f>
        <v>3766.4447333333333</v>
      </c>
      <c r="I43" s="4" t="s">
        <v>75</v>
      </c>
      <c r="J43" s="4" t="s">
        <v>66</v>
      </c>
      <c r="K43" s="27">
        <f>Dobór!P33</f>
        <v>1.95</v>
      </c>
      <c r="L43" s="12" t="s">
        <v>70</v>
      </c>
      <c r="M43" s="24" t="s">
        <v>138</v>
      </c>
      <c r="N43" s="62" t="s">
        <v>130</v>
      </c>
      <c r="O43" s="27" t="s">
        <v>133</v>
      </c>
      <c r="P43" s="27" t="s">
        <v>131</v>
      </c>
      <c r="Q43" s="27" t="s">
        <v>132</v>
      </c>
      <c r="R43" s="12" t="s">
        <v>142</v>
      </c>
      <c r="U43" s="24" t="s">
        <v>138</v>
      </c>
      <c r="V43" s="62" t="s">
        <v>130</v>
      </c>
      <c r="W43" s="27" t="s">
        <v>133</v>
      </c>
      <c r="X43" s="27" t="s">
        <v>131</v>
      </c>
      <c r="Y43" s="27" t="s">
        <v>132</v>
      </c>
      <c r="Z43" s="12" t="s">
        <v>142</v>
      </c>
    </row>
    <row r="44" spans="2:28">
      <c r="B44" s="4" t="s">
        <v>17</v>
      </c>
      <c r="E44" s="4">
        <f>100*365*35*0.0011638*H39/3</f>
        <v>1982.3393333333333</v>
      </c>
      <c r="H44" s="4">
        <f>H41-H43</f>
        <v>-3766.4447333333333</v>
      </c>
      <c r="I44" s="4" t="s">
        <v>76</v>
      </c>
      <c r="M44" s="4">
        <v>-20</v>
      </c>
      <c r="N44" s="4">
        <f t="shared" ref="N44:N51" si="11">Q18</f>
        <v>6</v>
      </c>
      <c r="P44" s="27"/>
      <c r="Q44" s="27"/>
      <c r="U44" s="4">
        <v>-20</v>
      </c>
      <c r="V44" s="4">
        <f>Q6</f>
        <v>0</v>
      </c>
      <c r="X44" s="27"/>
      <c r="Y44" s="27"/>
    </row>
    <row r="45" spans="2:28">
      <c r="B45" s="4" t="s">
        <v>16</v>
      </c>
      <c r="E45" s="4">
        <f>150*365*35*0.0011638*H39/3</f>
        <v>2973.509</v>
      </c>
      <c r="H45" s="26">
        <f>H44/1800</f>
        <v>-2.0924692962962963</v>
      </c>
      <c r="I45" s="4" t="s">
        <v>21</v>
      </c>
      <c r="M45" s="4">
        <v>-15</v>
      </c>
      <c r="N45" s="4">
        <f t="shared" si="11"/>
        <v>7</v>
      </c>
      <c r="O45" s="4">
        <f t="shared" ref="O45:O51" si="12">M45*P45+Q45</f>
        <v>7</v>
      </c>
      <c r="P45" s="63">
        <f>(N45-N44)/5</f>
        <v>0.2</v>
      </c>
      <c r="Q45" s="63">
        <f t="shared" ref="Q45:Q51" si="13">N44-M44*P45</f>
        <v>10</v>
      </c>
      <c r="R45" s="8">
        <f t="shared" ref="R45:R51" si="14">(Q45-$Q$35)/($P$35-P45)</f>
        <v>-10.561797752808985</v>
      </c>
      <c r="S45" s="4">
        <f t="shared" ref="S45:S51" si="15">IF(R45&gt;M44,IF(R45&lt;M45,1,0),0)</f>
        <v>0</v>
      </c>
      <c r="T45" s="4">
        <f>P45*R45+Q45</f>
        <v>7.8876404494382033</v>
      </c>
      <c r="U45" s="4">
        <v>-15</v>
      </c>
      <c r="V45" s="4">
        <f t="shared" ref="V45:V51" si="16">Q7</f>
        <v>3</v>
      </c>
      <c r="W45" s="4">
        <f t="shared" ref="W45:W51" si="17">U45*X45+Y45</f>
        <v>3</v>
      </c>
      <c r="X45" s="63">
        <f>(V45-V44)/5</f>
        <v>0.6</v>
      </c>
      <c r="Y45" s="63">
        <f t="shared" ref="Y45:Y51" si="18">V44-U44*X45</f>
        <v>12</v>
      </c>
      <c r="Z45" s="8">
        <f t="shared" ref="Z45:Z51" si="19">(Y45-$Q$35)/($P$35-X45)</f>
        <v>-8.1132075471698109</v>
      </c>
      <c r="AA45" s="4">
        <f t="shared" ref="AA45:AA51" si="20">IF(Z45&gt;U44,IF(Z45&lt;U45,1,0),0)</f>
        <v>0</v>
      </c>
      <c r="AB45" s="4">
        <f t="shared" ref="AB45:AB51" si="21">X45*Z45+Y45</f>
        <v>7.1320754716981138</v>
      </c>
    </row>
    <row r="46" spans="2:28">
      <c r="B46" s="4" t="s">
        <v>22</v>
      </c>
      <c r="E46" s="4">
        <f>(140+50)*365*35*0.0011638*H39/3</f>
        <v>3766.4447333333333</v>
      </c>
      <c r="H46" s="8">
        <f>IF((H39*0.25)&gt;(0.2*H45),(H45+H39*0.25),H45)</f>
        <v>-1.0924692962962963</v>
      </c>
      <c r="M46" s="4">
        <v>-7</v>
      </c>
      <c r="N46" s="4">
        <f t="shared" si="11"/>
        <v>8.3650000000000002</v>
      </c>
      <c r="O46" s="4">
        <f t="shared" si="12"/>
        <v>8.3649999999999984</v>
      </c>
      <c r="P46" s="63">
        <f>(N46-N45)/8</f>
        <v>0.17062500000000003</v>
      </c>
      <c r="Q46" s="63">
        <f t="shared" si="13"/>
        <v>9.5593749999999993</v>
      </c>
      <c r="R46" s="8">
        <f t="shared" si="14"/>
        <v>-10.289733556921927</v>
      </c>
      <c r="S46" s="4">
        <f t="shared" si="15"/>
        <v>1</v>
      </c>
      <c r="T46" s="4">
        <f t="shared" ref="T46:T51" si="22">P46*R46+Q46</f>
        <v>7.8036892118501955</v>
      </c>
      <c r="U46" s="4">
        <v>-7</v>
      </c>
      <c r="V46" s="4">
        <f t="shared" si="16"/>
        <v>5</v>
      </c>
      <c r="W46" s="4">
        <f t="shared" si="17"/>
        <v>5</v>
      </c>
      <c r="X46" s="63">
        <f>(V46-V45)/8</f>
        <v>0.25</v>
      </c>
      <c r="Y46" s="63">
        <f t="shared" si="18"/>
        <v>6.75</v>
      </c>
      <c r="Z46" s="8">
        <f t="shared" si="19"/>
        <v>-3.7979539641943725</v>
      </c>
      <c r="AA46" s="4">
        <f t="shared" si="20"/>
        <v>0</v>
      </c>
      <c r="AB46" s="4">
        <f t="shared" si="21"/>
        <v>5.8005115089514065</v>
      </c>
    </row>
    <row r="47" spans="2:28">
      <c r="B47" s="4" t="s">
        <v>23</v>
      </c>
      <c r="E47" s="4">
        <f>(200+75)*365*35*0.0011638*H39/3</f>
        <v>5451.4331666666667</v>
      </c>
      <c r="M47" s="4">
        <v>2</v>
      </c>
      <c r="N47" s="4">
        <f t="shared" si="11"/>
        <v>6.85</v>
      </c>
      <c r="O47" s="4">
        <f t="shared" si="12"/>
        <v>6.85</v>
      </c>
      <c r="P47" s="63">
        <f>(N47-N46)/9</f>
        <v>-0.16833333333333339</v>
      </c>
      <c r="Q47" s="63">
        <f t="shared" si="13"/>
        <v>7.1866666666666665</v>
      </c>
      <c r="R47" s="8">
        <f t="shared" si="14"/>
        <v>-18.241086587436332</v>
      </c>
      <c r="S47" s="4">
        <f t="shared" si="15"/>
        <v>0</v>
      </c>
      <c r="T47" s="4">
        <f t="shared" si="22"/>
        <v>10.257249575551784</v>
      </c>
      <c r="U47" s="4">
        <v>2</v>
      </c>
      <c r="V47" s="4">
        <f t="shared" si="16"/>
        <v>5.3</v>
      </c>
      <c r="W47" s="4">
        <f t="shared" si="17"/>
        <v>5.3</v>
      </c>
      <c r="X47" s="63">
        <f>(V47-V46)/9</f>
        <v>3.3333333333333312E-2</v>
      </c>
      <c r="Y47" s="63">
        <f t="shared" si="18"/>
        <v>5.2333333333333334</v>
      </c>
      <c r="Z47" s="8">
        <f t="shared" si="19"/>
        <v>-1.7688022284122551</v>
      </c>
      <c r="AA47" s="4">
        <f t="shared" si="20"/>
        <v>1</v>
      </c>
      <c r="AB47" s="4">
        <f t="shared" si="21"/>
        <v>5.174373259052925</v>
      </c>
    </row>
    <row r="48" spans="2:28">
      <c r="M48" s="4">
        <v>7</v>
      </c>
      <c r="N48" s="4">
        <f t="shared" si="11"/>
        <v>9.4749999999999996</v>
      </c>
      <c r="O48" s="4">
        <f t="shared" si="12"/>
        <v>9.4749999999999996</v>
      </c>
      <c r="P48" s="63">
        <f>(N48-N47)/5</f>
        <v>0.52500000000000002</v>
      </c>
      <c r="Q48" s="63">
        <f t="shared" si="13"/>
        <v>5.8</v>
      </c>
      <c r="R48" s="8">
        <f t="shared" si="14"/>
        <v>-1.4053127677806332</v>
      </c>
      <c r="S48" s="4">
        <f t="shared" si="15"/>
        <v>0</v>
      </c>
      <c r="T48" s="4">
        <f t="shared" si="22"/>
        <v>5.0622107969151671</v>
      </c>
      <c r="U48" s="4">
        <v>7</v>
      </c>
      <c r="V48" s="4">
        <f t="shared" si="16"/>
        <v>7.59</v>
      </c>
      <c r="W48" s="4">
        <f t="shared" si="17"/>
        <v>7.59</v>
      </c>
      <c r="X48" s="63">
        <f>(V48-V47)/5</f>
        <v>0.45800000000000002</v>
      </c>
      <c r="Y48" s="63">
        <f t="shared" si="18"/>
        <v>4.3839999999999995</v>
      </c>
      <c r="Z48" s="8">
        <f t="shared" si="19"/>
        <v>0.3190458442042502</v>
      </c>
      <c r="AA48" s="4">
        <f t="shared" si="20"/>
        <v>0</v>
      </c>
      <c r="AB48" s="4">
        <f t="shared" si="21"/>
        <v>4.5301229966455461</v>
      </c>
    </row>
    <row r="49" spans="2:30" ht="14.1">
      <c r="B49" s="17" t="s">
        <v>36</v>
      </c>
      <c r="E49" s="17" t="s">
        <v>71</v>
      </c>
      <c r="G49" s="17" t="s">
        <v>135</v>
      </c>
      <c r="M49" s="4">
        <v>10</v>
      </c>
      <c r="N49" s="4">
        <f t="shared" si="11"/>
        <v>10.51</v>
      </c>
      <c r="O49" s="4">
        <f t="shared" si="12"/>
        <v>10.51</v>
      </c>
      <c r="P49" s="63">
        <f>(N49-N48)/3</f>
        <v>0.34500000000000003</v>
      </c>
      <c r="Q49" s="63">
        <f t="shared" si="13"/>
        <v>7.06</v>
      </c>
      <c r="R49" s="8">
        <f t="shared" si="14"/>
        <v>-3.7202185792349707</v>
      </c>
      <c r="S49" s="4">
        <f t="shared" si="15"/>
        <v>0</v>
      </c>
      <c r="T49" s="4">
        <f t="shared" si="22"/>
        <v>5.7765245901639348</v>
      </c>
      <c r="U49" s="4">
        <v>10</v>
      </c>
      <c r="V49" s="4">
        <f t="shared" si="16"/>
        <v>8.5</v>
      </c>
      <c r="W49" s="4">
        <f t="shared" si="17"/>
        <v>8.5</v>
      </c>
      <c r="X49" s="63">
        <f>(V49-V48)/3</f>
        <v>0.3033333333333334</v>
      </c>
      <c r="Y49" s="63">
        <f t="shared" si="18"/>
        <v>5.4666666666666659</v>
      </c>
      <c r="Z49" s="8">
        <f t="shared" si="19"/>
        <v>-1.3696498054474688</v>
      </c>
      <c r="AA49" s="4">
        <f t="shared" si="20"/>
        <v>0</v>
      </c>
      <c r="AB49" s="4">
        <f t="shared" si="21"/>
        <v>5.051206225680934</v>
      </c>
    </row>
    <row r="50" spans="2:30">
      <c r="B50" s="4" t="s">
        <v>45</v>
      </c>
      <c r="E50" s="4">
        <f>IF(Dobór!$M$18="Ogrzewanie podłogowe 35/28",0.9,IF(Dobór!$M$18="Grzejniki niskotemperaturowe 55/45",0.89,0.89))</f>
        <v>0.89</v>
      </c>
      <c r="G50" s="61" t="str">
        <f>Dobór!M24</f>
        <v>Kocioł tradycyjny - gaz ziemny G20</v>
      </c>
      <c r="H50" s="61"/>
      <c r="I50" s="61"/>
      <c r="M50" s="4">
        <v>12</v>
      </c>
      <c r="N50" s="4">
        <f t="shared" si="11"/>
        <v>10.741999999999999</v>
      </c>
      <c r="O50" s="4">
        <f t="shared" si="12"/>
        <v>10.741999999999999</v>
      </c>
      <c r="P50" s="63">
        <f>(N50-N49)/2</f>
        <v>0.11599999999999966</v>
      </c>
      <c r="Q50" s="63">
        <f t="shared" si="13"/>
        <v>9.3500000000000032</v>
      </c>
      <c r="R50" s="8">
        <f t="shared" si="14"/>
        <v>-11.120457604306878</v>
      </c>
      <c r="S50" s="4">
        <f t="shared" si="15"/>
        <v>0</v>
      </c>
      <c r="T50" s="4">
        <f t="shared" si="22"/>
        <v>8.0600269179004087</v>
      </c>
      <c r="U50" s="4">
        <v>12</v>
      </c>
      <c r="V50" s="4">
        <f t="shared" si="16"/>
        <v>8.7799999999999994</v>
      </c>
      <c r="W50" s="4">
        <f t="shared" si="17"/>
        <v>8.7799999999999994</v>
      </c>
      <c r="X50" s="63">
        <f>(V50-V49)/2</f>
        <v>0.13999999999999968</v>
      </c>
      <c r="Y50" s="63">
        <f t="shared" si="18"/>
        <v>7.1000000000000032</v>
      </c>
      <c r="Z50" s="8">
        <f t="shared" si="19"/>
        <v>-5.5095541401273982</v>
      </c>
      <c r="AA50" s="4">
        <f t="shared" si="20"/>
        <v>0</v>
      </c>
      <c r="AB50" s="4">
        <f t="shared" si="21"/>
        <v>6.3286624203821695</v>
      </c>
    </row>
    <row r="51" spans="2:30">
      <c r="B51" s="4" t="s">
        <v>46</v>
      </c>
      <c r="E51" s="4">
        <f>IF(Dobór!$M$18="Ogrzewanie podłogowe 35/28",0.94,IF(Dobór!$M$18="Grzejniki niskotemperaturowe 55/45",0.93,0.93))</f>
        <v>0.93</v>
      </c>
      <c r="G51" s="60">
        <f>IF(I38="[ litry ]",K43/H40/H42,K42/H40/H42)</f>
        <v>0.26614517640796581</v>
      </c>
      <c r="M51" s="4">
        <v>15</v>
      </c>
      <c r="N51" s="4">
        <f t="shared" si="11"/>
        <v>11.09</v>
      </c>
      <c r="O51" s="4">
        <f t="shared" si="12"/>
        <v>11.09</v>
      </c>
      <c r="P51" s="63">
        <f>(N51-N50)/3</f>
        <v>0.11600000000000026</v>
      </c>
      <c r="Q51" s="63">
        <f t="shared" si="13"/>
        <v>9.3499999999999961</v>
      </c>
      <c r="R51" s="8">
        <f t="shared" si="14"/>
        <v>-11.120457604306846</v>
      </c>
      <c r="S51" s="4">
        <f t="shared" si="15"/>
        <v>0</v>
      </c>
      <c r="T51" s="4">
        <f t="shared" si="22"/>
        <v>8.0600269179003998</v>
      </c>
      <c r="U51" s="4">
        <v>15</v>
      </c>
      <c r="V51" s="4">
        <f t="shared" si="16"/>
        <v>9.1999999999999993</v>
      </c>
      <c r="W51" s="4">
        <f t="shared" si="17"/>
        <v>9.1999999999999993</v>
      </c>
      <c r="X51" s="63">
        <f>(V51-V50)/3</f>
        <v>0.13999999999999999</v>
      </c>
      <c r="Y51" s="63">
        <f t="shared" si="18"/>
        <v>7.1</v>
      </c>
      <c r="Z51" s="8">
        <f t="shared" si="19"/>
        <v>-5.5095541401273858</v>
      </c>
      <c r="AA51" s="4">
        <f t="shared" si="20"/>
        <v>0</v>
      </c>
      <c r="AB51" s="4">
        <f t="shared" si="21"/>
        <v>6.328662420382166</v>
      </c>
    </row>
    <row r="52" spans="2:30">
      <c r="B52" s="4" t="s">
        <v>47</v>
      </c>
      <c r="E52" s="4">
        <f>IF(Dobór!$M$18="Ogrzewanie podłogowe 35/28",0.9,IF(Dobór!$M$18="Grzejniki niskotemperaturowe 55/45",0.89,0.89))</f>
        <v>0.89</v>
      </c>
    </row>
    <row r="53" spans="2:30">
      <c r="B53" s="4" t="s">
        <v>48</v>
      </c>
      <c r="E53" s="4">
        <f>IF(Dobór!$M$18="Ogrzewanie podłogowe 35/28",0.94,IF(Dobór!$M$18="Grzejniki niskotemperaturowe 55/45",0.93,0.93))</f>
        <v>0.93</v>
      </c>
      <c r="G53" s="61" t="s">
        <v>136</v>
      </c>
      <c r="H53" s="61"/>
      <c r="I53" s="61"/>
      <c r="R53" s="8">
        <f>IF(S45=1,R45,IF(S46=1,R46,IF(S47=1,R47,IF(S48=1,R48,IF(S49=1,R49,IF(S50=1,R50,R51))))))</f>
        <v>-10.289733556921927</v>
      </c>
      <c r="S53" s="4" t="s">
        <v>167</v>
      </c>
      <c r="T53" s="4">
        <f>IF(S45=1,P45,IF(S46=1,P46,IF(S47=1,P47,IF(S48=1,P48,IF(S49=1,P49,IF(S50=1,P50,P51))))))</f>
        <v>0.17062500000000003</v>
      </c>
      <c r="U53" s="4" t="s">
        <v>168</v>
      </c>
      <c r="V53" s="4">
        <f>IF(S45=1,Q45,IF(S46=1,Q46,IF(S47=1,Q47,IF(S48=1,Q48,IF(S49=1,Q49,IF(S50=1,Q50,Q51))))))</f>
        <v>9.5593749999999993</v>
      </c>
      <c r="Z53" s="8">
        <f>IF(AA45=1,Z45,IF(AA46=1,Z46,IF(AA47=1,Z47,IF(AA48=1,Z48,IF(AA49=1,Z49,IF(AA50=1,Z50,Z51))))))</f>
        <v>-1.7688022284122551</v>
      </c>
      <c r="AA53" s="4" t="s">
        <v>167</v>
      </c>
      <c r="AB53" s="4">
        <f>IF(AA45=1,X45,IF(AA46=1,X46,IF(AA47=1,X47,IF(AA48=1,X48,IF(AA49=1,X49,IF(AA50=1,X50,X51))))))</f>
        <v>3.3333333333333312E-2</v>
      </c>
      <c r="AC53" s="4" t="s">
        <v>168</v>
      </c>
      <c r="AD53" s="4">
        <f>IF(AA45=1,Y45,IF(AA46=1,Y46,IF(AA47=1,Y47,IF(AA48=1,Y48,IF(AA49=1,Y49,IF(AA50=1,Y50,Y51))))))</f>
        <v>5.2333333333333334</v>
      </c>
    </row>
    <row r="54" spans="2:30">
      <c r="G54" s="60">
        <f>IF(Dobór!M24="Kocioł tradycyjny - gaz ziemny G20",0.28,IF(Dobór!M24="Kocioł kondensacyjny - gaz ziemny G20",0.28,IF(Dobór!M24="Kocioł tradycyjny - propan G31",0.46,0.46)))</f>
        <v>0.28000000000000003</v>
      </c>
      <c r="R54" s="8">
        <f>IF(R53&lt;-20,-20,R53)</f>
        <v>-10.289733556921927</v>
      </c>
      <c r="S54" s="4">
        <f>R54*T53+V53</f>
        <v>7.8036892118501955</v>
      </c>
      <c r="Z54" s="8">
        <f>IF(Z53&lt;-15,-15,Z53)</f>
        <v>-1.7688022284122551</v>
      </c>
      <c r="AA54" s="4">
        <f>Z54*AB53+AD53</f>
        <v>5.174373259052925</v>
      </c>
      <c r="AB54" s="4">
        <f>AB53*Z67+AD53</f>
        <v>5.1340107894854823</v>
      </c>
    </row>
    <row r="55" spans="2:30" ht="14.1">
      <c r="B55" s="17" t="s">
        <v>29</v>
      </c>
      <c r="E55" s="4" t="s">
        <v>148</v>
      </c>
      <c r="G55" s="60">
        <f>L63</f>
        <v>0.2598029822222182</v>
      </c>
      <c r="M55" s="61" t="s">
        <v>145</v>
      </c>
      <c r="N55" s="61"/>
      <c r="O55" s="61"/>
      <c r="P55" s="61"/>
      <c r="Q55" s="61"/>
      <c r="R55" s="61"/>
      <c r="U55" s="61" t="s">
        <v>201</v>
      </c>
      <c r="V55" s="61"/>
      <c r="W55" s="61"/>
      <c r="X55" s="61"/>
      <c r="Y55" s="61"/>
      <c r="Z55" s="61"/>
    </row>
    <row r="56" spans="2:30">
      <c r="B56" s="4" t="s">
        <v>30</v>
      </c>
      <c r="C56" s="4">
        <v>0.61</v>
      </c>
      <c r="D56" s="4" t="s">
        <v>97</v>
      </c>
      <c r="E56" s="4">
        <f>'SCOP 221.A26 ver 2'!FN8</f>
        <v>739.43817782354927</v>
      </c>
      <c r="F56" s="4" t="s">
        <v>283</v>
      </c>
      <c r="M56" s="24" t="s">
        <v>138</v>
      </c>
      <c r="N56" s="62" t="s">
        <v>130</v>
      </c>
      <c r="O56" s="27" t="s">
        <v>133</v>
      </c>
      <c r="P56" s="27" t="s">
        <v>131</v>
      </c>
      <c r="Q56" s="27" t="s">
        <v>132</v>
      </c>
      <c r="R56" s="12" t="s">
        <v>142</v>
      </c>
      <c r="U56" s="24" t="s">
        <v>138</v>
      </c>
      <c r="V56" s="62" t="s">
        <v>130</v>
      </c>
      <c r="W56" s="27" t="s">
        <v>133</v>
      </c>
      <c r="X56" s="27" t="s">
        <v>131</v>
      </c>
      <c r="Y56" s="27" t="s">
        <v>132</v>
      </c>
      <c r="Z56" s="12" t="s">
        <v>142</v>
      </c>
    </row>
    <row r="57" spans="2:30">
      <c r="B57" s="4" t="s">
        <v>64</v>
      </c>
      <c r="D57" s="4" t="s">
        <v>97</v>
      </c>
      <c r="E57" s="4">
        <f>'SCOP 221.A29 ver 2'!FN8</f>
        <v>364.56458633710929</v>
      </c>
      <c r="F57" s="4" t="s">
        <v>284</v>
      </c>
      <c r="M57" s="4">
        <v>-20</v>
      </c>
      <c r="N57" s="60">
        <f>T18</f>
        <v>0.42699999999999999</v>
      </c>
      <c r="P57" s="27"/>
      <c r="Q57" s="27"/>
      <c r="U57" s="4">
        <v>-20</v>
      </c>
      <c r="V57" s="60">
        <v>0.61</v>
      </c>
      <c r="X57" s="27"/>
      <c r="Y57" s="27"/>
    </row>
    <row r="58" spans="2:30">
      <c r="B58" s="4" t="s">
        <v>96</v>
      </c>
      <c r="D58" s="4" t="s">
        <v>97</v>
      </c>
      <c r="M58" s="4">
        <v>-15</v>
      </c>
      <c r="N58" s="60">
        <f t="shared" ref="N58:N64" si="23">T19</f>
        <v>0.35467142857142858</v>
      </c>
      <c r="O58" s="4">
        <f t="shared" ref="O58:O64" si="24">M58*P58+Q58</f>
        <v>0.35467142857142858</v>
      </c>
      <c r="P58" s="65">
        <f>(N58-N57)/5</f>
        <v>-1.4465714285714281E-2</v>
      </c>
      <c r="Q58" s="63">
        <f>N57+20*P58</f>
        <v>0.13768571428571436</v>
      </c>
      <c r="R58" s="8">
        <f t="shared" ref="R58:R64" si="25">($G$54-Q58)/P58</f>
        <v>-9.8380406873395216</v>
      </c>
      <c r="S58" s="4">
        <f t="shared" ref="S58:S64" si="26">IF(R58&gt;M57,IF(R58&lt;M58,1,0),0)</f>
        <v>0</v>
      </c>
      <c r="U58" s="4">
        <v>-15</v>
      </c>
      <c r="V58" s="60">
        <f>T7</f>
        <v>0.48799999999999999</v>
      </c>
      <c r="W58" s="4">
        <f t="shared" ref="W58:W64" si="27">U58*X58+Y58</f>
        <v>0.48799999999999999</v>
      </c>
      <c r="X58" s="65">
        <f>(V58-V57)/5</f>
        <v>-2.4399999999999998E-2</v>
      </c>
      <c r="Y58" s="63">
        <f>V57+20*X58</f>
        <v>0.122</v>
      </c>
      <c r="Z58" s="8">
        <f>($G$54-Y58)/X58</f>
        <v>-6.4754098360655759</v>
      </c>
      <c r="AA58" s="4">
        <f t="shared" ref="AA58:AA64" si="28">IF(Z58&gt;U57,IF(Z58&lt;U58,1,0),0)</f>
        <v>0</v>
      </c>
    </row>
    <row r="59" spans="2:30">
      <c r="M59" s="4">
        <v>-7</v>
      </c>
      <c r="N59" s="60">
        <f t="shared" si="23"/>
        <v>0.27674237895995213</v>
      </c>
      <c r="O59" s="4">
        <f t="shared" si="24"/>
        <v>0.27674237895995213</v>
      </c>
      <c r="P59" s="65">
        <f>(N59-N58)/8</f>
        <v>-9.7411312014345566E-3</v>
      </c>
      <c r="Q59" s="63">
        <f t="shared" ref="Q59:Q64" si="29">N58-M58*P59</f>
        <v>0.20855446054991023</v>
      </c>
      <c r="R59" s="8">
        <f t="shared" si="25"/>
        <v>-7.3344191729568493</v>
      </c>
      <c r="S59" s="4">
        <f t="shared" si="26"/>
        <v>1</v>
      </c>
      <c r="U59" s="4">
        <v>-7</v>
      </c>
      <c r="V59" s="60">
        <f t="shared" ref="V59:V64" si="30">T8</f>
        <v>0.30256</v>
      </c>
      <c r="W59" s="4">
        <f t="shared" si="27"/>
        <v>0.30255999999999994</v>
      </c>
      <c r="X59" s="65">
        <f>(V59-V58)/8</f>
        <v>-2.3179999999999999E-2</v>
      </c>
      <c r="Y59" s="63">
        <f t="shared" ref="Y59:Y64" si="31">V58-U58*X59</f>
        <v>0.14029999999999998</v>
      </c>
      <c r="Z59" s="8">
        <f t="shared" ref="Z59:Z64" si="32">($G$54-Y59)/X59</f>
        <v>-6.0267471958585013</v>
      </c>
      <c r="AA59" s="4">
        <f t="shared" si="28"/>
        <v>0</v>
      </c>
    </row>
    <row r="60" spans="2:30" ht="14.1" thickBot="1">
      <c r="B60" s="27" t="s">
        <v>283</v>
      </c>
      <c r="M60" s="4">
        <v>2</v>
      </c>
      <c r="N60" s="60">
        <f t="shared" si="23"/>
        <v>0.21906569343065693</v>
      </c>
      <c r="O60" s="4">
        <f t="shared" si="24"/>
        <v>0.21906569343065693</v>
      </c>
      <c r="P60" s="65">
        <f>(N60-N59)/9</f>
        <v>-6.4085206143661326E-3</v>
      </c>
      <c r="Q60" s="63">
        <f t="shared" si="29"/>
        <v>0.23188273465938919</v>
      </c>
      <c r="R60" s="8">
        <f t="shared" si="25"/>
        <v>-7.5083265290190724</v>
      </c>
      <c r="S60" s="4">
        <f t="shared" si="26"/>
        <v>0</v>
      </c>
      <c r="U60" s="4">
        <v>2</v>
      </c>
      <c r="V60" s="60">
        <f t="shared" si="30"/>
        <v>0.25205660377358485</v>
      </c>
      <c r="W60" s="4">
        <f t="shared" si="27"/>
        <v>0.25205660377358485</v>
      </c>
      <c r="X60" s="65">
        <f>(V60-V59)/9</f>
        <v>-5.6114884696016826E-3</v>
      </c>
      <c r="Y60" s="63">
        <f t="shared" si="31"/>
        <v>0.26327958071278823</v>
      </c>
      <c r="Z60" s="8">
        <f t="shared" si="32"/>
        <v>-2.9796763154355466</v>
      </c>
      <c r="AA60" s="4">
        <f t="shared" si="28"/>
        <v>1</v>
      </c>
    </row>
    <row r="61" spans="2:30" ht="39.75" customHeight="1" thickBot="1">
      <c r="B61" s="33" t="s">
        <v>44</v>
      </c>
      <c r="C61" s="34" t="s">
        <v>91</v>
      </c>
      <c r="D61" s="35" t="s">
        <v>92</v>
      </c>
      <c r="E61" s="36" t="s">
        <v>87</v>
      </c>
      <c r="F61" s="36" t="s">
        <v>93</v>
      </c>
      <c r="G61" s="36" t="s">
        <v>94</v>
      </c>
      <c r="H61" s="36" t="s">
        <v>95</v>
      </c>
      <c r="L61" s="4" t="s">
        <v>146</v>
      </c>
      <c r="M61" s="4">
        <v>7</v>
      </c>
      <c r="N61" s="60">
        <f t="shared" si="23"/>
        <v>0.14421108179419528</v>
      </c>
      <c r="O61" s="4">
        <f t="shared" si="24"/>
        <v>0.14421108179419528</v>
      </c>
      <c r="P61" s="65">
        <f>(N61-N60)/5</f>
        <v>-1.497092232729233E-2</v>
      </c>
      <c r="Q61" s="63">
        <f t="shared" si="29"/>
        <v>0.24900753808524159</v>
      </c>
      <c r="R61" s="8">
        <f t="shared" si="25"/>
        <v>-2.0701771899690158</v>
      </c>
      <c r="S61" s="4">
        <f t="shared" si="26"/>
        <v>0</v>
      </c>
      <c r="U61" s="4">
        <v>7</v>
      </c>
      <c r="V61" s="60">
        <f t="shared" si="30"/>
        <v>0.17158761528326744</v>
      </c>
      <c r="W61" s="4">
        <f t="shared" si="27"/>
        <v>0.17158761528326746</v>
      </c>
      <c r="X61" s="65">
        <f>(V61-V60)/5</f>
        <v>-1.6093797698063482E-2</v>
      </c>
      <c r="Y61" s="63">
        <f t="shared" si="31"/>
        <v>0.28424419916971183</v>
      </c>
      <c r="Z61" s="8">
        <f t="shared" si="32"/>
        <v>0.2637164483695788</v>
      </c>
      <c r="AA61" s="4">
        <f t="shared" si="28"/>
        <v>0</v>
      </c>
    </row>
    <row r="62" spans="2:30" ht="26.25" customHeight="1" thickBot="1">
      <c r="B62" s="42" t="s">
        <v>88</v>
      </c>
      <c r="C62" s="37" t="s">
        <v>89</v>
      </c>
      <c r="D62" s="38">
        <v>1.3234999999999999</v>
      </c>
      <c r="E62" s="39">
        <v>8.1999999999999993</v>
      </c>
      <c r="F62" s="39">
        <v>13.45</v>
      </c>
      <c r="G62" s="40">
        <v>0.51949999999999996</v>
      </c>
      <c r="H62" s="41">
        <f>'SCOP 221.A26 ver 2'!FN8</f>
        <v>739.43817782354927</v>
      </c>
      <c r="I62" s="60">
        <f>(H62*G62)+(12*F62)+(12*E62)+(H62*D62)</f>
        <v>1622.584561728801</v>
      </c>
      <c r="J62" s="4">
        <f>H62*9.71</f>
        <v>7179.9447066666644</v>
      </c>
      <c r="K62" s="4" t="s">
        <v>61</v>
      </c>
      <c r="L62" s="60">
        <f>I62/J62</f>
        <v>0.22598844810353649</v>
      </c>
      <c r="M62" s="4">
        <v>10</v>
      </c>
      <c r="N62" s="60">
        <f t="shared" si="23"/>
        <v>0.11491912464319695</v>
      </c>
      <c r="O62" s="4">
        <f t="shared" si="24"/>
        <v>0.11491912464319695</v>
      </c>
      <c r="P62" s="65">
        <f>(N62-N61)/3</f>
        <v>-9.7639857169994435E-3</v>
      </c>
      <c r="Q62" s="63">
        <f t="shared" si="29"/>
        <v>0.21255898181319138</v>
      </c>
      <c r="R62" s="8">
        <f t="shared" si="25"/>
        <v>-6.9071197092588381</v>
      </c>
      <c r="S62" s="4">
        <f t="shared" si="26"/>
        <v>0</v>
      </c>
      <c r="U62" s="4">
        <v>10</v>
      </c>
      <c r="V62" s="60">
        <f t="shared" si="30"/>
        <v>0.13707058823529408</v>
      </c>
      <c r="W62" s="4">
        <f t="shared" si="27"/>
        <v>0.13707058823529411</v>
      </c>
      <c r="X62" s="65">
        <f>(V62-V61)/3</f>
        <v>-1.1505675682657784E-2</v>
      </c>
      <c r="Y62" s="63">
        <f t="shared" si="31"/>
        <v>0.25212734506187195</v>
      </c>
      <c r="Z62" s="8">
        <f t="shared" si="32"/>
        <v>-2.4225135234899611</v>
      </c>
      <c r="AA62" s="4">
        <f t="shared" si="28"/>
        <v>0</v>
      </c>
    </row>
    <row r="63" spans="2:30" ht="24.75" customHeight="1" thickBot="1">
      <c r="B63" s="43" t="s">
        <v>88</v>
      </c>
      <c r="C63" s="44" t="s">
        <v>90</v>
      </c>
      <c r="D63" s="45">
        <v>1.3076000000000001</v>
      </c>
      <c r="E63" s="46">
        <v>10.3</v>
      </c>
      <c r="F63" s="46">
        <v>36.9</v>
      </c>
      <c r="G63" s="47">
        <v>0.4491</v>
      </c>
      <c r="H63" s="48">
        <f>'SCOP 221.A26 ver 2'!FN8</f>
        <v>739.43817782354927</v>
      </c>
      <c r="I63" s="60">
        <f>(H63*G63)+(12*F63)+(12*E63)+(H63*D63)</f>
        <v>1865.3710469826292</v>
      </c>
      <c r="J63" s="4">
        <f>H63*9.71</f>
        <v>7179.9447066666644</v>
      </c>
      <c r="K63" s="4" t="s">
        <v>61</v>
      </c>
      <c r="L63" s="60">
        <f>I63/J63</f>
        <v>0.2598029822222182</v>
      </c>
      <c r="M63" s="4">
        <v>12</v>
      </c>
      <c r="N63" s="60">
        <f t="shared" si="23"/>
        <v>0.11152857940793148</v>
      </c>
      <c r="O63" s="4">
        <f t="shared" si="24"/>
        <v>0.11152857940793148</v>
      </c>
      <c r="P63" s="65">
        <f>(N63-N62)/2</f>
        <v>-1.6952726176327343E-3</v>
      </c>
      <c r="Q63" s="63">
        <f t="shared" si="29"/>
        <v>0.13187185081952429</v>
      </c>
      <c r="R63" s="8">
        <f t="shared" si="25"/>
        <v>-87.377185026040678</v>
      </c>
      <c r="S63" s="4">
        <f t="shared" si="26"/>
        <v>0</v>
      </c>
      <c r="U63" s="4">
        <v>12</v>
      </c>
      <c r="V63" s="60">
        <f t="shared" si="30"/>
        <v>0.13256036446469249</v>
      </c>
      <c r="W63" s="4">
        <f t="shared" si="27"/>
        <v>0.13256036446469249</v>
      </c>
      <c r="X63" s="65">
        <f>(V63-V62)/2</f>
        <v>-2.2551118853007951E-3</v>
      </c>
      <c r="Y63" s="63">
        <f t="shared" si="31"/>
        <v>0.15962170708830203</v>
      </c>
      <c r="Z63" s="8">
        <f t="shared" si="32"/>
        <v>-53.380186453871445</v>
      </c>
      <c r="AA63" s="4">
        <f t="shared" si="28"/>
        <v>0</v>
      </c>
    </row>
    <row r="64" spans="2:30" ht="14.25" customHeight="1">
      <c r="M64" s="4">
        <v>15</v>
      </c>
      <c r="N64" s="60">
        <f t="shared" si="23"/>
        <v>0.1067087466185753</v>
      </c>
      <c r="O64" s="4">
        <f t="shared" si="24"/>
        <v>0.1067087466185753</v>
      </c>
      <c r="P64" s="65">
        <f>(N64-N63)/3</f>
        <v>-1.6066109297853959E-3</v>
      </c>
      <c r="Q64" s="63">
        <f t="shared" si="29"/>
        <v>0.13080791056535623</v>
      </c>
      <c r="R64" s="8">
        <f t="shared" si="25"/>
        <v>-92.861368405213213</v>
      </c>
      <c r="S64" s="4">
        <f t="shared" si="26"/>
        <v>0</v>
      </c>
      <c r="U64" s="4">
        <v>15</v>
      </c>
      <c r="V64" s="60">
        <f t="shared" si="30"/>
        <v>0.12630978260869566</v>
      </c>
      <c r="W64" s="4">
        <f t="shared" si="27"/>
        <v>0.12630978260869566</v>
      </c>
      <c r="X64" s="65">
        <f>(V64-V63)/3</f>
        <v>-2.0835272853322782E-3</v>
      </c>
      <c r="Y64" s="63">
        <f t="shared" si="31"/>
        <v>0.15756269188867983</v>
      </c>
      <c r="Z64" s="8">
        <f t="shared" si="32"/>
        <v>-58.764437103013059</v>
      </c>
      <c r="AA64" s="4">
        <f t="shared" si="28"/>
        <v>0</v>
      </c>
    </row>
    <row r="65" spans="2:30" ht="14.25" customHeight="1">
      <c r="L65" s="8">
        <v>0.24</v>
      </c>
    </row>
    <row r="66" spans="2:30">
      <c r="B66" s="4" t="s">
        <v>100</v>
      </c>
      <c r="R66" s="8">
        <f>IF(S58=1,R58,IF(S59=1,R59,IF(S60=1,R60,IF(S61=1,R61,IF(S62=1,R62,IF(S63=1,R63,R64))))))</f>
        <v>-7.3344191729568493</v>
      </c>
      <c r="Z66" s="8">
        <f>IF(AA58=1,Z58,IF(AA59=1,Z59,IF(AA60=1,Z60,IF(AA61=1,Z61,IF(AA62=1,Z62,IF(AA63=1,Z63,Z64))))))</f>
        <v>-2.9796763154355466</v>
      </c>
      <c r="AA66" s="4" t="s">
        <v>167</v>
      </c>
      <c r="AB66" s="4">
        <f>IF(AA58=1,X58,IF(AA59=1,X59,IF(AA60=1,X60,IF(AA61=1,X61,IF(AA62=1,X62,IF(AA63=1,X63,X64))))))</f>
        <v>-5.6114884696016826E-3</v>
      </c>
      <c r="AC66" s="4" t="s">
        <v>168</v>
      </c>
      <c r="AD66" s="4">
        <f>IF(AA58=1,Y58,IF(AA59=1,Y59,IF(AA60=1,Y60,IF(AA61=1,Y61,IF(AA62=1,Y62,IF(AA63=1,Y63,Y64))))))</f>
        <v>0.26327958071278823</v>
      </c>
    </row>
    <row r="67" spans="2:30" ht="14.4">
      <c r="B67" s="4" t="s">
        <v>101</v>
      </c>
      <c r="R67" s="4">
        <f>IF(R66&lt;-20,-20,R66)</f>
        <v>-7.3344191729568493</v>
      </c>
      <c r="Z67" s="8">
        <f>IF(Z66&lt;-15,-15,Z66)</f>
        <v>-2.9796763154355466</v>
      </c>
      <c r="AA67" s="4">
        <f>Z67*AB66+AD66</f>
        <v>0.28000000000000003</v>
      </c>
    </row>
    <row r="68" spans="2:30">
      <c r="B68" s="4" t="s">
        <v>102</v>
      </c>
    </row>
    <row r="69" spans="2:30">
      <c r="B69" s="4" t="s">
        <v>103</v>
      </c>
      <c r="C69" s="6"/>
    </row>
    <row r="70" spans="2:30">
      <c r="B70" s="4" t="s">
        <v>104</v>
      </c>
    </row>
    <row r="71" spans="2:30">
      <c r="B71" s="4" t="s">
        <v>105</v>
      </c>
    </row>
    <row r="73" spans="2:30" ht="14.1">
      <c r="B73" s="17" t="s">
        <v>127</v>
      </c>
      <c r="M73" s="123" t="s">
        <v>209</v>
      </c>
    </row>
    <row r="74" spans="2:30">
      <c r="M74" s="4" t="s">
        <v>210</v>
      </c>
      <c r="N74" s="4">
        <v>35</v>
      </c>
      <c r="O74" s="4" t="s">
        <v>211</v>
      </c>
      <c r="P74" s="4">
        <v>227</v>
      </c>
      <c r="Q74" s="4" t="s">
        <v>122</v>
      </c>
    </row>
    <row r="75" spans="2:30">
      <c r="B75" s="140"/>
      <c r="C75" s="140"/>
      <c r="D75" s="28"/>
      <c r="E75" s="27"/>
      <c r="F75" s="27"/>
      <c r="M75" s="4" t="s">
        <v>212</v>
      </c>
      <c r="N75" s="8">
        <f>Dobór!P27</f>
        <v>10.8</v>
      </c>
      <c r="O75" s="4" t="s">
        <v>57</v>
      </c>
    </row>
    <row r="76" spans="2:30">
      <c r="B76" s="140"/>
      <c r="C76" s="140"/>
      <c r="D76" s="6"/>
      <c r="M76" s="13" t="s">
        <v>213</v>
      </c>
      <c r="N76" s="4">
        <f>N75*2000-H43</f>
        <v>17833.555266666666</v>
      </c>
      <c r="O76" s="4" t="s">
        <v>61</v>
      </c>
      <c r="P76" s="4">
        <f>1800/P74</f>
        <v>7.929515418502203</v>
      </c>
    </row>
    <row r="77" spans="2:30">
      <c r="B77" s="140"/>
      <c r="C77" s="140"/>
      <c r="M77" s="4" t="s">
        <v>214</v>
      </c>
      <c r="N77" s="4">
        <f>H43</f>
        <v>3766.4447333333333</v>
      </c>
      <c r="O77" s="4" t="s">
        <v>61</v>
      </c>
      <c r="P77" s="4">
        <f>35/227*1800*N75</f>
        <v>2997.3568281938328</v>
      </c>
    </row>
    <row r="78" spans="2:30">
      <c r="B78" s="141" t="s">
        <v>285</v>
      </c>
      <c r="C78" s="140"/>
    </row>
    <row r="79" spans="2:30">
      <c r="B79" s="140"/>
      <c r="C79" s="140"/>
      <c r="M79" s="4" t="s">
        <v>215</v>
      </c>
      <c r="N79" s="4">
        <f>N76+N77</f>
        <v>21600</v>
      </c>
      <c r="O79" s="4" t="s">
        <v>61</v>
      </c>
    </row>
    <row r="80" spans="2:30">
      <c r="B80" s="140">
        <f>IF(Dobór!M24="Kocioł tradycyjny - gaz ziemny G20",L65/E50,IF(Dobór!M24="Kocioł kondensacyjny - gaz ziemny G20",L65/E51,IF(Dobór!M24="Kocioł tradycyjny - propan G31",G51/E53,G51/E52)))</f>
        <v>0.2696629213483146</v>
      </c>
      <c r="C80" s="140" t="s">
        <v>283</v>
      </c>
      <c r="M80" s="4" t="s">
        <v>217</v>
      </c>
      <c r="N80" s="4">
        <f>(2*N79)/(N74*N75)</f>
        <v>114.28571428571429</v>
      </c>
      <c r="O80" s="4" t="s">
        <v>216</v>
      </c>
    </row>
    <row r="81" spans="2:16" ht="14.1">
      <c r="B81" s="140"/>
      <c r="C81" s="140"/>
      <c r="D81" s="5"/>
    </row>
    <row r="82" spans="2:16" ht="14.1">
      <c r="B82" s="140">
        <f>IF(Dobór!M24="Kocioł tradycyjny - gaz ziemny G20",L106/E50,IF(Dobór!M24="Kocioł kondensacyjny - gaz ziemny G20",L106/E51,IF(Dobór!M24="Kocioł tradycyjny - propan G31",G51/E53,G51/E52)))</f>
        <v>0.2957255845859853</v>
      </c>
      <c r="C82" s="140" t="s">
        <v>284</v>
      </c>
      <c r="D82" s="5"/>
      <c r="N82" s="4">
        <f>(15-Z53)/35*N75</f>
        <v>5.174373259052925</v>
      </c>
      <c r="O82" s="4" t="s">
        <v>57</v>
      </c>
    </row>
    <row r="83" spans="2:16" ht="14.1">
      <c r="B83" s="140"/>
      <c r="C83" s="140"/>
      <c r="D83" s="5"/>
    </row>
    <row r="84" spans="2:16" ht="14.1">
      <c r="B84" s="140"/>
      <c r="C84" s="140"/>
      <c r="D84" s="5"/>
    </row>
    <row r="85" spans="2:16" ht="14.1">
      <c r="B85" s="140"/>
      <c r="C85" s="140"/>
      <c r="D85" s="5"/>
      <c r="M85" s="123" t="s">
        <v>236</v>
      </c>
      <c r="N85" s="123"/>
      <c r="O85" s="123"/>
      <c r="P85" s="123"/>
    </row>
    <row r="86" spans="2:16" ht="14.1">
      <c r="B86" s="140"/>
      <c r="C86" s="140"/>
      <c r="D86" s="5"/>
      <c r="N86" s="8">
        <f>Z67</f>
        <v>-2.9796763154355466</v>
      </c>
      <c r="O86" s="4" t="s">
        <v>218</v>
      </c>
    </row>
    <row r="87" spans="2:16" ht="14.1">
      <c r="B87" s="140"/>
      <c r="C87" s="140"/>
      <c r="D87" s="5"/>
      <c r="M87" s="4" t="s">
        <v>219</v>
      </c>
      <c r="N87" s="4">
        <f>(15-N86)/N74*N75</f>
        <v>5.5480144059058265</v>
      </c>
      <c r="O87" s="4" t="s">
        <v>57</v>
      </c>
    </row>
    <row r="88" spans="2:16">
      <c r="B88" s="140"/>
      <c r="C88" s="140"/>
      <c r="I88" s="9"/>
      <c r="M88" s="4" t="s">
        <v>220</v>
      </c>
      <c r="N88" s="4">
        <f>N87*P76</f>
        <v>43.99306577370259</v>
      </c>
      <c r="O88" s="4" t="s">
        <v>61</v>
      </c>
    </row>
    <row r="89" spans="2:16">
      <c r="B89" s="140"/>
      <c r="C89" s="140"/>
    </row>
    <row r="90" spans="2:16">
      <c r="B90" s="140"/>
      <c r="C90" s="140"/>
    </row>
    <row r="91" spans="2:16">
      <c r="B91" s="140"/>
      <c r="C91" s="140"/>
    </row>
    <row r="92" spans="2:16">
      <c r="B92" s="140"/>
      <c r="C92" s="140"/>
      <c r="M92" s="123" t="s">
        <v>225</v>
      </c>
      <c r="N92" s="123"/>
    </row>
    <row r="93" spans="2:16">
      <c r="B93" s="140"/>
      <c r="C93" s="140"/>
      <c r="M93" s="4" t="s">
        <v>226</v>
      </c>
      <c r="N93" s="4">
        <f>N75*24</f>
        <v>259.20000000000005</v>
      </c>
      <c r="O93" s="4" t="s">
        <v>61</v>
      </c>
    </row>
    <row r="94" spans="2:16">
      <c r="B94" s="140"/>
      <c r="C94" s="140"/>
      <c r="M94" s="4" t="s">
        <v>227</v>
      </c>
      <c r="N94" s="4">
        <v>0</v>
      </c>
      <c r="O94" s="4" t="s">
        <v>61</v>
      </c>
    </row>
    <row r="95" spans="2:16">
      <c r="B95" s="140"/>
      <c r="C95" s="140"/>
    </row>
    <row r="96" spans="2:16">
      <c r="B96" s="140"/>
      <c r="C96" s="140"/>
      <c r="M96" s="4" t="s">
        <v>167</v>
      </c>
      <c r="N96" s="4">
        <f>N93/-36</f>
        <v>-7.2000000000000011</v>
      </c>
    </row>
    <row r="97" spans="2:29">
      <c r="B97" s="140"/>
      <c r="C97" s="140"/>
      <c r="M97" s="4" t="s">
        <v>168</v>
      </c>
      <c r="N97" s="4">
        <f>-16*N96</f>
        <v>115.20000000000002</v>
      </c>
    </row>
    <row r="98" spans="2:29">
      <c r="B98" s="140"/>
      <c r="C98" s="140"/>
    </row>
    <row r="99" spans="2:29">
      <c r="B99" s="140"/>
      <c r="C99" s="140"/>
      <c r="M99" s="4" t="s">
        <v>228</v>
      </c>
      <c r="N99" s="4">
        <f>N96*N86+N97</f>
        <v>136.65366947113597</v>
      </c>
      <c r="O99" s="4" t="s">
        <v>61</v>
      </c>
    </row>
    <row r="100" spans="2:29">
      <c r="B100" s="140"/>
      <c r="C100" s="140"/>
    </row>
    <row r="101" spans="2:29">
      <c r="B101" s="140"/>
      <c r="C101" s="140"/>
    </row>
    <row r="102" spans="2:29" ht="14.1" thickBot="1">
      <c r="B102" s="140" t="s">
        <v>284</v>
      </c>
      <c r="C102" s="140"/>
    </row>
    <row r="103" spans="2:29" ht="41.7" thickBot="1">
      <c r="B103" s="33" t="s">
        <v>44</v>
      </c>
      <c r="C103" s="34" t="s">
        <v>91</v>
      </c>
      <c r="D103" s="35" t="s">
        <v>92</v>
      </c>
      <c r="E103" s="36" t="s">
        <v>87</v>
      </c>
      <c r="F103" s="36" t="s">
        <v>93</v>
      </c>
      <c r="G103" s="36" t="s">
        <v>94</v>
      </c>
      <c r="H103" s="36" t="s">
        <v>95</v>
      </c>
      <c r="L103" s="4" t="s">
        <v>146</v>
      </c>
    </row>
    <row r="104" spans="2:29" ht="27.9" thickBot="1">
      <c r="B104" s="42" t="s">
        <v>88</v>
      </c>
      <c r="C104" s="37" t="s">
        <v>89</v>
      </c>
      <c r="D104" s="38">
        <v>1.3234999999999999</v>
      </c>
      <c r="E104" s="39">
        <v>8.1999999999999993</v>
      </c>
      <c r="F104" s="39">
        <v>13.45</v>
      </c>
      <c r="G104" s="40">
        <v>0.51949999999999996</v>
      </c>
      <c r="H104" s="41">
        <f>'SCOP 221.A29 ver 2'!FN8</f>
        <v>364.56458633710929</v>
      </c>
      <c r="I104" s="60">
        <f>(H104*G104)+(12*F104)+(12*E104)+(H104*D104)</f>
        <v>931.69253261929225</v>
      </c>
      <c r="J104" s="4">
        <f>H104*9.71</f>
        <v>3539.9221333333317</v>
      </c>
      <c r="K104" s="4" t="s">
        <v>61</v>
      </c>
      <c r="L104" s="60">
        <f>I104/J104</f>
        <v>0.26319577028152691</v>
      </c>
      <c r="M104" s="13"/>
    </row>
    <row r="105" spans="2:29" ht="27.9" thickBot="1">
      <c r="B105" s="43" t="s">
        <v>88</v>
      </c>
      <c r="C105" s="44" t="s">
        <v>90</v>
      </c>
      <c r="D105" s="45">
        <v>1.3076000000000001</v>
      </c>
      <c r="E105" s="46">
        <v>10.3</v>
      </c>
      <c r="F105" s="46">
        <v>36.9</v>
      </c>
      <c r="G105" s="47">
        <v>0.4491</v>
      </c>
      <c r="H105" s="48">
        <f>'SCOP 221.A29 ver 2'!FN8</f>
        <v>364.56458633710929</v>
      </c>
      <c r="I105" s="60">
        <f>(H105*G105)+(12*F105)+(12*E105)+(H105*D105)</f>
        <v>1206.8306088183999</v>
      </c>
      <c r="J105" s="4">
        <f>H105*9.71</f>
        <v>3539.9221333333317</v>
      </c>
      <c r="K105" s="4" t="s">
        <v>61</v>
      </c>
      <c r="L105" s="60">
        <f>I105/J105</f>
        <v>0.34092010031926895</v>
      </c>
    </row>
    <row r="106" spans="2:29">
      <c r="B106" s="140"/>
      <c r="C106" s="140"/>
      <c r="L106" s="8">
        <f>IF(H103&lt;1200,L103,L104)</f>
        <v>0.26319577028152691</v>
      </c>
    </row>
    <row r="107" spans="2:29">
      <c r="B107" s="140"/>
      <c r="C107" s="140"/>
    </row>
    <row r="108" spans="2:29">
      <c r="B108" s="140"/>
      <c r="C108" s="140"/>
      <c r="Q108" s="8"/>
      <c r="AA108" s="9"/>
      <c r="AB108" s="8"/>
      <c r="AC108" s="8"/>
    </row>
    <row r="109" spans="2:29">
      <c r="Q109" s="8"/>
      <c r="AC109" s="8"/>
    </row>
    <row r="115" spans="3:3" ht="14.1">
      <c r="C115" s="5"/>
    </row>
    <row r="116" spans="3:3" ht="14.1">
      <c r="C116" s="5"/>
    </row>
    <row r="117" spans="3:3" ht="14.1">
      <c r="C117" s="5"/>
    </row>
  </sheetData>
  <sheetProtection algorithmName="SHA-512" hashValue="rs91Kt1DJkIEBMMKWRZXDxzdLfA1NhUXFMoKPjL/2MCWdz6ToD4Im9YB9kUboNAv6ThHpx8tWCMyWFKUqzwuzA==" saltValue="OR8eIWU5KMOanp2svp1xTQ==" spinCount="100000" sheet="1" selectLockedCells="1"/>
  <customSheetViews>
    <customSheetView guid="{88E46702-3914-4504-BC03-37FCE1AAFB05}" scale="70" topLeftCell="A31">
      <selection activeCell="M60" sqref="M60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ignoredErrors>
    <ignoredError sqref="X50 P50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3:AD117"/>
  <sheetViews>
    <sheetView topLeftCell="D36" zoomScale="70" zoomScaleNormal="70" workbookViewId="0">
      <selection activeCell="R67" sqref="R67"/>
    </sheetView>
  </sheetViews>
  <sheetFormatPr defaultColWidth="9" defaultRowHeight="13.8"/>
  <cols>
    <col min="1" max="3" width="9" style="4"/>
    <col min="4" max="4" width="17.6171875" style="4" bestFit="1" customWidth="1"/>
    <col min="5" max="5" width="17.234375" style="4" bestFit="1" customWidth="1"/>
    <col min="6" max="6" width="13.6171875" style="4" customWidth="1"/>
    <col min="7" max="7" width="11.76171875" style="4" customWidth="1"/>
    <col min="8" max="8" width="17.6171875" style="4" bestFit="1" customWidth="1"/>
    <col min="9" max="9" width="17.234375" style="4" customWidth="1"/>
    <col min="10" max="10" width="9.76171875" style="4" bestFit="1" customWidth="1"/>
    <col min="11" max="11" width="5.76171875" style="4" bestFit="1" customWidth="1"/>
    <col min="12" max="12" width="17.6171875" style="4" bestFit="1" customWidth="1"/>
    <col min="13" max="13" width="17.234375" style="4" bestFit="1" customWidth="1"/>
    <col min="14" max="14" width="9.76171875" style="4" bestFit="1" customWidth="1"/>
    <col min="15" max="15" width="10.47265625" style="4" customWidth="1"/>
    <col min="16" max="16" width="7.6171875" style="4" customWidth="1"/>
    <col min="17" max="18" width="13" style="4" bestFit="1" customWidth="1"/>
    <col min="19" max="19" width="6.47265625" style="4" bestFit="1" customWidth="1"/>
    <col min="20" max="20" width="9" style="4" bestFit="1" customWidth="1"/>
    <col min="21" max="21" width="7" style="4" customWidth="1"/>
    <col min="22" max="22" width="9.76171875" style="4" customWidth="1"/>
    <col min="23" max="24" width="16.234375" style="4" customWidth="1"/>
    <col min="25" max="25" width="9.76171875" style="4" bestFit="1" customWidth="1"/>
    <col min="26" max="26" width="9.76171875" style="4" customWidth="1"/>
    <col min="27" max="16384" width="9" style="4"/>
  </cols>
  <sheetData>
    <row r="3" spans="1:25" ht="14.1">
      <c r="B3" s="5" t="s">
        <v>60</v>
      </c>
    </row>
    <row r="4" spans="1:25">
      <c r="A4" s="8"/>
      <c r="Q4" s="4" t="s">
        <v>154</v>
      </c>
      <c r="X4" s="7"/>
      <c r="Y4" s="7"/>
    </row>
    <row r="5" spans="1:25">
      <c r="A5" s="9" t="s">
        <v>35</v>
      </c>
      <c r="B5" s="4" t="s">
        <v>0</v>
      </c>
      <c r="C5" s="15" t="s">
        <v>1</v>
      </c>
      <c r="D5" s="14" t="s">
        <v>31</v>
      </c>
      <c r="E5" s="14" t="s">
        <v>5</v>
      </c>
      <c r="F5" s="14" t="s">
        <v>4</v>
      </c>
      <c r="G5" s="15" t="s">
        <v>1</v>
      </c>
      <c r="H5" s="14" t="s">
        <v>32</v>
      </c>
      <c r="I5" s="14" t="s">
        <v>6</v>
      </c>
      <c r="J5" s="14" t="s">
        <v>3</v>
      </c>
      <c r="K5" s="15" t="s">
        <v>1</v>
      </c>
      <c r="L5" s="14" t="s">
        <v>33</v>
      </c>
      <c r="M5" s="14" t="s">
        <v>7</v>
      </c>
      <c r="N5" s="14" t="s">
        <v>2</v>
      </c>
      <c r="Q5" s="83" t="s">
        <v>25</v>
      </c>
      <c r="R5" s="83" t="s">
        <v>26</v>
      </c>
      <c r="S5" s="83" t="s">
        <v>28</v>
      </c>
      <c r="T5" s="83" t="s">
        <v>134</v>
      </c>
      <c r="U5" s="83"/>
      <c r="V5" s="83"/>
      <c r="X5" s="7"/>
      <c r="Y5" s="7"/>
    </row>
    <row r="6" spans="1:25">
      <c r="A6" s="8">
        <f>Dobór!P27</f>
        <v>10.8</v>
      </c>
      <c r="B6" s="4">
        <v>-20</v>
      </c>
      <c r="C6" s="15">
        <v>35</v>
      </c>
      <c r="D6" s="14">
        <v>0</v>
      </c>
      <c r="E6" s="14">
        <v>0</v>
      </c>
      <c r="F6" s="16" t="e">
        <f>D6/E6</f>
        <v>#DIV/0!</v>
      </c>
      <c r="G6" s="15">
        <v>45</v>
      </c>
      <c r="H6" s="14">
        <v>0</v>
      </c>
      <c r="I6" s="14">
        <v>0</v>
      </c>
      <c r="J6" s="16" t="e">
        <f>H6/I6</f>
        <v>#DIV/0!</v>
      </c>
      <c r="K6" s="15">
        <v>55</v>
      </c>
      <c r="L6" s="14">
        <v>0</v>
      </c>
      <c r="M6" s="14">
        <v>0</v>
      </c>
      <c r="N6" s="16" t="e">
        <f>L6/M6</f>
        <v>#DIV/0!</v>
      </c>
      <c r="P6" s="8"/>
      <c r="T6" s="60"/>
      <c r="U6" s="4">
        <v>-20</v>
      </c>
      <c r="V6" s="60">
        <f>$G$54</f>
        <v>0.28000000000000003</v>
      </c>
      <c r="X6" s="7"/>
      <c r="Y6" s="7"/>
    </row>
    <row r="7" spans="1:25">
      <c r="A7" s="8"/>
      <c r="B7" s="4">
        <v>-15</v>
      </c>
      <c r="C7" s="15">
        <v>35</v>
      </c>
      <c r="D7" s="14">
        <v>3.4</v>
      </c>
      <c r="E7" s="14">
        <v>1.63</v>
      </c>
      <c r="F7" s="16">
        <f t="shared" ref="F7:F15" si="0">D7/E7</f>
        <v>2.0858895705521472</v>
      </c>
      <c r="G7" s="15">
        <v>45</v>
      </c>
      <c r="H7" s="14">
        <v>3</v>
      </c>
      <c r="I7" s="14">
        <v>1.96</v>
      </c>
      <c r="J7" s="16">
        <f t="shared" ref="J7:J15" si="1">H7/I7</f>
        <v>1.5306122448979591</v>
      </c>
      <c r="K7" s="15">
        <v>55</v>
      </c>
      <c r="L7" s="14">
        <v>2.8</v>
      </c>
      <c r="M7" s="14">
        <v>2.4</v>
      </c>
      <c r="N7" s="16">
        <f t="shared" ref="N7:N15" si="2">L7/M7</f>
        <v>1.1666666666666667</v>
      </c>
      <c r="P7" s="8"/>
      <c r="Q7" s="4">
        <f>L7</f>
        <v>2.8</v>
      </c>
      <c r="R7" s="4">
        <f>M7</f>
        <v>2.4</v>
      </c>
      <c r="S7" s="8">
        <f>N7</f>
        <v>1.1666666666666667</v>
      </c>
      <c r="T7" s="60">
        <f t="shared" ref="T7:T13" si="3">$C$56/S7</f>
        <v>0.5228571428571428</v>
      </c>
      <c r="U7" s="4">
        <v>-15</v>
      </c>
      <c r="V7" s="60">
        <f t="shared" ref="V7:V13" si="4">$G$54</f>
        <v>0.28000000000000003</v>
      </c>
      <c r="X7" s="7"/>
      <c r="Y7" s="7"/>
    </row>
    <row r="8" spans="1:25">
      <c r="A8" s="8"/>
      <c r="B8" s="4">
        <v>-7</v>
      </c>
      <c r="C8" s="15">
        <v>35</v>
      </c>
      <c r="D8" s="14">
        <v>4.5999999999999996</v>
      </c>
      <c r="E8" s="14">
        <v>1.77</v>
      </c>
      <c r="F8" s="16">
        <f t="shared" si="0"/>
        <v>2.5988700564971747</v>
      </c>
      <c r="G8" s="15">
        <v>45</v>
      </c>
      <c r="H8" s="14">
        <v>4.4000000000000004</v>
      </c>
      <c r="I8" s="14">
        <v>2.14</v>
      </c>
      <c r="J8" s="16">
        <f t="shared" si="1"/>
        <v>2.0560747663551404</v>
      </c>
      <c r="K8" s="15">
        <v>55</v>
      </c>
      <c r="L8" s="14">
        <v>3.8</v>
      </c>
      <c r="M8" s="14">
        <v>2.48</v>
      </c>
      <c r="N8" s="16">
        <f t="shared" si="2"/>
        <v>1.532258064516129</v>
      </c>
      <c r="P8" s="8"/>
      <c r="Q8" s="4">
        <f t="shared" ref="Q8:Q15" si="5">L8</f>
        <v>3.8</v>
      </c>
      <c r="R8" s="4">
        <f t="shared" ref="R8:R15" si="6">M8</f>
        <v>2.48</v>
      </c>
      <c r="S8" s="8">
        <f t="shared" ref="S8:S15" si="7">N8</f>
        <v>1.532258064516129</v>
      </c>
      <c r="T8" s="60">
        <f t="shared" si="3"/>
        <v>0.39810526315789474</v>
      </c>
      <c r="U8" s="4">
        <v>-7</v>
      </c>
      <c r="V8" s="60">
        <f t="shared" si="4"/>
        <v>0.28000000000000003</v>
      </c>
      <c r="X8" s="7"/>
      <c r="Y8" s="7"/>
    </row>
    <row r="9" spans="1:25">
      <c r="A9" s="8"/>
      <c r="B9" s="4">
        <v>2</v>
      </c>
      <c r="C9" s="15">
        <v>35</v>
      </c>
      <c r="D9" s="14">
        <v>5.6</v>
      </c>
      <c r="E9" s="14">
        <v>1.73</v>
      </c>
      <c r="F9" s="16">
        <f t="shared" si="0"/>
        <v>3.2369942196531789</v>
      </c>
      <c r="G9" s="15">
        <v>45</v>
      </c>
      <c r="H9" s="14">
        <v>5.3</v>
      </c>
      <c r="I9" s="14">
        <v>2.19</v>
      </c>
      <c r="J9" s="16">
        <f t="shared" si="1"/>
        <v>2.4200913242009134</v>
      </c>
      <c r="K9" s="15">
        <v>55</v>
      </c>
      <c r="L9" s="14">
        <v>5.0999999999999996</v>
      </c>
      <c r="M9" s="14">
        <v>2.64</v>
      </c>
      <c r="N9" s="16">
        <f t="shared" si="2"/>
        <v>1.9318181818181817</v>
      </c>
      <c r="P9" s="8"/>
      <c r="Q9" s="4">
        <f t="shared" si="5"/>
        <v>5.0999999999999996</v>
      </c>
      <c r="R9" s="4">
        <f t="shared" si="6"/>
        <v>2.64</v>
      </c>
      <c r="S9" s="8">
        <f t="shared" si="7"/>
        <v>1.9318181818181817</v>
      </c>
      <c r="T9" s="60">
        <f t="shared" si="3"/>
        <v>0.31576470588235295</v>
      </c>
      <c r="U9" s="4">
        <v>2</v>
      </c>
      <c r="V9" s="60">
        <f t="shared" si="4"/>
        <v>0.28000000000000003</v>
      </c>
      <c r="X9" s="7"/>
      <c r="Y9" s="7"/>
    </row>
    <row r="10" spans="1:25">
      <c r="A10" s="8"/>
      <c r="B10" s="4">
        <v>7</v>
      </c>
      <c r="C10" s="15">
        <v>35</v>
      </c>
      <c r="D10" s="14">
        <v>8</v>
      </c>
      <c r="E10" s="14">
        <v>1.88</v>
      </c>
      <c r="F10" s="16">
        <f>D10/E10</f>
        <v>4.2553191489361701</v>
      </c>
      <c r="G10" s="15">
        <v>45</v>
      </c>
      <c r="H10" s="14">
        <v>6.8</v>
      </c>
      <c r="I10" s="14">
        <v>2.31</v>
      </c>
      <c r="J10" s="16">
        <f>H10/I10</f>
        <v>2.9437229437229435</v>
      </c>
      <c r="K10" s="15">
        <v>55</v>
      </c>
      <c r="L10" s="14">
        <v>6</v>
      </c>
      <c r="M10" s="14">
        <v>2.77</v>
      </c>
      <c r="N10" s="16">
        <f>L10/M10</f>
        <v>2.1660649819494586</v>
      </c>
      <c r="P10" s="8"/>
      <c r="Q10" s="4">
        <f t="shared" si="5"/>
        <v>6</v>
      </c>
      <c r="R10" s="4">
        <f t="shared" si="6"/>
        <v>2.77</v>
      </c>
      <c r="S10" s="8">
        <f t="shared" si="7"/>
        <v>2.1660649819494586</v>
      </c>
      <c r="T10" s="60">
        <f t="shared" si="3"/>
        <v>0.28161666666666663</v>
      </c>
      <c r="U10" s="4">
        <v>7</v>
      </c>
      <c r="V10" s="60">
        <f t="shared" si="4"/>
        <v>0.28000000000000003</v>
      </c>
      <c r="X10" s="7"/>
      <c r="Y10" s="7"/>
    </row>
    <row r="11" spans="1:25">
      <c r="A11" s="8"/>
      <c r="B11" s="4">
        <v>10</v>
      </c>
      <c r="C11" s="15">
        <v>35</v>
      </c>
      <c r="D11" s="14">
        <v>8.1999999999999993</v>
      </c>
      <c r="E11" s="14">
        <v>1.91</v>
      </c>
      <c r="F11" s="16">
        <f t="shared" si="0"/>
        <v>4.2931937172774868</v>
      </c>
      <c r="G11" s="15">
        <v>45</v>
      </c>
      <c r="H11" s="14">
        <v>7.3</v>
      </c>
      <c r="I11" s="14">
        <v>2.323</v>
      </c>
      <c r="J11" s="16">
        <f t="shared" si="1"/>
        <v>3.1424881618596641</v>
      </c>
      <c r="K11" s="15">
        <v>55</v>
      </c>
      <c r="L11" s="14">
        <v>6.5</v>
      </c>
      <c r="M11" s="14">
        <v>2.79</v>
      </c>
      <c r="N11" s="16">
        <f t="shared" si="2"/>
        <v>2.3297491039426523</v>
      </c>
      <c r="P11" s="8"/>
      <c r="Q11" s="4">
        <f t="shared" si="5"/>
        <v>6.5</v>
      </c>
      <c r="R11" s="4">
        <f t="shared" si="6"/>
        <v>2.79</v>
      </c>
      <c r="S11" s="8">
        <f t="shared" si="7"/>
        <v>2.3297491039426523</v>
      </c>
      <c r="T11" s="60">
        <f t="shared" si="3"/>
        <v>0.2618307692307692</v>
      </c>
      <c r="U11" s="4">
        <v>10</v>
      </c>
      <c r="V11" s="60">
        <f t="shared" si="4"/>
        <v>0.28000000000000003</v>
      </c>
      <c r="X11" s="7"/>
      <c r="Y11" s="7"/>
    </row>
    <row r="12" spans="1:25">
      <c r="A12" s="8"/>
      <c r="B12" s="4">
        <v>12</v>
      </c>
      <c r="C12" s="15">
        <v>35</v>
      </c>
      <c r="D12" s="16">
        <f>D11+(D14-D11)/10*2</f>
        <v>8.5399999999999991</v>
      </c>
      <c r="E12" s="14">
        <v>1.91</v>
      </c>
      <c r="F12" s="16">
        <f t="shared" si="0"/>
        <v>4.4712041884816749</v>
      </c>
      <c r="G12" s="15">
        <v>45</v>
      </c>
      <c r="H12" s="16">
        <f>H11+(H14-H11)/10*2</f>
        <v>7.7</v>
      </c>
      <c r="I12" s="14">
        <v>2.33</v>
      </c>
      <c r="J12" s="16">
        <f t="shared" si="1"/>
        <v>3.3047210300429186</v>
      </c>
      <c r="K12" s="15">
        <v>55</v>
      </c>
      <c r="L12" s="16">
        <f>L11+(L14-L11)/10*2</f>
        <v>6.76</v>
      </c>
      <c r="M12" s="14">
        <v>2.8</v>
      </c>
      <c r="N12" s="16">
        <f t="shared" si="2"/>
        <v>2.4142857142857141</v>
      </c>
      <c r="P12" s="8"/>
      <c r="Q12" s="4">
        <f t="shared" si="5"/>
        <v>6.76</v>
      </c>
      <c r="R12" s="4">
        <f t="shared" si="6"/>
        <v>2.8</v>
      </c>
      <c r="S12" s="8">
        <f t="shared" si="7"/>
        <v>2.4142857142857141</v>
      </c>
      <c r="T12" s="60">
        <f t="shared" si="3"/>
        <v>0.25266272189349115</v>
      </c>
      <c r="U12" s="4">
        <v>12</v>
      </c>
      <c r="V12" s="60">
        <f t="shared" si="4"/>
        <v>0.28000000000000003</v>
      </c>
      <c r="X12" s="7"/>
      <c r="Y12" s="7"/>
    </row>
    <row r="13" spans="1:25">
      <c r="A13" s="8"/>
      <c r="B13" s="4">
        <v>15</v>
      </c>
      <c r="C13" s="15">
        <v>35</v>
      </c>
      <c r="D13" s="14">
        <f>(D11+D14)/2</f>
        <v>9.0500000000000007</v>
      </c>
      <c r="E13" s="14">
        <v>1.9</v>
      </c>
      <c r="F13" s="16">
        <f>D13/E13</f>
        <v>4.7631578947368425</v>
      </c>
      <c r="G13" s="15">
        <v>45</v>
      </c>
      <c r="H13" s="14">
        <f>(H11+H14)/2</f>
        <v>8.3000000000000007</v>
      </c>
      <c r="I13" s="14">
        <v>2.35</v>
      </c>
      <c r="J13" s="16">
        <f>H13/I13</f>
        <v>3.5319148936170213</v>
      </c>
      <c r="K13" s="15">
        <v>55</v>
      </c>
      <c r="L13" s="14">
        <f>(L11+L14)/2</f>
        <v>7.15</v>
      </c>
      <c r="M13" s="14">
        <v>2.79</v>
      </c>
      <c r="N13" s="16">
        <f>L13/M13</f>
        <v>2.5627240143369177</v>
      </c>
      <c r="P13" s="8"/>
      <c r="Q13" s="4">
        <f t="shared" si="5"/>
        <v>7.15</v>
      </c>
      <c r="R13" s="4">
        <f t="shared" si="6"/>
        <v>2.79</v>
      </c>
      <c r="S13" s="8">
        <f t="shared" si="7"/>
        <v>2.5627240143369177</v>
      </c>
      <c r="T13" s="60">
        <f t="shared" si="3"/>
        <v>0.23802797202797202</v>
      </c>
      <c r="U13" s="4">
        <v>15</v>
      </c>
      <c r="V13" s="60">
        <f t="shared" si="4"/>
        <v>0.28000000000000003</v>
      </c>
      <c r="X13" s="7"/>
      <c r="Y13" s="7"/>
    </row>
    <row r="14" spans="1:25">
      <c r="A14" s="8"/>
      <c r="B14" s="4">
        <v>20</v>
      </c>
      <c r="C14" s="15">
        <v>35</v>
      </c>
      <c r="D14" s="14">
        <v>9.9</v>
      </c>
      <c r="E14" s="14">
        <v>1.9</v>
      </c>
      <c r="F14" s="16">
        <f t="shared" si="0"/>
        <v>5.2105263157894743</v>
      </c>
      <c r="G14" s="15">
        <v>45</v>
      </c>
      <c r="H14" s="14">
        <v>9.3000000000000007</v>
      </c>
      <c r="I14" s="14">
        <v>2.36</v>
      </c>
      <c r="J14" s="16">
        <f t="shared" si="1"/>
        <v>3.9406779661016955</v>
      </c>
      <c r="K14" s="15">
        <v>55</v>
      </c>
      <c r="L14" s="14">
        <v>7.8</v>
      </c>
      <c r="M14" s="14">
        <v>2.77</v>
      </c>
      <c r="N14" s="16">
        <f t="shared" si="2"/>
        <v>2.8158844765342961</v>
      </c>
      <c r="P14" s="8"/>
      <c r="Q14" s="4">
        <f t="shared" si="5"/>
        <v>7.8</v>
      </c>
      <c r="R14" s="4">
        <f t="shared" si="6"/>
        <v>2.77</v>
      </c>
      <c r="S14" s="8">
        <f t="shared" si="7"/>
        <v>2.8158844765342961</v>
      </c>
      <c r="U14" s="4">
        <v>20</v>
      </c>
      <c r="X14" s="7"/>
      <c r="Y14" s="7"/>
    </row>
    <row r="15" spans="1:25">
      <c r="A15" s="8"/>
      <c r="B15" s="4">
        <v>30</v>
      </c>
      <c r="C15" s="15">
        <v>35</v>
      </c>
      <c r="D15" s="14">
        <v>11.8</v>
      </c>
      <c r="E15" s="14">
        <v>1.88</v>
      </c>
      <c r="F15" s="16">
        <f t="shared" si="0"/>
        <v>6.2765957446808516</v>
      </c>
      <c r="G15" s="15">
        <v>45</v>
      </c>
      <c r="H15" s="14">
        <v>10.4</v>
      </c>
      <c r="I15" s="14">
        <v>2.3199999999999998</v>
      </c>
      <c r="J15" s="16">
        <f t="shared" si="1"/>
        <v>4.4827586206896557</v>
      </c>
      <c r="K15" s="15">
        <v>55</v>
      </c>
      <c r="L15" s="14">
        <v>9.5</v>
      </c>
      <c r="M15" s="14">
        <v>2.86</v>
      </c>
      <c r="N15" s="16">
        <f t="shared" si="2"/>
        <v>3.3216783216783217</v>
      </c>
      <c r="Q15" s="4">
        <f t="shared" si="5"/>
        <v>9.5</v>
      </c>
      <c r="R15" s="4">
        <f t="shared" si="6"/>
        <v>2.86</v>
      </c>
      <c r="S15" s="8">
        <f t="shared" si="7"/>
        <v>3.3216783216783217</v>
      </c>
      <c r="U15" s="4">
        <v>30</v>
      </c>
      <c r="X15" s="7"/>
      <c r="Y15" s="7"/>
    </row>
    <row r="16" spans="1:25">
      <c r="A16" s="8"/>
      <c r="X16" s="7"/>
      <c r="Y16" s="7"/>
    </row>
    <row r="17" spans="1:30">
      <c r="A17" s="9" t="s">
        <v>34</v>
      </c>
      <c r="B17" s="4" t="s">
        <v>0</v>
      </c>
      <c r="C17" s="15" t="s">
        <v>1</v>
      </c>
      <c r="D17" s="14" t="s">
        <v>31</v>
      </c>
      <c r="E17" s="14" t="s">
        <v>5</v>
      </c>
      <c r="F17" s="14" t="s">
        <v>4</v>
      </c>
      <c r="G17" s="15" t="s">
        <v>1</v>
      </c>
      <c r="H17" s="14" t="s">
        <v>32</v>
      </c>
      <c r="I17" s="14" t="s">
        <v>6</v>
      </c>
      <c r="J17" s="14" t="s">
        <v>3</v>
      </c>
      <c r="K17" s="15" t="s">
        <v>1</v>
      </c>
      <c r="L17" s="14" t="s">
        <v>33</v>
      </c>
      <c r="M17" s="14" t="s">
        <v>7</v>
      </c>
      <c r="N17" s="14" t="s">
        <v>2</v>
      </c>
      <c r="Q17" s="83" t="s">
        <v>25</v>
      </c>
      <c r="R17" s="83" t="s">
        <v>27</v>
      </c>
      <c r="S17" s="83" t="s">
        <v>28</v>
      </c>
      <c r="T17" s="83"/>
      <c r="U17" s="83"/>
      <c r="V17" s="83"/>
      <c r="X17" s="7"/>
      <c r="Y17" s="7"/>
    </row>
    <row r="18" spans="1:30">
      <c r="A18" s="8">
        <f>Dobór!P27</f>
        <v>10.8</v>
      </c>
      <c r="B18" s="4">
        <v>-20</v>
      </c>
      <c r="C18" s="15">
        <v>35</v>
      </c>
      <c r="D18" s="14">
        <v>7.04</v>
      </c>
      <c r="E18" s="14">
        <v>3.09</v>
      </c>
      <c r="F18" s="16">
        <f t="shared" ref="F18:F27" si="8">D18/E18</f>
        <v>2.2783171521035599</v>
      </c>
      <c r="G18" s="15">
        <v>45</v>
      </c>
      <c r="H18" s="14">
        <v>6.22</v>
      </c>
      <c r="I18" s="14">
        <v>3.54</v>
      </c>
      <c r="J18" s="16">
        <f>H18/I18</f>
        <v>1.7570621468926553</v>
      </c>
      <c r="K18" s="15">
        <v>50</v>
      </c>
      <c r="L18" s="14">
        <v>6.15</v>
      </c>
      <c r="M18" s="14">
        <v>4.0999999999999996</v>
      </c>
      <c r="N18" s="16">
        <f>L18/M18</f>
        <v>1.5000000000000002</v>
      </c>
      <c r="P18" s="8"/>
      <c r="Q18" s="4">
        <f>L18</f>
        <v>6.15</v>
      </c>
      <c r="R18" s="4">
        <f>M18</f>
        <v>4.0999999999999996</v>
      </c>
      <c r="S18" s="8">
        <f>N18</f>
        <v>1.5000000000000002</v>
      </c>
      <c r="T18" s="60">
        <f>$C$56/S18</f>
        <v>0.40666666666666662</v>
      </c>
      <c r="U18" s="4">
        <v>-20</v>
      </c>
      <c r="V18" s="60">
        <f>$G$54</f>
        <v>0.28000000000000003</v>
      </c>
      <c r="X18" s="7"/>
      <c r="Y18" s="7"/>
    </row>
    <row r="19" spans="1:30">
      <c r="A19" s="8"/>
      <c r="B19" s="4">
        <v>-15</v>
      </c>
      <c r="C19" s="15">
        <v>35</v>
      </c>
      <c r="D19" s="14">
        <v>8.01</v>
      </c>
      <c r="E19" s="14">
        <v>3.1</v>
      </c>
      <c r="F19" s="16">
        <f t="shared" si="8"/>
        <v>2.5838709677419351</v>
      </c>
      <c r="G19" s="15">
        <v>45</v>
      </c>
      <c r="H19" s="14">
        <v>7.2</v>
      </c>
      <c r="I19" s="14">
        <v>3.56</v>
      </c>
      <c r="J19" s="16">
        <f t="shared" ref="J19:J27" si="9">H19/I19</f>
        <v>2.0224719101123596</v>
      </c>
      <c r="K19" s="15">
        <v>55</v>
      </c>
      <c r="L19" s="14">
        <v>6.31</v>
      </c>
      <c r="M19" s="14">
        <v>4.07</v>
      </c>
      <c r="N19" s="16">
        <f t="shared" ref="N19:N27" si="10">L19/M19</f>
        <v>1.5503685503685503</v>
      </c>
      <c r="P19" s="8"/>
      <c r="Q19" s="4">
        <f t="shared" ref="Q19:Q27" si="11">L19</f>
        <v>6.31</v>
      </c>
      <c r="R19" s="4">
        <f t="shared" ref="R19:R27" si="12">M19</f>
        <v>4.07</v>
      </c>
      <c r="S19" s="8">
        <f t="shared" ref="S19:S27" si="13">N19</f>
        <v>1.5503685503685503</v>
      </c>
      <c r="T19" s="60">
        <f t="shared" ref="T19:T25" si="14">$C$56/S19</f>
        <v>0.39345483359746436</v>
      </c>
      <c r="U19" s="4">
        <v>-15</v>
      </c>
      <c r="V19" s="60">
        <f t="shared" ref="V19:V25" si="15">$G$54</f>
        <v>0.28000000000000003</v>
      </c>
      <c r="X19" s="7"/>
      <c r="Y19" s="7"/>
    </row>
    <row r="20" spans="1:30">
      <c r="A20" s="8"/>
      <c r="B20" s="4">
        <v>-7</v>
      </c>
      <c r="C20" s="15">
        <v>35</v>
      </c>
      <c r="D20" s="14">
        <v>9.57</v>
      </c>
      <c r="E20" s="14">
        <v>3.11</v>
      </c>
      <c r="F20" s="16">
        <f t="shared" si="8"/>
        <v>3.077170418006431</v>
      </c>
      <c r="G20" s="15">
        <v>45</v>
      </c>
      <c r="H20" s="14">
        <v>8.77</v>
      </c>
      <c r="I20" s="14">
        <v>3.59</v>
      </c>
      <c r="J20" s="16">
        <f t="shared" si="9"/>
        <v>2.4428969359331476</v>
      </c>
      <c r="K20" s="15">
        <v>55</v>
      </c>
      <c r="L20" s="14">
        <v>7.96</v>
      </c>
      <c r="M20" s="14">
        <v>4</v>
      </c>
      <c r="N20" s="16">
        <f t="shared" si="10"/>
        <v>1.99</v>
      </c>
      <c r="P20" s="8"/>
      <c r="Q20" s="4">
        <f t="shared" si="11"/>
        <v>7.96</v>
      </c>
      <c r="R20" s="4">
        <f t="shared" si="12"/>
        <v>4</v>
      </c>
      <c r="S20" s="8">
        <f t="shared" si="13"/>
        <v>1.99</v>
      </c>
      <c r="T20" s="60">
        <f t="shared" si="14"/>
        <v>0.30653266331658291</v>
      </c>
      <c r="U20" s="4">
        <v>-7</v>
      </c>
      <c r="V20" s="60">
        <f t="shared" si="15"/>
        <v>0.28000000000000003</v>
      </c>
      <c r="X20" s="7"/>
      <c r="Y20" s="7"/>
      <c r="AD20" s="8"/>
    </row>
    <row r="21" spans="1:30">
      <c r="A21" s="8"/>
      <c r="B21" s="4">
        <v>2</v>
      </c>
      <c r="C21" s="15">
        <v>35</v>
      </c>
      <c r="D21" s="14">
        <v>7.57</v>
      </c>
      <c r="E21" s="14">
        <v>1.99</v>
      </c>
      <c r="F21" s="16">
        <f t="shared" si="8"/>
        <v>3.8040201005025129</v>
      </c>
      <c r="G21" s="15">
        <v>45</v>
      </c>
      <c r="H21" s="14">
        <v>6.85</v>
      </c>
      <c r="I21" s="14">
        <v>2.46</v>
      </c>
      <c r="J21" s="16">
        <f t="shared" si="9"/>
        <v>2.7845528455284554</v>
      </c>
      <c r="K21" s="15">
        <v>55</v>
      </c>
      <c r="L21" s="14">
        <v>6.18</v>
      </c>
      <c r="M21" s="14">
        <v>2.9</v>
      </c>
      <c r="N21" s="16">
        <f t="shared" si="10"/>
        <v>2.1310344827586207</v>
      </c>
      <c r="P21" s="8"/>
      <c r="Q21" s="4">
        <f t="shared" si="11"/>
        <v>6.18</v>
      </c>
      <c r="R21" s="4">
        <f t="shared" si="12"/>
        <v>2.9</v>
      </c>
      <c r="S21" s="8">
        <f t="shared" si="13"/>
        <v>2.1310344827586207</v>
      </c>
      <c r="T21" s="60">
        <f t="shared" si="14"/>
        <v>0.28624595469255665</v>
      </c>
      <c r="U21" s="4">
        <v>2</v>
      </c>
      <c r="V21" s="60">
        <f t="shared" si="15"/>
        <v>0.28000000000000003</v>
      </c>
      <c r="X21" s="7"/>
      <c r="Y21" s="7"/>
      <c r="AD21" s="8"/>
    </row>
    <row r="22" spans="1:30">
      <c r="A22" s="8"/>
      <c r="B22" s="4">
        <v>7</v>
      </c>
      <c r="C22" s="15">
        <v>35</v>
      </c>
      <c r="D22" s="14">
        <v>10.16</v>
      </c>
      <c r="E22" s="14">
        <v>2</v>
      </c>
      <c r="F22" s="16">
        <f t="shared" si="8"/>
        <v>5.08</v>
      </c>
      <c r="G22" s="15">
        <v>45</v>
      </c>
      <c r="H22" s="14">
        <v>8.7899999999999991</v>
      </c>
      <c r="I22" s="14">
        <v>2.48</v>
      </c>
      <c r="J22" s="16">
        <f t="shared" si="9"/>
        <v>3.544354838709677</v>
      </c>
      <c r="K22" s="15">
        <v>55</v>
      </c>
      <c r="L22" s="14">
        <v>7.64</v>
      </c>
      <c r="M22" s="14">
        <v>2.93</v>
      </c>
      <c r="N22" s="16">
        <f t="shared" si="10"/>
        <v>2.6075085324232079</v>
      </c>
      <c r="P22" s="8"/>
      <c r="Q22" s="4">
        <f t="shared" si="11"/>
        <v>7.64</v>
      </c>
      <c r="R22" s="4">
        <f t="shared" si="12"/>
        <v>2.93</v>
      </c>
      <c r="S22" s="8">
        <f t="shared" si="13"/>
        <v>2.6075085324232079</v>
      </c>
      <c r="T22" s="60">
        <f t="shared" si="14"/>
        <v>0.23393979057591624</v>
      </c>
      <c r="U22" s="4">
        <v>7</v>
      </c>
      <c r="V22" s="60">
        <f t="shared" si="15"/>
        <v>0.28000000000000003</v>
      </c>
      <c r="X22" s="7"/>
      <c r="Y22" s="7"/>
      <c r="AD22" s="8"/>
    </row>
    <row r="23" spans="1:30">
      <c r="A23" s="8"/>
      <c r="B23" s="4">
        <v>10</v>
      </c>
      <c r="C23" s="15">
        <v>35</v>
      </c>
      <c r="D23" s="14">
        <v>10.51</v>
      </c>
      <c r="E23" s="14">
        <v>1.98</v>
      </c>
      <c r="F23" s="16">
        <f t="shared" si="8"/>
        <v>5.308080808080808</v>
      </c>
      <c r="G23" s="15">
        <v>45</v>
      </c>
      <c r="H23" s="14">
        <v>9.16</v>
      </c>
      <c r="I23" s="14">
        <v>2.44</v>
      </c>
      <c r="J23" s="16">
        <f t="shared" si="9"/>
        <v>3.7540983606557377</v>
      </c>
      <c r="K23" s="15">
        <v>55</v>
      </c>
      <c r="L23" s="14">
        <v>8.02</v>
      </c>
      <c r="M23" s="14">
        <v>2.89</v>
      </c>
      <c r="N23" s="16">
        <f t="shared" si="10"/>
        <v>2.7750865051903113</v>
      </c>
      <c r="P23" s="8"/>
      <c r="Q23" s="4">
        <f t="shared" si="11"/>
        <v>8.02</v>
      </c>
      <c r="R23" s="4">
        <f t="shared" si="12"/>
        <v>2.89</v>
      </c>
      <c r="S23" s="8">
        <f t="shared" si="13"/>
        <v>2.7750865051903113</v>
      </c>
      <c r="T23" s="60">
        <f t="shared" si="14"/>
        <v>0.21981296758104737</v>
      </c>
      <c r="U23" s="4">
        <v>10</v>
      </c>
      <c r="V23" s="60">
        <f t="shared" si="15"/>
        <v>0.28000000000000003</v>
      </c>
      <c r="X23" s="7"/>
      <c r="Y23" s="7"/>
    </row>
    <row r="24" spans="1:30">
      <c r="A24" s="8"/>
      <c r="B24" s="4">
        <v>12</v>
      </c>
      <c r="C24" s="15">
        <v>35</v>
      </c>
      <c r="D24" s="16">
        <f>D23+(D26-D23)/10*2</f>
        <v>10.741999999999999</v>
      </c>
      <c r="E24" s="14">
        <v>1.94</v>
      </c>
      <c r="F24" s="16">
        <f t="shared" si="8"/>
        <v>5.5371134020618555</v>
      </c>
      <c r="G24" s="15">
        <v>45</v>
      </c>
      <c r="H24" s="16">
        <f>H23+(H26-H23)/10*2</f>
        <v>9.4079999999999995</v>
      </c>
      <c r="I24" s="14">
        <f>(I23+I26)/2</f>
        <v>2.3849999999999998</v>
      </c>
      <c r="J24" s="16">
        <f t="shared" si="9"/>
        <v>3.9446540880503145</v>
      </c>
      <c r="K24" s="15">
        <v>55</v>
      </c>
      <c r="L24" s="16">
        <f>L23+(L26-L23)/10*2</f>
        <v>8.2799999999999994</v>
      </c>
      <c r="M24" s="14">
        <f>(M23+M26)/2</f>
        <v>2.8250000000000002</v>
      </c>
      <c r="N24" s="16">
        <f t="shared" si="10"/>
        <v>2.930973451327433</v>
      </c>
      <c r="P24" s="8"/>
      <c r="Q24" s="4">
        <f t="shared" si="11"/>
        <v>8.2799999999999994</v>
      </c>
      <c r="R24" s="4">
        <f t="shared" si="12"/>
        <v>2.8250000000000002</v>
      </c>
      <c r="S24" s="8">
        <f t="shared" si="13"/>
        <v>2.930973451327433</v>
      </c>
      <c r="T24" s="60">
        <f t="shared" si="14"/>
        <v>0.20812198067632853</v>
      </c>
      <c r="U24" s="4">
        <v>12</v>
      </c>
      <c r="V24" s="60">
        <f t="shared" si="15"/>
        <v>0.28000000000000003</v>
      </c>
      <c r="X24" s="7"/>
      <c r="Y24" s="7"/>
    </row>
    <row r="25" spans="1:30">
      <c r="A25" s="8"/>
      <c r="B25" s="4">
        <v>15</v>
      </c>
      <c r="C25" s="15">
        <v>35</v>
      </c>
      <c r="D25" s="14">
        <f>(D23+D26)/2</f>
        <v>11.09</v>
      </c>
      <c r="E25" s="14">
        <v>1.93</v>
      </c>
      <c r="F25" s="16">
        <f t="shared" si="8"/>
        <v>5.7461139896373057</v>
      </c>
      <c r="G25" s="15">
        <v>45</v>
      </c>
      <c r="H25" s="14">
        <f>(H23+H26)/2</f>
        <v>9.7800000000000011</v>
      </c>
      <c r="I25" s="14">
        <v>2.35</v>
      </c>
      <c r="J25" s="16">
        <f t="shared" si="9"/>
        <v>4.1617021276595745</v>
      </c>
      <c r="K25" s="15">
        <v>55</v>
      </c>
      <c r="L25" s="14">
        <f>(L23+L26)/2</f>
        <v>8.67</v>
      </c>
      <c r="M25" s="14">
        <v>2.8</v>
      </c>
      <c r="N25" s="16">
        <f t="shared" si="10"/>
        <v>3.0964285714285715</v>
      </c>
      <c r="P25" s="8"/>
      <c r="Q25" s="4">
        <f t="shared" si="11"/>
        <v>8.67</v>
      </c>
      <c r="R25" s="4">
        <f t="shared" si="12"/>
        <v>2.8</v>
      </c>
      <c r="S25" s="8">
        <f t="shared" si="13"/>
        <v>3.0964285714285715</v>
      </c>
      <c r="T25" s="60">
        <f t="shared" si="14"/>
        <v>0.19700115340253749</v>
      </c>
      <c r="U25" s="4">
        <v>15</v>
      </c>
      <c r="V25" s="60">
        <f t="shared" si="15"/>
        <v>0.28000000000000003</v>
      </c>
      <c r="X25" s="7"/>
      <c r="Y25" s="7"/>
    </row>
    <row r="26" spans="1:30">
      <c r="A26" s="8"/>
      <c r="B26" s="4">
        <v>20</v>
      </c>
      <c r="C26" s="15">
        <v>35</v>
      </c>
      <c r="D26" s="14">
        <v>11.67</v>
      </c>
      <c r="E26" s="14">
        <v>1.9</v>
      </c>
      <c r="F26" s="16">
        <f t="shared" si="8"/>
        <v>6.1421052631578954</v>
      </c>
      <c r="G26" s="15">
        <v>45</v>
      </c>
      <c r="H26" s="14">
        <v>10.4</v>
      </c>
      <c r="I26" s="14">
        <v>2.33</v>
      </c>
      <c r="J26" s="16">
        <f t="shared" si="9"/>
        <v>4.4635193133047206</v>
      </c>
      <c r="K26" s="15">
        <v>55</v>
      </c>
      <c r="L26" s="14">
        <v>9.32</v>
      </c>
      <c r="M26" s="14">
        <v>2.76</v>
      </c>
      <c r="N26" s="16">
        <f t="shared" si="10"/>
        <v>3.3768115942028989</v>
      </c>
      <c r="P26" s="8"/>
      <c r="Q26" s="4">
        <f t="shared" si="11"/>
        <v>9.32</v>
      </c>
      <c r="R26" s="4">
        <f t="shared" si="12"/>
        <v>2.76</v>
      </c>
      <c r="S26" s="8">
        <f t="shared" si="13"/>
        <v>3.3768115942028989</v>
      </c>
      <c r="U26" s="4">
        <v>20</v>
      </c>
      <c r="X26" s="7"/>
      <c r="Y26" s="7"/>
    </row>
    <row r="27" spans="1:30">
      <c r="A27" s="8"/>
      <c r="B27" s="4">
        <v>30</v>
      </c>
      <c r="C27" s="15">
        <v>35</v>
      </c>
      <c r="D27" s="14">
        <v>12.82</v>
      </c>
      <c r="E27" s="14">
        <v>1.83</v>
      </c>
      <c r="F27" s="16">
        <f t="shared" si="8"/>
        <v>7.0054644808743172</v>
      </c>
      <c r="G27" s="15">
        <v>45</v>
      </c>
      <c r="H27" s="14">
        <v>11.63</v>
      </c>
      <c r="I27" s="14">
        <v>2.21</v>
      </c>
      <c r="J27" s="16">
        <f t="shared" si="9"/>
        <v>5.262443438914028</v>
      </c>
      <c r="K27" s="15">
        <v>55</v>
      </c>
      <c r="L27" s="14">
        <v>10.61</v>
      </c>
      <c r="M27" s="14">
        <v>2.63</v>
      </c>
      <c r="N27" s="16">
        <f t="shared" si="10"/>
        <v>4.0342205323193916</v>
      </c>
      <c r="Q27" s="4">
        <f t="shared" si="11"/>
        <v>10.61</v>
      </c>
      <c r="R27" s="4">
        <f t="shared" si="12"/>
        <v>2.63</v>
      </c>
      <c r="S27" s="8">
        <f t="shared" si="13"/>
        <v>4.0342205323193916</v>
      </c>
      <c r="U27" s="4">
        <v>30</v>
      </c>
      <c r="X27" s="7"/>
      <c r="Y27" s="7"/>
    </row>
    <row r="28" spans="1:30">
      <c r="A28" s="8"/>
      <c r="X28" s="7"/>
      <c r="Y28" s="7"/>
    </row>
    <row r="30" spans="1:30" ht="14.1">
      <c r="B30" s="17" t="s">
        <v>14</v>
      </c>
      <c r="H30" s="17" t="s">
        <v>53</v>
      </c>
      <c r="M30" s="61" t="s">
        <v>98</v>
      </c>
      <c r="N30" s="61"/>
      <c r="O30" s="61"/>
      <c r="P30" s="61"/>
      <c r="Q30" s="61"/>
    </row>
    <row r="31" spans="1:30">
      <c r="B31" s="4" t="s">
        <v>13</v>
      </c>
      <c r="H31" s="24" t="str">
        <f>IF(Dobór!M12="Budownictwo szeregowe (55 W/m²)","55",IF(Dobór!M12="Budynek wolnostojący z dobrą izolacją (70 W/m²)","70",IF(Dobór!M12="Izolowany, rok budowy &lt; 1995 (80 W/m²)","80","120")))</f>
        <v>120</v>
      </c>
      <c r="I31" s="4" t="s">
        <v>55</v>
      </c>
      <c r="M31" s="4">
        <v>-20</v>
      </c>
      <c r="N31" s="8">
        <f>Dobór!P27</f>
        <v>10.8</v>
      </c>
      <c r="P31" s="8">
        <f>Dobór!P27</f>
        <v>10.8</v>
      </c>
      <c r="Q31" s="4">
        <v>-20</v>
      </c>
    </row>
    <row r="32" spans="1:30">
      <c r="B32" s="4" t="s">
        <v>12</v>
      </c>
      <c r="H32" s="4">
        <f>Dobór!$M$14</f>
        <v>180</v>
      </c>
      <c r="I32" s="4" t="s">
        <v>54</v>
      </c>
      <c r="M32" s="4">
        <v>-15</v>
      </c>
      <c r="N32" s="8">
        <f t="shared" ref="N32:N38" si="16">M32*$P$35+$Q$35</f>
        <v>9.257142857142858</v>
      </c>
      <c r="P32" s="4">
        <v>0</v>
      </c>
      <c r="Q32" s="4">
        <v>15</v>
      </c>
    </row>
    <row r="33" spans="2:28">
      <c r="B33" s="4" t="s">
        <v>24</v>
      </c>
      <c r="H33" s="4">
        <f>H31*H32</f>
        <v>21600</v>
      </c>
      <c r="I33" s="4" t="s">
        <v>56</v>
      </c>
      <c r="M33" s="4">
        <v>-7</v>
      </c>
      <c r="N33" s="8">
        <f t="shared" si="16"/>
        <v>6.7885714285714291</v>
      </c>
      <c r="P33" s="62" t="s">
        <v>139</v>
      </c>
      <c r="Q33" s="27" t="s">
        <v>133</v>
      </c>
    </row>
    <row r="34" spans="2:28">
      <c r="H34" s="25">
        <f>H33/1000</f>
        <v>21.6</v>
      </c>
      <c r="I34" s="4" t="s">
        <v>57</v>
      </c>
      <c r="M34" s="4">
        <v>2</v>
      </c>
      <c r="N34" s="8">
        <f t="shared" si="16"/>
        <v>4.0114285714285716</v>
      </c>
      <c r="P34" s="27" t="s">
        <v>131</v>
      </c>
      <c r="Q34" s="27" t="s">
        <v>132</v>
      </c>
      <c r="R34" s="6" t="s">
        <v>141</v>
      </c>
      <c r="U34" s="10"/>
      <c r="X34" s="10"/>
      <c r="Z34" s="10"/>
      <c r="AB34" s="10"/>
    </row>
    <row r="35" spans="2:28" ht="14.1">
      <c r="B35" s="5" t="s">
        <v>8</v>
      </c>
      <c r="H35" s="4">
        <f>(H34*1800+H43)</f>
        <v>42646.44473333333</v>
      </c>
      <c r="I35" s="4" t="s">
        <v>61</v>
      </c>
      <c r="M35" s="4">
        <v>7</v>
      </c>
      <c r="N35" s="8">
        <f t="shared" si="16"/>
        <v>2.4685714285714289</v>
      </c>
      <c r="P35" s="27">
        <f>P31/(Q31-Q32)</f>
        <v>-0.30857142857142861</v>
      </c>
      <c r="Q35" s="27">
        <f>-15*P35</f>
        <v>4.628571428571429</v>
      </c>
      <c r="R35" s="6" t="s">
        <v>140</v>
      </c>
      <c r="U35" s="10"/>
      <c r="X35" s="10"/>
      <c r="Z35" s="10"/>
      <c r="AB35" s="10"/>
    </row>
    <row r="36" spans="2:28">
      <c r="B36" s="4" t="s">
        <v>37</v>
      </c>
      <c r="H36" s="4">
        <f>IF(Dobór!M24="Kocioł tradycyjny - gaz ziemny G20",'Dane dla CO'!H35/K38*K42/E50,IF(Dobór!M24="Kocioł kondensacyjny - gaz ziemny G20",'Dane dla CO'!H35/K38*K42/E51,IF(Dobór!M24="Kocioł tradycyjny - propan G31",'Dane dla CO'!H35/K39*K43/E52,'Dane dla CO'!H35/K39*K43/E53)))</f>
        <v>6446.0845059763424</v>
      </c>
      <c r="I36" s="4" t="s">
        <v>83</v>
      </c>
      <c r="M36" s="4">
        <v>10</v>
      </c>
      <c r="N36" s="8">
        <f t="shared" si="16"/>
        <v>1.5428571428571427</v>
      </c>
      <c r="T36" s="10"/>
      <c r="U36" s="10"/>
      <c r="X36" s="10"/>
      <c r="Z36" s="10"/>
      <c r="AB36" s="10"/>
    </row>
    <row r="37" spans="2:28" ht="14.1">
      <c r="B37" s="4" t="s">
        <v>38</v>
      </c>
      <c r="H37" s="17" t="s">
        <v>58</v>
      </c>
      <c r="J37" s="17" t="s">
        <v>63</v>
      </c>
      <c r="K37" s="11"/>
      <c r="L37" s="12"/>
      <c r="M37" s="4">
        <v>12</v>
      </c>
      <c r="N37" s="8">
        <f t="shared" si="16"/>
        <v>0.92571428571428571</v>
      </c>
      <c r="T37" s="10"/>
      <c r="U37" s="10"/>
      <c r="X37" s="10"/>
      <c r="Z37" s="10"/>
      <c r="AB37" s="10"/>
    </row>
    <row r="38" spans="2:28">
      <c r="B38" s="4" t="s">
        <v>11</v>
      </c>
      <c r="H38" s="4">
        <f>Dobór!M26</f>
        <v>0</v>
      </c>
      <c r="I38" s="4" t="str">
        <f>Dobór!N26</f>
        <v>[ m3 ]</v>
      </c>
      <c r="J38" s="4" t="s">
        <v>64</v>
      </c>
      <c r="K38" s="28">
        <v>9.7100000000000009</v>
      </c>
      <c r="L38" s="12" t="s">
        <v>65</v>
      </c>
      <c r="M38" s="4">
        <v>15</v>
      </c>
      <c r="N38" s="8">
        <f t="shared" si="16"/>
        <v>0</v>
      </c>
      <c r="T38" s="10"/>
      <c r="U38" s="10"/>
      <c r="X38" s="10"/>
      <c r="Z38" s="10"/>
      <c r="AB38" s="10"/>
    </row>
    <row r="39" spans="2:28">
      <c r="B39" s="4" t="s">
        <v>10</v>
      </c>
      <c r="H39" s="4">
        <f>Dobór!M20</f>
        <v>4</v>
      </c>
      <c r="I39" s="4" t="s">
        <v>59</v>
      </c>
      <c r="J39" s="4" t="s">
        <v>66</v>
      </c>
      <c r="K39" s="27">
        <v>6.65</v>
      </c>
      <c r="L39" s="12" t="s">
        <v>67</v>
      </c>
      <c r="M39" s="4">
        <v>20</v>
      </c>
      <c r="T39" s="10"/>
      <c r="U39" s="10"/>
      <c r="X39" s="10"/>
      <c r="Z39" s="10"/>
      <c r="AB39" s="10"/>
    </row>
    <row r="40" spans="2:28">
      <c r="H40" s="4">
        <f>IF(Dobór!N26="[ m3 ]",'Dane dla CO'!K38,'Dane dla CO'!K39)</f>
        <v>9.7100000000000009</v>
      </c>
      <c r="I40" s="4" t="s">
        <v>62</v>
      </c>
      <c r="K40" s="12"/>
      <c r="L40" s="12"/>
      <c r="M40" s="4">
        <v>30</v>
      </c>
      <c r="T40" s="10"/>
      <c r="U40" s="10"/>
      <c r="X40" s="10"/>
      <c r="Z40" s="10"/>
      <c r="AB40" s="10"/>
    </row>
    <row r="41" spans="2:28" ht="14.1">
      <c r="B41" s="17" t="s">
        <v>15</v>
      </c>
      <c r="E41" s="4" t="s">
        <v>74</v>
      </c>
      <c r="H41" s="4">
        <f>H38*H40*H42</f>
        <v>0</v>
      </c>
      <c r="I41" s="4" t="s">
        <v>73</v>
      </c>
      <c r="J41" s="17" t="s">
        <v>68</v>
      </c>
      <c r="K41" s="12"/>
      <c r="L41" s="12"/>
      <c r="T41" s="10"/>
      <c r="U41" s="10"/>
      <c r="X41" s="10"/>
      <c r="Z41" s="10"/>
      <c r="AB41" s="10"/>
    </row>
    <row r="42" spans="2:28">
      <c r="B42" s="4" t="s">
        <v>18</v>
      </c>
      <c r="E42" s="4">
        <f>140*365*35*0.0011638*H39/3</f>
        <v>2775.2750666666666</v>
      </c>
      <c r="H42" s="4">
        <f>IF(Dobór!M24="Kocioł tradycyjny - gaz ziemny G20",'Dane dla CO'!E50,IF(Dobór!M24="Kocioł kondensacyjny - gaz ziemny G20",'Dane dla CO'!E51,IF(Dobór!M24="Kocioł tradycyjny - propan G31",'Dane dla CO'!E52,'Dane dla CO'!E53)))</f>
        <v>0.89</v>
      </c>
      <c r="I42" s="4" t="s">
        <v>72</v>
      </c>
      <c r="J42" s="4" t="s">
        <v>64</v>
      </c>
      <c r="K42" s="27">
        <f>Dobór!P32</f>
        <v>2.2999999999999998</v>
      </c>
      <c r="L42" s="4" t="s">
        <v>69</v>
      </c>
      <c r="M42" s="61" t="s">
        <v>137</v>
      </c>
      <c r="N42" s="61"/>
      <c r="O42" s="61"/>
      <c r="P42" s="64"/>
      <c r="Q42" s="61"/>
      <c r="R42" s="61"/>
      <c r="U42" s="61" t="s">
        <v>183</v>
      </c>
      <c r="V42" s="61"/>
      <c r="W42" s="61"/>
      <c r="X42" s="64"/>
      <c r="Y42" s="61"/>
      <c r="Z42" s="61"/>
    </row>
    <row r="43" spans="2:28">
      <c r="B43" s="4" t="s">
        <v>19</v>
      </c>
      <c r="E43" s="4">
        <f>200*365*35*0.0011638*H39/3</f>
        <v>3964.6786666666667</v>
      </c>
      <c r="H43" s="4">
        <f>IF(Dobór!M22="Wanna normalna (140 litrów)",'Dane dla CO'!E42,IF(Dobór!M22="Wanna komfortowa (200 litrów)",'Dane dla CO'!E43,IF(Dobór!M22="Natrysk normalny (zużycie 50 litrów)",'Dane dla CO'!E44,IF(Dobór!M22="Natrysk komfortowy (zużycie 75 litrów)",'Dane dla CO'!E45,IF(Dobór!M22="Natrysk i wanna (warunki normalne)",'Dane dla CO'!E46,'Dane dla CO'!E47)))))</f>
        <v>3766.4447333333333</v>
      </c>
      <c r="I43" s="4" t="s">
        <v>75</v>
      </c>
      <c r="J43" s="4" t="s">
        <v>66</v>
      </c>
      <c r="K43" s="27">
        <f>Dobór!P33</f>
        <v>1.95</v>
      </c>
      <c r="L43" s="12" t="s">
        <v>70</v>
      </c>
      <c r="M43" s="24" t="s">
        <v>138</v>
      </c>
      <c r="N43" s="62" t="s">
        <v>130</v>
      </c>
      <c r="O43" s="27" t="s">
        <v>133</v>
      </c>
      <c r="P43" s="27" t="s">
        <v>131</v>
      </c>
      <c r="Q43" s="27" t="s">
        <v>132</v>
      </c>
      <c r="R43" s="12" t="s">
        <v>142</v>
      </c>
      <c r="U43" s="24" t="s">
        <v>138</v>
      </c>
      <c r="V43" s="62" t="s">
        <v>130</v>
      </c>
      <c r="W43" s="27" t="s">
        <v>133</v>
      </c>
      <c r="X43" s="27" t="s">
        <v>131</v>
      </c>
      <c r="Y43" s="27" t="s">
        <v>132</v>
      </c>
      <c r="Z43" s="12" t="s">
        <v>142</v>
      </c>
    </row>
    <row r="44" spans="2:28">
      <c r="B44" s="4" t="s">
        <v>17</v>
      </c>
      <c r="E44" s="4">
        <f>100*365*35*0.0011638*H39/3</f>
        <v>1982.3393333333333</v>
      </c>
      <c r="H44" s="4">
        <f>H41-H43</f>
        <v>-3766.4447333333333</v>
      </c>
      <c r="I44" s="4" t="s">
        <v>76</v>
      </c>
      <c r="M44" s="4">
        <v>-20</v>
      </c>
      <c r="N44" s="4">
        <f t="shared" ref="N44:N51" si="17">Q18</f>
        <v>6.15</v>
      </c>
      <c r="P44" s="27"/>
      <c r="Q44" s="27"/>
      <c r="U44" s="4">
        <v>-20</v>
      </c>
      <c r="V44" s="4">
        <f>Q6</f>
        <v>0</v>
      </c>
      <c r="X44" s="27"/>
      <c r="Y44" s="27"/>
    </row>
    <row r="45" spans="2:28">
      <c r="B45" s="4" t="s">
        <v>16</v>
      </c>
      <c r="E45" s="4">
        <f>150*365*35*0.0011638*H39/3</f>
        <v>2973.509</v>
      </c>
      <c r="H45" s="26">
        <f>H44/1800</f>
        <v>-2.0924692962962963</v>
      </c>
      <c r="I45" s="4" t="s">
        <v>21</v>
      </c>
      <c r="M45" s="4">
        <v>-15</v>
      </c>
      <c r="N45" s="4">
        <f t="shared" si="17"/>
        <v>6.31</v>
      </c>
      <c r="O45" s="4">
        <f t="shared" ref="O45:O51" si="18">M45*P45+Q45</f>
        <v>6.31</v>
      </c>
      <c r="P45" s="63">
        <f>(N45-N44)/5</f>
        <v>3.1999999999999848E-2</v>
      </c>
      <c r="Q45" s="63">
        <f t="shared" ref="Q45:Q51" si="19">N44-M44*P45</f>
        <v>6.7899999999999974</v>
      </c>
      <c r="R45" s="8">
        <f t="shared" ref="R45:R51" si="20">(Q45-$Q$35)/($P$35-P45)</f>
        <v>-6.3464765100671068</v>
      </c>
      <c r="S45" s="4">
        <f t="shared" ref="S45:S51" si="21">IF(R45&gt;M44,IF(R45&lt;M45,1,0),0)</f>
        <v>0</v>
      </c>
      <c r="U45" s="4">
        <v>-15</v>
      </c>
      <c r="V45" s="4">
        <f t="shared" ref="V45:V51" si="22">Q7</f>
        <v>2.8</v>
      </c>
      <c r="W45" s="4">
        <f t="shared" ref="W45:W51" si="23">U45*X45+Y45</f>
        <v>2.8000000000000007</v>
      </c>
      <c r="X45" s="63">
        <f>(V45-V44)/5</f>
        <v>0.55999999999999994</v>
      </c>
      <c r="Y45" s="63">
        <f t="shared" ref="Y45:Y51" si="24">V44-U44*X45</f>
        <v>11.2</v>
      </c>
      <c r="Z45" s="8">
        <f t="shared" ref="Z45:Z51" si="25">(Y45-$Q$35)/($P$35-X45)</f>
        <v>-7.5657894736842097</v>
      </c>
      <c r="AA45" s="4">
        <f t="shared" ref="AA45:AA51" si="26">IF(Z45&gt;U44,IF(Z45&lt;U45,1,0),0)</f>
        <v>0</v>
      </c>
    </row>
    <row r="46" spans="2:28">
      <c r="B46" s="4" t="s">
        <v>22</v>
      </c>
      <c r="E46" s="4">
        <f>(140+50)*365*35*0.0011638*H39/3</f>
        <v>3766.4447333333333</v>
      </c>
      <c r="H46" s="8">
        <f>IF((H39*0.25)&gt;(0.2*H45),(H45+H39*0.25),H45)</f>
        <v>-1.0924692962962963</v>
      </c>
      <c r="M46" s="4">
        <v>-7</v>
      </c>
      <c r="N46" s="4">
        <f t="shared" si="17"/>
        <v>7.96</v>
      </c>
      <c r="O46" s="4">
        <f t="shared" si="18"/>
        <v>7.96</v>
      </c>
      <c r="P46" s="63">
        <f>(N46-N45)/8</f>
        <v>0.20625000000000004</v>
      </c>
      <c r="Q46" s="63">
        <f t="shared" si="19"/>
        <v>9.4037500000000005</v>
      </c>
      <c r="R46" s="8">
        <f t="shared" si="20"/>
        <v>-9.2754075615678104</v>
      </c>
      <c r="S46" s="4">
        <f t="shared" si="21"/>
        <v>1</v>
      </c>
      <c r="U46" s="4">
        <v>-7</v>
      </c>
      <c r="V46" s="4">
        <f t="shared" si="22"/>
        <v>3.8</v>
      </c>
      <c r="W46" s="4">
        <f t="shared" si="23"/>
        <v>3.8</v>
      </c>
      <c r="X46" s="63">
        <f>(V46-V45)/8</f>
        <v>0.125</v>
      </c>
      <c r="Y46" s="63">
        <f t="shared" si="24"/>
        <v>4.6749999999999998</v>
      </c>
      <c r="Z46" s="8">
        <f t="shared" si="25"/>
        <v>-0.10708401976935608</v>
      </c>
      <c r="AA46" s="4">
        <f t="shared" si="26"/>
        <v>0</v>
      </c>
    </row>
    <row r="47" spans="2:28">
      <c r="B47" s="4" t="s">
        <v>23</v>
      </c>
      <c r="E47" s="4">
        <f>(200+75)*365*35*0.0011638*H39/3</f>
        <v>5451.4331666666667</v>
      </c>
      <c r="M47" s="4">
        <v>2</v>
      </c>
      <c r="N47" s="4">
        <f t="shared" si="17"/>
        <v>6.18</v>
      </c>
      <c r="O47" s="4">
        <f t="shared" si="18"/>
        <v>6.18</v>
      </c>
      <c r="P47" s="63">
        <f>(N47-N46)/9</f>
        <v>-0.1977777777777778</v>
      </c>
      <c r="Q47" s="63">
        <f t="shared" si="19"/>
        <v>6.5755555555555549</v>
      </c>
      <c r="R47" s="8">
        <f t="shared" si="20"/>
        <v>-17.573065902578787</v>
      </c>
      <c r="S47" s="4">
        <f t="shared" si="21"/>
        <v>0</v>
      </c>
      <c r="U47" s="4">
        <v>2</v>
      </c>
      <c r="V47" s="4">
        <f t="shared" si="22"/>
        <v>5.0999999999999996</v>
      </c>
      <c r="W47" s="4">
        <f t="shared" si="23"/>
        <v>5.0999999999999996</v>
      </c>
      <c r="X47" s="63">
        <f>(V47-V46)/9</f>
        <v>0.14444444444444443</v>
      </c>
      <c r="Y47" s="63">
        <f t="shared" si="24"/>
        <v>4.8111111111111109</v>
      </c>
      <c r="Z47" s="8">
        <f t="shared" si="25"/>
        <v>-0.402943237561316</v>
      </c>
      <c r="AA47" s="4">
        <f t="shared" si="26"/>
        <v>1</v>
      </c>
    </row>
    <row r="48" spans="2:28">
      <c r="M48" s="4">
        <v>7</v>
      </c>
      <c r="N48" s="4">
        <f t="shared" si="17"/>
        <v>7.64</v>
      </c>
      <c r="O48" s="4">
        <f t="shared" si="18"/>
        <v>7.6400000000000006</v>
      </c>
      <c r="P48" s="63">
        <f>(N48-N47)/5</f>
        <v>0.29199999999999998</v>
      </c>
      <c r="Q48" s="63">
        <f t="shared" si="19"/>
        <v>5.5960000000000001</v>
      </c>
      <c r="R48" s="8">
        <f t="shared" si="20"/>
        <v>-1.6108468125594666</v>
      </c>
      <c r="S48" s="4">
        <f t="shared" si="21"/>
        <v>0</v>
      </c>
      <c r="U48" s="4">
        <v>7</v>
      </c>
      <c r="V48" s="4">
        <f t="shared" si="22"/>
        <v>6</v>
      </c>
      <c r="W48" s="4">
        <f t="shared" si="23"/>
        <v>6</v>
      </c>
      <c r="X48" s="63">
        <f>(V48-V47)/5</f>
        <v>0.18000000000000008</v>
      </c>
      <c r="Y48" s="63">
        <f t="shared" si="24"/>
        <v>4.7399999999999993</v>
      </c>
      <c r="Z48" s="8">
        <f t="shared" si="25"/>
        <v>-0.22807017543859417</v>
      </c>
      <c r="AA48" s="4">
        <f t="shared" si="26"/>
        <v>0</v>
      </c>
    </row>
    <row r="49" spans="2:30" ht="14.1">
      <c r="B49" s="17" t="s">
        <v>36</v>
      </c>
      <c r="E49" s="17" t="s">
        <v>71</v>
      </c>
      <c r="G49" s="17" t="s">
        <v>135</v>
      </c>
      <c r="M49" s="4">
        <v>10</v>
      </c>
      <c r="N49" s="4">
        <f t="shared" si="17"/>
        <v>8.02</v>
      </c>
      <c r="O49" s="4">
        <f t="shared" si="18"/>
        <v>8.02</v>
      </c>
      <c r="P49" s="63">
        <f>(N49-N48)/3</f>
        <v>0.12666666666666662</v>
      </c>
      <c r="Q49" s="63">
        <f t="shared" si="19"/>
        <v>6.753333333333333</v>
      </c>
      <c r="R49" s="8">
        <f t="shared" si="20"/>
        <v>-4.8818380743982477</v>
      </c>
      <c r="S49" s="4">
        <f t="shared" si="21"/>
        <v>0</v>
      </c>
      <c r="U49" s="4">
        <v>10</v>
      </c>
      <c r="V49" s="4">
        <f t="shared" si="22"/>
        <v>6.5</v>
      </c>
      <c r="W49" s="4">
        <f t="shared" si="23"/>
        <v>6.5</v>
      </c>
      <c r="X49" s="63">
        <f>(V49-V48)/3</f>
        <v>0.16666666666666666</v>
      </c>
      <c r="Y49" s="63">
        <f t="shared" si="24"/>
        <v>4.8333333333333339</v>
      </c>
      <c r="Z49" s="8">
        <f t="shared" si="25"/>
        <v>-0.43086172344689411</v>
      </c>
      <c r="AA49" s="4">
        <f t="shared" si="26"/>
        <v>0</v>
      </c>
    </row>
    <row r="50" spans="2:30">
      <c r="B50" s="4" t="s">
        <v>45</v>
      </c>
      <c r="E50" s="4">
        <v>0.88</v>
      </c>
      <c r="G50" s="61" t="str">
        <f>Dobór!M24</f>
        <v>Kocioł tradycyjny - gaz ziemny G20</v>
      </c>
      <c r="H50" s="61"/>
      <c r="I50" s="61"/>
      <c r="M50" s="4">
        <v>12</v>
      </c>
      <c r="N50" s="4">
        <f t="shared" si="17"/>
        <v>8.2799999999999994</v>
      </c>
      <c r="O50" s="4">
        <f t="shared" si="18"/>
        <v>8.2799999999999994</v>
      </c>
      <c r="P50" s="63">
        <f>(N50-N49)/2</f>
        <v>0.12999999999999989</v>
      </c>
      <c r="Q50" s="63">
        <f t="shared" si="19"/>
        <v>6.7200000000000006</v>
      </c>
      <c r="R50" s="8">
        <f t="shared" si="20"/>
        <v>-4.7687296416938123</v>
      </c>
      <c r="S50" s="4">
        <f t="shared" si="21"/>
        <v>0</v>
      </c>
      <c r="U50" s="4">
        <v>12</v>
      </c>
      <c r="V50" s="4">
        <f t="shared" si="22"/>
        <v>6.76</v>
      </c>
      <c r="W50" s="4">
        <f t="shared" si="23"/>
        <v>6.76</v>
      </c>
      <c r="X50" s="63">
        <f>(V50-V49)/2</f>
        <v>0.12999999999999989</v>
      </c>
      <c r="Y50" s="63">
        <f t="shared" si="24"/>
        <v>5.2000000000000011</v>
      </c>
      <c r="Z50" s="8">
        <f t="shared" si="25"/>
        <v>-1.3029315960912069</v>
      </c>
      <c r="AA50" s="4">
        <f t="shared" si="26"/>
        <v>0</v>
      </c>
    </row>
    <row r="51" spans="2:30">
      <c r="B51" s="4" t="s">
        <v>46</v>
      </c>
      <c r="E51" s="4">
        <f>IF(Dobór!M18="Ogrzewanie podłogowe 35/28",0.96,0.92)</f>
        <v>0.92</v>
      </c>
      <c r="G51" s="60">
        <f>IF(I38="[ litry ]",K43/H40/H42,K42/H40/H42)</f>
        <v>0.26614517640796581</v>
      </c>
      <c r="M51" s="4">
        <v>15</v>
      </c>
      <c r="N51" s="4">
        <f t="shared" si="17"/>
        <v>8.67</v>
      </c>
      <c r="O51" s="4">
        <f t="shared" si="18"/>
        <v>8.67</v>
      </c>
      <c r="P51" s="63">
        <f>(N51-N50)/3</f>
        <v>0.1300000000000002</v>
      </c>
      <c r="Q51" s="63">
        <f t="shared" si="19"/>
        <v>6.7199999999999971</v>
      </c>
      <c r="R51" s="8">
        <f t="shared" si="20"/>
        <v>-4.7687296416938008</v>
      </c>
      <c r="S51" s="4">
        <f t="shared" si="21"/>
        <v>0</v>
      </c>
      <c r="U51" s="4">
        <v>15</v>
      </c>
      <c r="V51" s="4">
        <f t="shared" si="22"/>
        <v>7.15</v>
      </c>
      <c r="W51" s="4">
        <f t="shared" si="23"/>
        <v>7.15</v>
      </c>
      <c r="X51" s="63">
        <f>(V51-V50)/3</f>
        <v>0.1300000000000002</v>
      </c>
      <c r="Y51" s="63">
        <f t="shared" si="24"/>
        <v>5.1999999999999975</v>
      </c>
      <c r="Z51" s="8">
        <f t="shared" si="25"/>
        <v>-1.3029315960911978</v>
      </c>
      <c r="AA51" s="4">
        <f t="shared" si="26"/>
        <v>0</v>
      </c>
    </row>
    <row r="52" spans="2:30">
      <c r="B52" s="4" t="s">
        <v>47</v>
      </c>
      <c r="E52" s="4">
        <v>0.88</v>
      </c>
    </row>
    <row r="53" spans="2:30">
      <c r="B53" s="4" t="s">
        <v>48</v>
      </c>
      <c r="E53" s="4">
        <f>IF(Dobór!M18="Ogrzewanie podłogowe 35/28",0.96,0.92)</f>
        <v>0.92</v>
      </c>
      <c r="G53" s="61" t="s">
        <v>136</v>
      </c>
      <c r="H53" s="61"/>
      <c r="I53" s="61"/>
      <c r="R53" s="8">
        <f>IF(S45=1,R45,IF(S46=1,R46,IF(S47=1,R47,IF(S48=1,R48,IF(S49=1,R49,IF(S50=1,R50,R51))))))</f>
        <v>-9.2754075615678104</v>
      </c>
      <c r="S53" s="4" t="s">
        <v>167</v>
      </c>
      <c r="T53" s="4">
        <f>IF(S45=1,P45,IF(S46=1,P46,IF(S47=1,P47,IF(S48=1,P48,IF(S49=1,P49,IF(S50=1,P50,P51))))))</f>
        <v>0.20625000000000004</v>
      </c>
      <c r="U53" s="4" t="s">
        <v>168</v>
      </c>
      <c r="V53" s="4">
        <f>IF(S45=1,Q45,IF(S46=1,Q46,IF(S47=1,Q47,IF(S48=1,Q48,IF(S49=1,Q49,IF(S50=1,Q50,Q51))))))</f>
        <v>9.4037500000000005</v>
      </c>
      <c r="Z53" s="8">
        <f>IF(AA45=1,Z45,IF(AA46=1,Z46,IF(AA47=1,Z47,IF(AA48=1,Z48,IF(AA49=1,Z49,IF(AA50=1,Z50,Z51))))))</f>
        <v>-0.402943237561316</v>
      </c>
      <c r="AA53" s="4" t="s">
        <v>167</v>
      </c>
      <c r="AB53" s="4">
        <f>IF(AA45=1,X45,IF(AA46=1,X46,IF(AA47=1,X47,IF(AA48=1,X48,IF(AA49=1,X49,IF(AA50=1,X50,X51))))))</f>
        <v>0.14444444444444443</v>
      </c>
      <c r="AC53" s="4" t="s">
        <v>168</v>
      </c>
      <c r="AD53" s="4">
        <f>IF(AA45=1,Y45,IF(AA46=1,Y46,IF(AA47=1,Y47,IF(AA48=1,Y48,IF(AA49=1,Y49,IF(AA50=1,Y50,Y51))))))</f>
        <v>4.8111111111111109</v>
      </c>
    </row>
    <row r="54" spans="2:30">
      <c r="G54" s="60">
        <f>IF(Dobór!M24="Kocioł tradycyjny - gaz ziemny G20",0.28,IF(Dobór!M24="Kocioł kondensacyjny - gaz ziemny G20",0.28,IF(Dobór!M24="Kocioł tradycyjny - propan G31",0.46,0.46)))</f>
        <v>0.28000000000000003</v>
      </c>
      <c r="R54" s="8">
        <f>IF(R53&lt;-15,-15,R53)</f>
        <v>-9.2754075615678104</v>
      </c>
      <c r="S54" s="4">
        <f>R54*T53+V53</f>
        <v>7.4906971904266388</v>
      </c>
      <c r="T54" s="4">
        <f>T53*R67+V53</f>
        <v>9.9393930537008153</v>
      </c>
      <c r="Z54" s="8">
        <f>IF(Z53&lt;-15,-15,Z53)</f>
        <v>-0.402943237561316</v>
      </c>
      <c r="AA54" s="4">
        <f>Z54*AB53+AD53</f>
        <v>4.752908199018921</v>
      </c>
      <c r="AB54" s="4">
        <f>AB53*Z67+AD53</f>
        <v>5.8576290344643862</v>
      </c>
    </row>
    <row r="55" spans="2:30" ht="14.1">
      <c r="B55" s="17" t="s">
        <v>29</v>
      </c>
      <c r="M55" s="61" t="s">
        <v>145</v>
      </c>
      <c r="N55" s="61"/>
      <c r="O55" s="61"/>
      <c r="P55" s="61"/>
      <c r="Q55" s="61"/>
      <c r="R55" s="61"/>
      <c r="U55" s="61" t="s">
        <v>201</v>
      </c>
      <c r="V55" s="61"/>
      <c r="W55" s="61"/>
      <c r="X55" s="61"/>
      <c r="Y55" s="61"/>
      <c r="Z55" s="61"/>
    </row>
    <row r="56" spans="2:30">
      <c r="B56" s="4" t="s">
        <v>30</v>
      </c>
      <c r="C56" s="4">
        <v>0.61</v>
      </c>
      <c r="D56" s="4" t="s">
        <v>97</v>
      </c>
      <c r="M56" s="24" t="s">
        <v>138</v>
      </c>
      <c r="N56" s="62" t="s">
        <v>130</v>
      </c>
      <c r="O56" s="27" t="s">
        <v>133</v>
      </c>
      <c r="P56" s="27" t="s">
        <v>131</v>
      </c>
      <c r="Q56" s="27" t="s">
        <v>132</v>
      </c>
      <c r="R56" s="12" t="s">
        <v>142</v>
      </c>
      <c r="U56" s="24" t="s">
        <v>138</v>
      </c>
      <c r="V56" s="62" t="s">
        <v>130</v>
      </c>
      <c r="W56" s="27" t="s">
        <v>133</v>
      </c>
      <c r="X56" s="27" t="s">
        <v>131</v>
      </c>
      <c r="Y56" s="27" t="s">
        <v>132</v>
      </c>
      <c r="Z56" s="12" t="s">
        <v>142</v>
      </c>
    </row>
    <row r="57" spans="2:30">
      <c r="B57" s="4" t="s">
        <v>64</v>
      </c>
      <c r="D57" s="4" t="s">
        <v>97</v>
      </c>
      <c r="M57" s="4">
        <v>-20</v>
      </c>
      <c r="N57" s="60">
        <f>T18</f>
        <v>0.40666666666666662</v>
      </c>
      <c r="P57" s="27"/>
      <c r="Q57" s="27"/>
      <c r="U57" s="4">
        <v>-20</v>
      </c>
      <c r="V57" s="60">
        <v>0.61</v>
      </c>
      <c r="X57" s="27"/>
      <c r="Y57" s="27"/>
    </row>
    <row r="58" spans="2:30">
      <c r="B58" s="4" t="s">
        <v>96</v>
      </c>
      <c r="D58" s="4" t="s">
        <v>97</v>
      </c>
      <c r="M58" s="4">
        <v>-15</v>
      </c>
      <c r="N58" s="60">
        <f t="shared" ref="N58:N64" si="27">T19</f>
        <v>0.39345483359746436</v>
      </c>
      <c r="O58" s="4">
        <f t="shared" ref="O58:O64" si="28">M58*P58+Q58</f>
        <v>0.39345483359746436</v>
      </c>
      <c r="P58" s="65">
        <f>(N58-N57)/5</f>
        <v>-2.6423666138404522E-3</v>
      </c>
      <c r="Q58" s="63">
        <f>N57+20*P58</f>
        <v>0.35381933438985758</v>
      </c>
      <c r="R58" s="8">
        <f t="shared" ref="R58:R64" si="29">($G$54-Q58)/P58</f>
        <v>27.936825269892246</v>
      </c>
      <c r="S58" s="4">
        <f t="shared" ref="S58:S64" si="30">IF(R58&gt;M57,IF(R58&lt;M58,1,0),0)</f>
        <v>0</v>
      </c>
      <c r="U58" s="4">
        <v>-15</v>
      </c>
      <c r="V58" s="60">
        <f>T7</f>
        <v>0.5228571428571428</v>
      </c>
      <c r="W58" s="4">
        <f t="shared" ref="W58:W64" si="31">U58*X58+Y58</f>
        <v>0.5228571428571428</v>
      </c>
      <c r="X58" s="65">
        <f>(V58-V57)/5</f>
        <v>-1.7428571428571439E-2</v>
      </c>
      <c r="Y58" s="63">
        <f>V57+20*X58</f>
        <v>0.26142857142857123</v>
      </c>
      <c r="Z58" s="8">
        <f>($G$54-Y58)/X58</f>
        <v>-1.0655737704918153</v>
      </c>
      <c r="AA58" s="4">
        <f t="shared" ref="AA58:AA64" si="32">IF(Z58&gt;U57,IF(Z58&lt;U58,1,0),0)</f>
        <v>0</v>
      </c>
    </row>
    <row r="59" spans="2:30">
      <c r="M59" s="4">
        <v>-7</v>
      </c>
      <c r="N59" s="60">
        <f t="shared" si="27"/>
        <v>0.30653266331658291</v>
      </c>
      <c r="O59" s="4">
        <f t="shared" si="28"/>
        <v>0.30653266331658291</v>
      </c>
      <c r="P59" s="65">
        <f>(N59-N58)/8</f>
        <v>-1.0865271285110181E-2</v>
      </c>
      <c r="Q59" s="63">
        <f t="shared" ref="Q59:Q64" si="33">N58-M58*P59</f>
        <v>0.23047576432081163</v>
      </c>
      <c r="R59" s="8">
        <f t="shared" si="29"/>
        <v>-4.5580302948400968</v>
      </c>
      <c r="S59" s="4">
        <f t="shared" si="30"/>
        <v>0</v>
      </c>
      <c r="U59" s="4">
        <v>-7</v>
      </c>
      <c r="V59" s="60">
        <f t="shared" ref="V59:V64" si="34">T8</f>
        <v>0.39810526315789474</v>
      </c>
      <c r="W59" s="4">
        <f t="shared" si="31"/>
        <v>0.39810526315789474</v>
      </c>
      <c r="X59" s="65">
        <f>(V59-V58)/8</f>
        <v>-1.5593984962406007E-2</v>
      </c>
      <c r="Y59" s="63">
        <f t="shared" ref="Y59:Y64" si="35">V58-U58*X59</f>
        <v>0.28894736842105267</v>
      </c>
      <c r="Z59" s="8">
        <f t="shared" ref="Z59:Z64" si="36">($G$54-Y59)/X59</f>
        <v>0.57377049180327999</v>
      </c>
      <c r="AA59" s="4">
        <f t="shared" si="32"/>
        <v>0</v>
      </c>
    </row>
    <row r="60" spans="2:30" ht="14.1" thickBot="1">
      <c r="M60" s="4">
        <v>2</v>
      </c>
      <c r="N60" s="60">
        <f t="shared" si="27"/>
        <v>0.28624595469255665</v>
      </c>
      <c r="O60" s="4">
        <f t="shared" si="28"/>
        <v>0.28624595469255665</v>
      </c>
      <c r="P60" s="65">
        <f>(N60-N59)/9</f>
        <v>-2.254078736002918E-3</v>
      </c>
      <c r="Q60" s="63">
        <f t="shared" si="33"/>
        <v>0.29075411216456248</v>
      </c>
      <c r="R60" s="8">
        <f t="shared" si="29"/>
        <v>4.7709567517736149</v>
      </c>
      <c r="S60" s="4">
        <f t="shared" si="30"/>
        <v>0</v>
      </c>
      <c r="U60" s="4">
        <v>2</v>
      </c>
      <c r="V60" s="60">
        <f t="shared" si="34"/>
        <v>0.31576470588235295</v>
      </c>
      <c r="W60" s="4">
        <f t="shared" si="31"/>
        <v>0.31576470588235295</v>
      </c>
      <c r="X60" s="65">
        <f>(V60-V59)/9</f>
        <v>-9.1489508083935321E-3</v>
      </c>
      <c r="Y60" s="63">
        <f t="shared" si="35"/>
        <v>0.33406260749914002</v>
      </c>
      <c r="Z60" s="8">
        <f t="shared" si="36"/>
        <v>5.9091592720709869</v>
      </c>
      <c r="AA60" s="4">
        <f t="shared" si="32"/>
        <v>0</v>
      </c>
    </row>
    <row r="61" spans="2:30" ht="41.7" thickBot="1">
      <c r="B61" s="33" t="s">
        <v>44</v>
      </c>
      <c r="C61" s="34" t="s">
        <v>91</v>
      </c>
      <c r="D61" s="35" t="s">
        <v>92</v>
      </c>
      <c r="E61" s="36" t="s">
        <v>87</v>
      </c>
      <c r="F61" s="36" t="s">
        <v>93</v>
      </c>
      <c r="G61" s="36" t="s">
        <v>94</v>
      </c>
      <c r="H61" s="36" t="s">
        <v>95</v>
      </c>
      <c r="L61" s="4" t="s">
        <v>146</v>
      </c>
      <c r="M61" s="4">
        <v>7</v>
      </c>
      <c r="N61" s="60">
        <f t="shared" si="27"/>
        <v>0.23393979057591624</v>
      </c>
      <c r="O61" s="4">
        <f t="shared" si="28"/>
        <v>0.23393979057591624</v>
      </c>
      <c r="P61" s="65">
        <f>(N61-N60)/5</f>
        <v>-1.0461232823328082E-2</v>
      </c>
      <c r="Q61" s="63">
        <f t="shared" si="33"/>
        <v>0.30716842033921282</v>
      </c>
      <c r="R61" s="8">
        <f t="shared" si="29"/>
        <v>2.5970572300645514</v>
      </c>
      <c r="S61" s="4">
        <f t="shared" si="30"/>
        <v>1</v>
      </c>
      <c r="U61" s="4">
        <v>7</v>
      </c>
      <c r="V61" s="60">
        <f t="shared" si="34"/>
        <v>0.28161666666666663</v>
      </c>
      <c r="W61" s="4">
        <f t="shared" si="31"/>
        <v>0.28161666666666663</v>
      </c>
      <c r="X61" s="65">
        <f>(V61-V60)/5</f>
        <v>-6.8296078431372646E-3</v>
      </c>
      <c r="Y61" s="63">
        <f t="shared" si="35"/>
        <v>0.32942392156862749</v>
      </c>
      <c r="Z61" s="8">
        <f t="shared" si="36"/>
        <v>7.2367144210616887</v>
      </c>
      <c r="AA61" s="4">
        <f t="shared" si="32"/>
        <v>0</v>
      </c>
    </row>
    <row r="62" spans="2:30" ht="27.9" thickBot="1">
      <c r="B62" s="42" t="s">
        <v>88</v>
      </c>
      <c r="C62" s="37" t="s">
        <v>89</v>
      </c>
      <c r="D62" s="38">
        <v>1.3234999999999999</v>
      </c>
      <c r="E62" s="39">
        <v>8.1999999999999993</v>
      </c>
      <c r="F62" s="39">
        <v>13.45</v>
      </c>
      <c r="G62" s="40">
        <v>0.51949999999999996</v>
      </c>
      <c r="H62" s="41">
        <v>300</v>
      </c>
      <c r="I62" s="60">
        <f>(H62*G62)+(12*F62)+(12*E62)+(H62*D62)</f>
        <v>812.69999999999993</v>
      </c>
      <c r="J62" s="4">
        <f>H62*9.71</f>
        <v>2913.0000000000005</v>
      </c>
      <c r="K62" s="4" t="s">
        <v>61</v>
      </c>
      <c r="L62" s="60">
        <f>I62/J62</f>
        <v>0.27899073120494328</v>
      </c>
      <c r="M62" s="4">
        <v>10</v>
      </c>
      <c r="N62" s="60">
        <f t="shared" si="27"/>
        <v>0.21981296758104737</v>
      </c>
      <c r="O62" s="4">
        <f t="shared" si="28"/>
        <v>0.21981296758104735</v>
      </c>
      <c r="P62" s="65">
        <f>(N62-N61)/3</f>
        <v>-4.708940998289622E-3</v>
      </c>
      <c r="Q62" s="63">
        <f t="shared" si="33"/>
        <v>0.26690237756394358</v>
      </c>
      <c r="R62" s="8">
        <f t="shared" si="29"/>
        <v>-2.7814369389664795</v>
      </c>
      <c r="S62" s="4">
        <f t="shared" si="30"/>
        <v>0</v>
      </c>
      <c r="U62" s="4">
        <v>10</v>
      </c>
      <c r="V62" s="60">
        <f t="shared" si="34"/>
        <v>0.2618307692307692</v>
      </c>
      <c r="W62" s="4">
        <f t="shared" si="31"/>
        <v>0.2618307692307692</v>
      </c>
      <c r="X62" s="65">
        <f>(V62-V61)/3</f>
        <v>-6.5952991452991423E-3</v>
      </c>
      <c r="Y62" s="63">
        <f t="shared" si="35"/>
        <v>0.32778376068376064</v>
      </c>
      <c r="Z62" s="8">
        <f t="shared" si="36"/>
        <v>7.2451240847534431</v>
      </c>
      <c r="AA62" s="4">
        <f t="shared" si="32"/>
        <v>1</v>
      </c>
    </row>
    <row r="63" spans="2:30" ht="27.9" thickBot="1">
      <c r="B63" s="43" t="s">
        <v>88</v>
      </c>
      <c r="C63" s="44" t="s">
        <v>90</v>
      </c>
      <c r="D63" s="45">
        <v>1.3076000000000001</v>
      </c>
      <c r="E63" s="46">
        <v>10.3</v>
      </c>
      <c r="F63" s="46">
        <v>36.9</v>
      </c>
      <c r="G63" s="47">
        <v>0.4491</v>
      </c>
      <c r="H63" s="48">
        <v>1200</v>
      </c>
      <c r="I63" s="60">
        <f>(H63*G63)+(12*F63)+(12*E63)+(H63*D63)</f>
        <v>2674.44</v>
      </c>
      <c r="J63" s="4">
        <f>H63*9.71</f>
        <v>11652.000000000002</v>
      </c>
      <c r="K63" s="4" t="s">
        <v>61</v>
      </c>
      <c r="L63" s="60">
        <f>I63/J63</f>
        <v>0.22952626158599379</v>
      </c>
      <c r="M63" s="4">
        <v>12</v>
      </c>
      <c r="N63" s="60">
        <f t="shared" si="27"/>
        <v>0.20812198067632853</v>
      </c>
      <c r="O63" s="4">
        <f t="shared" si="28"/>
        <v>0.20812198067632853</v>
      </c>
      <c r="P63" s="65">
        <f>(N63-N62)/2</f>
        <v>-5.845493452359421E-3</v>
      </c>
      <c r="Q63" s="63">
        <f t="shared" si="33"/>
        <v>0.27826790210464158</v>
      </c>
      <c r="R63" s="8">
        <f t="shared" si="29"/>
        <v>-0.29631337533349117</v>
      </c>
      <c r="S63" s="4">
        <f t="shared" si="30"/>
        <v>0</v>
      </c>
      <c r="U63" s="4">
        <v>12</v>
      </c>
      <c r="V63" s="60">
        <f t="shared" si="34"/>
        <v>0.25266272189349115</v>
      </c>
      <c r="W63" s="4">
        <f t="shared" si="31"/>
        <v>0.25266272189349115</v>
      </c>
      <c r="X63" s="65">
        <f>(V63-V62)/2</f>
        <v>-4.5840236686390257E-3</v>
      </c>
      <c r="Y63" s="63">
        <f t="shared" si="35"/>
        <v>0.30767100591715946</v>
      </c>
      <c r="Z63" s="8">
        <f t="shared" si="36"/>
        <v>6.0364011875564367</v>
      </c>
      <c r="AA63" s="4">
        <f t="shared" si="32"/>
        <v>0</v>
      </c>
    </row>
    <row r="64" spans="2:30">
      <c r="M64" s="4">
        <v>15</v>
      </c>
      <c r="N64" s="60">
        <f t="shared" si="27"/>
        <v>0.19700115340253749</v>
      </c>
      <c r="O64" s="4">
        <f t="shared" si="28"/>
        <v>0.19700115340253749</v>
      </c>
      <c r="P64" s="65">
        <f>(N64-N63)/3</f>
        <v>-3.7069424245970151E-3</v>
      </c>
      <c r="Q64" s="63">
        <f t="shared" si="33"/>
        <v>0.25260528977149271</v>
      </c>
      <c r="R64" s="8">
        <f t="shared" si="29"/>
        <v>-7.3901094461928194</v>
      </c>
      <c r="S64" s="4">
        <f t="shared" si="30"/>
        <v>0</v>
      </c>
      <c r="U64" s="4">
        <v>15</v>
      </c>
      <c r="V64" s="60">
        <f t="shared" si="34"/>
        <v>0.23802797202797202</v>
      </c>
      <c r="W64" s="4">
        <f t="shared" si="31"/>
        <v>0.23802797202797202</v>
      </c>
      <c r="X64" s="65">
        <f>(V64-V63)/3</f>
        <v>-4.8782499551730434E-3</v>
      </c>
      <c r="Y64" s="63">
        <f t="shared" si="35"/>
        <v>0.31120172135556767</v>
      </c>
      <c r="Z64" s="8">
        <f t="shared" si="36"/>
        <v>6.3960890979931033</v>
      </c>
      <c r="AA64" s="4">
        <f t="shared" si="32"/>
        <v>0</v>
      </c>
    </row>
    <row r="66" spans="2:26">
      <c r="B66" s="4" t="s">
        <v>100</v>
      </c>
      <c r="R66" s="8">
        <f>IF(S58=1,R58,IF(S59=1,R59,IF(S60=1,R60,IF(S61=1,R61,IF(S62=1,R62,IF(S63=1,R63,R64))))))</f>
        <v>2.5970572300645514</v>
      </c>
      <c r="Z66" s="8">
        <f>IF(AA58=1,Z58,IF(AA59=1,Z59,IF(AA60=1,Z60,IF(AA61=1,Z61,IF(AA62=1,Z62,IF(AA63=1,Z63,Z64))))))</f>
        <v>7.2451240847534431</v>
      </c>
    </row>
    <row r="67" spans="2:26" ht="14.4">
      <c r="B67" s="4" t="s">
        <v>101</v>
      </c>
      <c r="R67" s="4">
        <f>IF(R66&lt;-20,-20,R66)</f>
        <v>2.5970572300645514</v>
      </c>
      <c r="Z67" s="8">
        <f>IF(Z66&lt;-15,-15,Z66)</f>
        <v>7.2451240847534431</v>
      </c>
    </row>
    <row r="68" spans="2:26">
      <c r="B68" s="4" t="s">
        <v>102</v>
      </c>
    </row>
    <row r="69" spans="2:26">
      <c r="B69" s="4" t="s">
        <v>103</v>
      </c>
      <c r="C69" s="6"/>
    </row>
    <row r="70" spans="2:26">
      <c r="B70" s="4" t="s">
        <v>104</v>
      </c>
    </row>
    <row r="71" spans="2:26">
      <c r="B71" s="4" t="s">
        <v>105</v>
      </c>
    </row>
    <row r="73" spans="2:26" ht="14.1">
      <c r="B73" s="17" t="s">
        <v>127</v>
      </c>
    </row>
    <row r="75" spans="2:26">
      <c r="B75" s="50" t="s">
        <v>122</v>
      </c>
      <c r="C75" s="50" t="s">
        <v>123</v>
      </c>
      <c r="D75" s="54" t="s">
        <v>125</v>
      </c>
      <c r="E75" s="55" t="s">
        <v>126</v>
      </c>
      <c r="F75" s="55" t="s">
        <v>128</v>
      </c>
    </row>
    <row r="76" spans="2:26">
      <c r="B76" s="52">
        <v>1</v>
      </c>
      <c r="C76" s="52">
        <v>-18</v>
      </c>
      <c r="D76" s="56"/>
      <c r="E76" s="57"/>
      <c r="F76" s="57" t="e">
        <f>D76/E76</f>
        <v>#DIV/0!</v>
      </c>
      <c r="M76" s="13"/>
    </row>
    <row r="77" spans="2:26">
      <c r="B77" s="52">
        <v>1</v>
      </c>
      <c r="C77" s="52">
        <v>-16</v>
      </c>
      <c r="D77" s="57"/>
      <c r="E77" s="57"/>
      <c r="F77" s="57" t="e">
        <f t="shared" ref="F77:F108" si="37">D77/E77</f>
        <v>#DIV/0!</v>
      </c>
    </row>
    <row r="78" spans="2:26">
      <c r="B78" s="52">
        <v>3</v>
      </c>
      <c r="C78" s="52">
        <v>-14</v>
      </c>
      <c r="D78" s="57"/>
      <c r="E78" s="57"/>
      <c r="F78" s="57" t="e">
        <f t="shared" si="37"/>
        <v>#DIV/0!</v>
      </c>
    </row>
    <row r="79" spans="2:26">
      <c r="B79" s="52">
        <v>1</v>
      </c>
      <c r="C79" s="52">
        <v>-13</v>
      </c>
      <c r="D79" s="57"/>
      <c r="E79" s="57"/>
      <c r="F79" s="57" t="e">
        <f t="shared" si="37"/>
        <v>#DIV/0!</v>
      </c>
    </row>
    <row r="80" spans="2:26">
      <c r="B80" s="52">
        <v>3</v>
      </c>
      <c r="C80" s="52">
        <v>-12</v>
      </c>
      <c r="D80" s="57"/>
      <c r="E80" s="57"/>
      <c r="F80" s="57" t="e">
        <f t="shared" si="37"/>
        <v>#DIV/0!</v>
      </c>
    </row>
    <row r="81" spans="2:9" ht="14.1">
      <c r="B81" s="52">
        <v>4</v>
      </c>
      <c r="C81" s="52">
        <v>-11</v>
      </c>
      <c r="D81" s="58"/>
      <c r="E81" s="57"/>
      <c r="F81" s="57" t="e">
        <f t="shared" si="37"/>
        <v>#DIV/0!</v>
      </c>
    </row>
    <row r="82" spans="2:9" ht="14.1">
      <c r="B82" s="52">
        <v>5</v>
      </c>
      <c r="C82" s="52">
        <v>-10</v>
      </c>
      <c r="D82" s="58"/>
      <c r="E82" s="57"/>
      <c r="F82" s="57" t="e">
        <f t="shared" si="37"/>
        <v>#DIV/0!</v>
      </c>
    </row>
    <row r="83" spans="2:9" ht="14.1">
      <c r="B83" s="52">
        <v>1</v>
      </c>
      <c r="C83" s="52">
        <v>-9</v>
      </c>
      <c r="D83" s="58"/>
      <c r="E83" s="57"/>
      <c r="F83" s="57" t="e">
        <f t="shared" si="37"/>
        <v>#DIV/0!</v>
      </c>
    </row>
    <row r="84" spans="2:9" ht="14.1">
      <c r="B84" s="52">
        <v>1</v>
      </c>
      <c r="C84" s="52">
        <v>-7</v>
      </c>
      <c r="D84" s="58"/>
      <c r="E84" s="57"/>
      <c r="F84" s="57" t="e">
        <f t="shared" si="37"/>
        <v>#DIV/0!</v>
      </c>
    </row>
    <row r="85" spans="2:9" ht="14.1">
      <c r="B85" s="52">
        <v>2</v>
      </c>
      <c r="C85" s="52">
        <v>-6</v>
      </c>
      <c r="D85" s="58"/>
      <c r="E85" s="57"/>
      <c r="F85" s="57" t="e">
        <f t="shared" si="37"/>
        <v>#DIV/0!</v>
      </c>
    </row>
    <row r="86" spans="2:9" ht="14.1">
      <c r="B86" s="52">
        <v>3</v>
      </c>
      <c r="C86" s="52">
        <v>-5</v>
      </c>
      <c r="D86" s="58"/>
      <c r="E86" s="57"/>
      <c r="F86" s="57" t="e">
        <f t="shared" si="37"/>
        <v>#DIV/0!</v>
      </c>
    </row>
    <row r="87" spans="2:9" ht="14.1">
      <c r="B87" s="52">
        <v>3</v>
      </c>
      <c r="C87" s="52">
        <v>-4</v>
      </c>
      <c r="D87" s="58"/>
      <c r="E87" s="57"/>
      <c r="F87" s="57" t="e">
        <f t="shared" si="37"/>
        <v>#DIV/0!</v>
      </c>
    </row>
    <row r="88" spans="2:9">
      <c r="B88" s="52">
        <v>4</v>
      </c>
      <c r="C88" s="52">
        <v>-3</v>
      </c>
      <c r="D88" s="57"/>
      <c r="E88" s="57"/>
      <c r="F88" s="57" t="e">
        <f t="shared" si="37"/>
        <v>#DIV/0!</v>
      </c>
      <c r="I88" s="9"/>
    </row>
    <row r="89" spans="2:9">
      <c r="B89" s="52">
        <v>4</v>
      </c>
      <c r="C89" s="52">
        <v>-2</v>
      </c>
      <c r="D89" s="57"/>
      <c r="E89" s="57"/>
      <c r="F89" s="57" t="e">
        <f t="shared" si="37"/>
        <v>#DIV/0!</v>
      </c>
    </row>
    <row r="90" spans="2:9">
      <c r="B90" s="52">
        <v>8</v>
      </c>
      <c r="C90" s="52">
        <v>-1</v>
      </c>
      <c r="D90" s="57"/>
      <c r="E90" s="57"/>
      <c r="F90" s="57" t="e">
        <f t="shared" si="37"/>
        <v>#DIV/0!</v>
      </c>
    </row>
    <row r="91" spans="2:9">
      <c r="B91" s="52">
        <v>17</v>
      </c>
      <c r="C91" s="52">
        <v>0</v>
      </c>
      <c r="D91" s="57"/>
      <c r="E91" s="57"/>
      <c r="F91" s="57" t="e">
        <f t="shared" si="37"/>
        <v>#DIV/0!</v>
      </c>
    </row>
    <row r="92" spans="2:9">
      <c r="B92" s="52">
        <v>7</v>
      </c>
      <c r="C92" s="52">
        <v>1</v>
      </c>
      <c r="D92" s="57"/>
      <c r="E92" s="57"/>
      <c r="F92" s="57" t="e">
        <f t="shared" si="37"/>
        <v>#DIV/0!</v>
      </c>
    </row>
    <row r="93" spans="2:9">
      <c r="B93" s="52">
        <v>13</v>
      </c>
      <c r="C93" s="52">
        <v>2</v>
      </c>
      <c r="D93" s="57"/>
      <c r="E93" s="57"/>
      <c r="F93" s="57" t="e">
        <f t="shared" si="37"/>
        <v>#DIV/0!</v>
      </c>
    </row>
    <row r="94" spans="2:9">
      <c r="B94" s="52">
        <v>15</v>
      </c>
      <c r="C94" s="52">
        <v>3</v>
      </c>
      <c r="D94" s="57"/>
      <c r="E94" s="57"/>
      <c r="F94" s="57" t="e">
        <f t="shared" si="37"/>
        <v>#DIV/0!</v>
      </c>
    </row>
    <row r="95" spans="2:9">
      <c r="B95" s="52">
        <v>13</v>
      </c>
      <c r="C95" s="52">
        <v>4</v>
      </c>
      <c r="D95" s="57"/>
      <c r="E95" s="57"/>
      <c r="F95" s="57" t="e">
        <f t="shared" si="37"/>
        <v>#DIV/0!</v>
      </c>
    </row>
    <row r="96" spans="2:9">
      <c r="B96" s="52">
        <v>11</v>
      </c>
      <c r="C96" s="52">
        <v>5</v>
      </c>
      <c r="D96" s="57"/>
      <c r="E96" s="57"/>
      <c r="F96" s="57" t="e">
        <f t="shared" si="37"/>
        <v>#DIV/0!</v>
      </c>
    </row>
    <row r="97" spans="2:29">
      <c r="B97" s="52">
        <v>20</v>
      </c>
      <c r="C97" s="52">
        <v>16</v>
      </c>
      <c r="D97" s="57"/>
      <c r="E97" s="57"/>
      <c r="F97" s="57" t="e">
        <f t="shared" si="37"/>
        <v>#DIV/0!</v>
      </c>
    </row>
    <row r="98" spans="2:29">
      <c r="B98" s="52">
        <v>13</v>
      </c>
      <c r="C98" s="52">
        <v>7</v>
      </c>
      <c r="D98" s="57"/>
      <c r="E98" s="57"/>
      <c r="F98" s="57" t="e">
        <f t="shared" si="37"/>
        <v>#DIV/0!</v>
      </c>
    </row>
    <row r="99" spans="2:29">
      <c r="B99" s="52">
        <v>17</v>
      </c>
      <c r="C99" s="52">
        <v>8</v>
      </c>
      <c r="D99" s="57"/>
      <c r="E99" s="57"/>
      <c r="F99" s="57" t="e">
        <f t="shared" si="37"/>
        <v>#DIV/0!</v>
      </c>
    </row>
    <row r="100" spans="2:29">
      <c r="B100" s="52">
        <v>9</v>
      </c>
      <c r="C100" s="52">
        <v>9</v>
      </c>
      <c r="D100" s="57"/>
      <c r="E100" s="57"/>
      <c r="F100" s="57" t="e">
        <f t="shared" si="37"/>
        <v>#DIV/0!</v>
      </c>
    </row>
    <row r="101" spans="2:29">
      <c r="B101" s="52">
        <v>11</v>
      </c>
      <c r="C101" s="52">
        <v>10</v>
      </c>
      <c r="D101" s="57"/>
      <c r="E101" s="57"/>
      <c r="F101" s="57" t="e">
        <f t="shared" si="37"/>
        <v>#DIV/0!</v>
      </c>
    </row>
    <row r="102" spans="2:29">
      <c r="B102" s="52">
        <v>9</v>
      </c>
      <c r="C102" s="52">
        <v>11</v>
      </c>
      <c r="D102" s="57"/>
      <c r="E102" s="57"/>
      <c r="F102" s="57" t="e">
        <f t="shared" si="37"/>
        <v>#DIV/0!</v>
      </c>
    </row>
    <row r="103" spans="2:29">
      <c r="B103" s="52">
        <v>4</v>
      </c>
      <c r="C103" s="52">
        <v>12</v>
      </c>
      <c r="D103" s="57"/>
      <c r="E103" s="57"/>
      <c r="F103" s="57" t="e">
        <f t="shared" si="37"/>
        <v>#DIV/0!</v>
      </c>
    </row>
    <row r="104" spans="2:29">
      <c r="B104" s="52">
        <v>9</v>
      </c>
      <c r="C104" s="52">
        <v>13</v>
      </c>
      <c r="D104" s="57"/>
      <c r="E104" s="57"/>
      <c r="F104" s="57" t="e">
        <f t="shared" si="37"/>
        <v>#DIV/0!</v>
      </c>
      <c r="M104" s="13"/>
    </row>
    <row r="105" spans="2:29">
      <c r="B105" s="52">
        <v>9</v>
      </c>
      <c r="C105" s="52">
        <v>14</v>
      </c>
      <c r="D105" s="57"/>
      <c r="E105" s="57"/>
      <c r="F105" s="57" t="e">
        <f t="shared" si="37"/>
        <v>#DIV/0!</v>
      </c>
    </row>
    <row r="106" spans="2:29">
      <c r="B106" s="52">
        <v>4</v>
      </c>
      <c r="C106" s="52">
        <v>15</v>
      </c>
      <c r="D106" s="57"/>
      <c r="E106" s="57"/>
      <c r="F106" s="57" t="e">
        <f t="shared" si="37"/>
        <v>#DIV/0!</v>
      </c>
    </row>
    <row r="107" spans="2:29">
      <c r="B107" s="52">
        <v>2</v>
      </c>
      <c r="C107" s="52">
        <v>16</v>
      </c>
      <c r="D107" s="57"/>
      <c r="E107" s="57"/>
      <c r="F107" s="57" t="e">
        <f t="shared" si="37"/>
        <v>#DIV/0!</v>
      </c>
    </row>
    <row r="108" spans="2:29">
      <c r="B108" s="52">
        <v>9</v>
      </c>
      <c r="C108" s="52">
        <v>17</v>
      </c>
      <c r="D108" s="57"/>
      <c r="E108" s="57"/>
      <c r="F108" s="57" t="e">
        <f t="shared" si="37"/>
        <v>#DIV/0!</v>
      </c>
      <c r="Q108" s="8"/>
      <c r="AA108" s="9"/>
      <c r="AB108" s="8"/>
      <c r="AC108" s="8"/>
    </row>
    <row r="109" spans="2:29">
      <c r="Q109" s="8"/>
      <c r="AC109" s="8"/>
    </row>
    <row r="115" spans="3:3" ht="14.1">
      <c r="C115" s="5"/>
    </row>
    <row r="116" spans="3:3" ht="14.1">
      <c r="C116" s="5"/>
    </row>
    <row r="117" spans="3:3" ht="14.1">
      <c r="C117" s="5"/>
    </row>
  </sheetData>
  <sheetProtection algorithmName="SHA-512" hashValue="Gr8BDt2dhDVRuBllaM9dEfQ3btassRjrmcj8+2+oysVjTnTsO37kPGBR1q6PDiZScY8t4ntx1lWPAmcPGC3pYQ==" saltValue="VAnOXdJSC7k91bZaVIGfpg==" spinCount="100000" sheet="1" objects="1" scenarios="1" select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J367"/>
  <sheetViews>
    <sheetView topLeftCell="EN1" zoomScale="55" zoomScaleNormal="55" workbookViewId="0">
      <selection activeCell="E30" sqref="E30"/>
    </sheetView>
  </sheetViews>
  <sheetFormatPr defaultRowHeight="13.8"/>
  <cols>
    <col min="2" max="2" width="7.234375" bestFit="1" customWidth="1"/>
    <col min="3" max="3" width="3.6171875" bestFit="1" customWidth="1"/>
    <col min="4" max="7" width="11.85546875" bestFit="1" customWidth="1"/>
    <col min="8" max="8" width="9.76171875" bestFit="1" customWidth="1"/>
    <col min="9" max="9" width="11.85546875" bestFit="1" customWidth="1"/>
    <col min="10" max="10" width="10.85546875" bestFit="1" customWidth="1"/>
    <col min="11" max="11" width="11.85546875" bestFit="1" customWidth="1"/>
    <col min="12" max="12" width="1.6171875" style="49" customWidth="1"/>
    <col min="13" max="13" width="7.140625" customWidth="1"/>
    <col min="14" max="14" width="3.6171875" bestFit="1" customWidth="1"/>
    <col min="15" max="15" width="6.47265625" bestFit="1" customWidth="1"/>
    <col min="16" max="16" width="9.76171875" bestFit="1" customWidth="1"/>
    <col min="17" max="18" width="8.76171875" bestFit="1" customWidth="1"/>
    <col min="19" max="22" width="8.76171875" customWidth="1"/>
    <col min="23" max="23" width="1.6171875" style="49" customWidth="1"/>
    <col min="24" max="24" width="7.140625" bestFit="1" customWidth="1"/>
    <col min="25" max="25" width="3.140625" bestFit="1" customWidth="1"/>
    <col min="26" max="26" width="6.47265625" bestFit="1" customWidth="1"/>
    <col min="27" max="27" width="13" bestFit="1" customWidth="1"/>
    <col min="28" max="28" width="8.76171875" bestFit="1" customWidth="1"/>
    <col min="29" max="29" width="6.37890625" bestFit="1" customWidth="1"/>
    <col min="30" max="33" width="6.37890625" customWidth="1"/>
    <col min="34" max="34" width="1.6171875" style="49" customWidth="1"/>
    <col min="35" max="35" width="8.140625" bestFit="1" customWidth="1"/>
    <col min="36" max="36" width="3.140625" bestFit="1" customWidth="1"/>
    <col min="37" max="37" width="7.140625" bestFit="1" customWidth="1"/>
    <col min="38" max="38" width="13.47265625" bestFit="1" customWidth="1"/>
    <col min="39" max="39" width="8.76171875" bestFit="1" customWidth="1"/>
    <col min="40" max="40" width="3.140625" customWidth="1"/>
    <col min="41" max="41" width="9.76171875" bestFit="1" customWidth="1"/>
    <col min="42" max="42" width="10.47265625" bestFit="1" customWidth="1"/>
    <col min="43" max="44" width="8" customWidth="1"/>
    <col min="45" max="45" width="1.6171875" style="49" customWidth="1"/>
    <col min="46" max="46" width="4.140625" bestFit="1" customWidth="1"/>
    <col min="47" max="47" width="3.140625" bestFit="1" customWidth="1"/>
    <col min="48" max="48" width="7.140625" bestFit="1" customWidth="1"/>
    <col min="49" max="49" width="13.47265625" bestFit="1" customWidth="1"/>
    <col min="50" max="51" width="3.140625" customWidth="1"/>
    <col min="52" max="52" width="1.6171875" style="49" customWidth="1"/>
    <col min="53" max="53" width="8.234375" bestFit="1" customWidth="1"/>
    <col min="54" max="54" width="3.140625" bestFit="1" customWidth="1"/>
    <col min="55" max="55" width="7.140625" bestFit="1" customWidth="1"/>
    <col min="56" max="56" width="13.47265625" bestFit="1" customWidth="1"/>
    <col min="57" max="58" width="3.140625" customWidth="1"/>
    <col min="59" max="59" width="1.76171875" style="49" customWidth="1"/>
    <col min="60" max="60" width="5.234375" bestFit="1" customWidth="1"/>
    <col min="61" max="61" width="3.140625" bestFit="1" customWidth="1"/>
    <col min="62" max="62" width="7.140625" bestFit="1" customWidth="1"/>
    <col min="63" max="63" width="13.47265625" bestFit="1" customWidth="1"/>
    <col min="64" max="65" width="3.140625" customWidth="1"/>
    <col min="66" max="66" width="1.6171875" style="49" customWidth="1"/>
    <col min="67" max="67" width="7.6171875" bestFit="1" customWidth="1"/>
    <col min="68" max="68" width="3.140625" bestFit="1" customWidth="1"/>
    <col min="69" max="69" width="7.140625" bestFit="1" customWidth="1"/>
    <col min="70" max="70" width="13.47265625" bestFit="1" customWidth="1"/>
    <col min="71" max="71" width="2.76171875" customWidth="1"/>
    <col min="72" max="72" width="3.140625" customWidth="1"/>
    <col min="73" max="73" width="1.6171875" style="49" customWidth="1"/>
    <col min="74" max="74" width="8.234375" bestFit="1" customWidth="1"/>
    <col min="75" max="75" width="3.140625" bestFit="1" customWidth="1"/>
    <col min="76" max="77" width="13.47265625" bestFit="1" customWidth="1"/>
    <col min="78" max="78" width="8.76171875" bestFit="1" customWidth="1"/>
    <col min="79" max="79" width="6.37890625" bestFit="1" customWidth="1"/>
    <col min="80" max="83" width="6.37890625" customWidth="1"/>
    <col min="84" max="84" width="1.6171875" style="49" customWidth="1"/>
    <col min="85" max="85" width="10.140625" bestFit="1" customWidth="1"/>
    <col min="86" max="86" width="3.140625" bestFit="1" customWidth="1"/>
    <col min="87" max="87" width="7.140625" bestFit="1" customWidth="1"/>
    <col min="88" max="88" width="13.47265625" bestFit="1" customWidth="1"/>
    <col min="89" max="89" width="8.76171875" bestFit="1" customWidth="1"/>
    <col min="90" max="90" width="6.37890625" bestFit="1" customWidth="1"/>
    <col min="91" max="94" width="6.37890625" customWidth="1"/>
    <col min="95" max="95" width="1.6171875" style="49" customWidth="1"/>
    <col min="96" max="96" width="7.47265625" bestFit="1" customWidth="1"/>
    <col min="97" max="97" width="3.140625" bestFit="1" customWidth="1"/>
    <col min="98" max="98" width="6.47265625" bestFit="1" customWidth="1"/>
    <col min="99" max="99" width="13" bestFit="1" customWidth="1"/>
    <col min="100" max="100" width="9.76171875" bestFit="1" customWidth="1"/>
    <col min="101" max="101" width="6.37890625" bestFit="1" customWidth="1"/>
    <col min="102" max="105" width="6.37890625" customWidth="1"/>
    <col min="106" max="106" width="1.6171875" style="49" customWidth="1"/>
    <col min="107" max="107" width="7.85546875" bestFit="1" customWidth="1"/>
    <col min="108" max="108" width="3.6171875" bestFit="1" customWidth="1"/>
    <col min="109" max="109" width="6.47265625" bestFit="1" customWidth="1"/>
    <col min="110" max="110" width="13" bestFit="1" customWidth="1"/>
    <col min="111" max="111" width="8.76171875" bestFit="1" customWidth="1"/>
    <col min="112" max="114" width="7.37890625" customWidth="1"/>
    <col min="117" max="117" width="9" style="49"/>
    <col min="118" max="118" width="9" style="101"/>
    <col min="121" max="121" width="9" style="51"/>
    <col min="132" max="132" width="4.234375" customWidth="1"/>
    <col min="133" max="133" width="16" bestFit="1" customWidth="1"/>
    <col min="134" max="134" width="13.140625" customWidth="1"/>
    <col min="135" max="135" width="6" customWidth="1"/>
    <col min="136" max="136" width="16" bestFit="1" customWidth="1"/>
    <col min="137" max="137" width="13.140625" customWidth="1"/>
    <col min="141" max="141" width="10.140625" bestFit="1" customWidth="1"/>
    <col min="146" max="146" width="4.234375" customWidth="1"/>
    <col min="147" max="147" width="16" bestFit="1" customWidth="1"/>
    <col min="148" max="148" width="13.140625" customWidth="1"/>
    <col min="160" max="160" width="12.6171875" bestFit="1" customWidth="1"/>
    <col min="161" max="161" width="10.76171875" customWidth="1"/>
    <col min="165" max="165" width="12.140625" customWidth="1"/>
  </cols>
  <sheetData>
    <row r="1" spans="1:16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M1" s="53">
        <v>2012</v>
      </c>
      <c r="DQ1" s="51" t="s">
        <v>121</v>
      </c>
      <c r="DR1" s="167" t="s">
        <v>182</v>
      </c>
      <c r="DS1" s="167"/>
      <c r="DT1" s="167"/>
      <c r="DU1" s="167"/>
      <c r="DV1" s="165" t="s">
        <v>180</v>
      </c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I1" s="167" t="s">
        <v>124</v>
      </c>
      <c r="EJ1" s="167"/>
      <c r="EK1" s="167"/>
      <c r="EL1" s="167"/>
      <c r="EM1" s="167"/>
      <c r="EN1" s="165" t="s">
        <v>180</v>
      </c>
      <c r="EO1" s="165"/>
      <c r="EP1" s="165"/>
      <c r="EQ1" s="165"/>
      <c r="ER1" s="165"/>
    </row>
    <row r="2" spans="1:166">
      <c r="A2" s="162" t="s">
        <v>107</v>
      </c>
      <c r="B2" t="s">
        <v>108</v>
      </c>
      <c r="C2" t="s">
        <v>109</v>
      </c>
      <c r="D2" t="s">
        <v>231</v>
      </c>
      <c r="E2" t="s">
        <v>229</v>
      </c>
      <c r="F2" t="s">
        <v>222</v>
      </c>
      <c r="G2" t="s">
        <v>230</v>
      </c>
      <c r="H2" t="s">
        <v>237</v>
      </c>
      <c r="I2" t="s">
        <v>240</v>
      </c>
      <c r="J2" t="s">
        <v>222</v>
      </c>
      <c r="K2" t="s">
        <v>230</v>
      </c>
      <c r="M2" t="s">
        <v>110</v>
      </c>
      <c r="N2" t="s">
        <v>109</v>
      </c>
      <c r="O2" t="s">
        <v>231</v>
      </c>
      <c r="P2" t="s">
        <v>229</v>
      </c>
      <c r="Q2" t="s">
        <v>222</v>
      </c>
      <c r="R2" t="s">
        <v>230</v>
      </c>
      <c r="S2" t="s">
        <v>237</v>
      </c>
      <c r="T2" t="s">
        <v>240</v>
      </c>
      <c r="U2" t="s">
        <v>222</v>
      </c>
      <c r="V2" t="s">
        <v>230</v>
      </c>
      <c r="X2" t="s">
        <v>111</v>
      </c>
      <c r="Y2" t="s">
        <v>109</v>
      </c>
      <c r="Z2" t="s">
        <v>231</v>
      </c>
      <c r="AA2" t="s">
        <v>229</v>
      </c>
      <c r="AB2" t="s">
        <v>222</v>
      </c>
      <c r="AC2" t="s">
        <v>230</v>
      </c>
      <c r="AD2" t="s">
        <v>237</v>
      </c>
      <c r="AE2" t="s">
        <v>240</v>
      </c>
      <c r="AF2" t="s">
        <v>222</v>
      </c>
      <c r="AG2" t="s">
        <v>230</v>
      </c>
      <c r="AI2" t="s">
        <v>112</v>
      </c>
      <c r="AJ2" t="s">
        <v>109</v>
      </c>
      <c r="AK2" t="s">
        <v>231</v>
      </c>
      <c r="AL2" t="s">
        <v>229</v>
      </c>
      <c r="AM2" t="s">
        <v>222</v>
      </c>
      <c r="AN2" t="s">
        <v>230</v>
      </c>
      <c r="AO2" t="s">
        <v>237</v>
      </c>
      <c r="AP2" t="s">
        <v>240</v>
      </c>
      <c r="AQ2" t="s">
        <v>222</v>
      </c>
      <c r="AR2" t="s">
        <v>230</v>
      </c>
      <c r="AT2" t="s">
        <v>113</v>
      </c>
      <c r="AU2" t="s">
        <v>109</v>
      </c>
      <c r="BA2" t="s">
        <v>114</v>
      </c>
      <c r="BB2" t="s">
        <v>109</v>
      </c>
      <c r="BH2" t="s">
        <v>115</v>
      </c>
      <c r="BI2" t="s">
        <v>109</v>
      </c>
      <c r="BO2" t="s">
        <v>116</v>
      </c>
      <c r="BP2" t="s">
        <v>109</v>
      </c>
      <c r="BV2" t="s">
        <v>117</v>
      </c>
      <c r="BW2" t="s">
        <v>109</v>
      </c>
      <c r="BX2" t="s">
        <v>231</v>
      </c>
      <c r="BY2" t="s">
        <v>229</v>
      </c>
      <c r="BZ2" t="s">
        <v>222</v>
      </c>
      <c r="CA2" t="s">
        <v>230</v>
      </c>
      <c r="CB2" t="s">
        <v>237</v>
      </c>
      <c r="CC2" t="s">
        <v>240</v>
      </c>
      <c r="CD2" t="s">
        <v>222</v>
      </c>
      <c r="CE2" t="s">
        <v>230</v>
      </c>
      <c r="CG2" t="s">
        <v>118</v>
      </c>
      <c r="CH2" t="s">
        <v>109</v>
      </c>
      <c r="CI2" t="s">
        <v>231</v>
      </c>
      <c r="CJ2" t="s">
        <v>229</v>
      </c>
      <c r="CK2" t="s">
        <v>222</v>
      </c>
      <c r="CL2" t="s">
        <v>230</v>
      </c>
      <c r="CM2" t="s">
        <v>237</v>
      </c>
      <c r="CN2" t="s">
        <v>240</v>
      </c>
      <c r="CO2" t="s">
        <v>222</v>
      </c>
      <c r="CP2" t="s">
        <v>230</v>
      </c>
      <c r="CR2" t="s">
        <v>119</v>
      </c>
      <c r="CS2" t="s">
        <v>109</v>
      </c>
      <c r="CT2" t="s">
        <v>231</v>
      </c>
      <c r="CU2" t="s">
        <v>229</v>
      </c>
      <c r="CV2" t="s">
        <v>222</v>
      </c>
      <c r="CW2" t="s">
        <v>230</v>
      </c>
      <c r="CX2" t="s">
        <v>237</v>
      </c>
      <c r="CY2" t="s">
        <v>240</v>
      </c>
      <c r="CZ2" t="s">
        <v>222</v>
      </c>
      <c r="DA2" t="s">
        <v>230</v>
      </c>
      <c r="DC2" t="s">
        <v>120</v>
      </c>
      <c r="DD2" t="s">
        <v>109</v>
      </c>
      <c r="DE2" t="s">
        <v>231</v>
      </c>
      <c r="DF2" t="s">
        <v>229</v>
      </c>
      <c r="DG2" t="s">
        <v>222</v>
      </c>
      <c r="DH2" t="s">
        <v>230</v>
      </c>
      <c r="DI2" t="s">
        <v>237</v>
      </c>
      <c r="DJ2" t="s">
        <v>240</v>
      </c>
      <c r="DK2" t="s">
        <v>222</v>
      </c>
      <c r="DL2" t="s">
        <v>230</v>
      </c>
      <c r="DM2" s="49">
        <v>-18</v>
      </c>
      <c r="DQ2" s="51">
        <v>-18</v>
      </c>
      <c r="DR2" s="50" t="s">
        <v>122</v>
      </c>
      <c r="DS2" s="50" t="s">
        <v>123</v>
      </c>
      <c r="DT2" s="87">
        <v>55</v>
      </c>
      <c r="DU2" s="88">
        <v>35</v>
      </c>
      <c r="DV2" s="97">
        <v>55</v>
      </c>
      <c r="DW2" s="97">
        <v>55</v>
      </c>
      <c r="DX2" s="97">
        <v>55</v>
      </c>
      <c r="DY2" s="98">
        <v>35</v>
      </c>
      <c r="DZ2" s="98">
        <v>35</v>
      </c>
      <c r="EA2" s="98">
        <v>35</v>
      </c>
      <c r="EB2" s="97">
        <v>55</v>
      </c>
      <c r="EC2" s="97">
        <v>55</v>
      </c>
      <c r="ED2" s="97">
        <v>55</v>
      </c>
      <c r="EE2" s="98">
        <v>35</v>
      </c>
      <c r="EF2" s="98">
        <v>35</v>
      </c>
      <c r="EG2" s="98">
        <v>35</v>
      </c>
      <c r="EI2" s="100" t="s">
        <v>122</v>
      </c>
      <c r="EJ2" s="100"/>
      <c r="EK2" s="100" t="s">
        <v>123</v>
      </c>
      <c r="EL2" s="97">
        <v>55</v>
      </c>
      <c r="EM2" s="97">
        <v>55</v>
      </c>
      <c r="EN2" s="97">
        <v>55</v>
      </c>
      <c r="EO2" s="97">
        <v>55</v>
      </c>
      <c r="EP2" s="97">
        <v>55</v>
      </c>
      <c r="EQ2" s="97">
        <v>55</v>
      </c>
      <c r="ER2" s="97">
        <v>55</v>
      </c>
      <c r="FA2" t="s">
        <v>179</v>
      </c>
      <c r="FB2" t="s">
        <v>179</v>
      </c>
      <c r="FC2" t="s">
        <v>188</v>
      </c>
      <c r="FD2" t="s">
        <v>190</v>
      </c>
      <c r="FE2" t="s">
        <v>134</v>
      </c>
      <c r="FF2" t="s">
        <v>191</v>
      </c>
      <c r="FG2" t="s">
        <v>61</v>
      </c>
      <c r="FH2" t="s">
        <v>83</v>
      </c>
      <c r="FI2" t="s">
        <v>189</v>
      </c>
      <c r="FJ2" t="s">
        <v>192</v>
      </c>
    </row>
    <row r="3" spans="1:166" ht="14.1">
      <c r="A3" s="162"/>
      <c r="B3">
        <v>1</v>
      </c>
      <c r="C3">
        <v>1</v>
      </c>
      <c r="D3" s="84">
        <f>(C3*'Dane dla CO'!$AB$53+'Dane dla CO'!$AD$53)/(C3*'Dane dla CO'!$P$35+'Dane dla CO'!$Q$35)</f>
        <v>1.2191358024691357</v>
      </c>
      <c r="E3" s="84">
        <f>C3*'Dane dla CO'!$N$96+'Dane dla CO'!$N$97</f>
        <v>108.00000000000001</v>
      </c>
      <c r="F3" s="84">
        <f>IF(C3&lt;'Dane dla CO'!$Z$67,0,IF(D3&gt;1,E3,D3*E3))</f>
        <v>108.00000000000001</v>
      </c>
      <c r="G3" s="84">
        <f>E3-F3</f>
        <v>0</v>
      </c>
      <c r="H3" s="84">
        <f>(C3*'Dane dla CWU'!$AB$53+'Dane dla CWU'!$AD$53)/(C3*'Dane dla CO'!$P$35+'Dane dla CO'!$Q$35)</f>
        <v>1.1471193415637859</v>
      </c>
      <c r="I3" s="84">
        <f>$E$42/365</f>
        <v>10.319026666666666</v>
      </c>
      <c r="J3" s="84">
        <f>IF(C3&lt;'Dane dla CWU'!$Z$67,0,IF(H3&gt;1,I3,H3*I3))</f>
        <v>0</v>
      </c>
      <c r="K3" s="84">
        <f>I3-J3</f>
        <v>10.319026666666666</v>
      </c>
      <c r="M3">
        <v>1</v>
      </c>
      <c r="N3">
        <v>-14</v>
      </c>
      <c r="O3">
        <f>(N3*'Dane dla CO'!$AB$53+'Dane dla CO'!$AD$53)/(N3*'Dane dla CO'!$P$35+'Dane dla CO'!$Q$35)</f>
        <v>0.53267347807577692</v>
      </c>
      <c r="P3">
        <f>N3*'Dane dla CO'!$N$96+'Dane dla CO'!$N$97</f>
        <v>216.00000000000003</v>
      </c>
      <c r="Q3">
        <f>IF(N3&lt;'Dane dla CO'!$Z$67,0,IF(O3&gt;1,P3,O3*P3))</f>
        <v>0</v>
      </c>
      <c r="R3">
        <f>P3-Q3</f>
        <v>216.00000000000003</v>
      </c>
      <c r="S3" s="84">
        <f>(N3*'Dane dla CWU'!$AB$53+'Dane dla CWU'!$AD$53)/(N3*'Dane dla CO'!$P$35+'Dane dla CO'!$Q$35)</f>
        <v>0.31165744288349645</v>
      </c>
      <c r="T3" s="84">
        <f>$E$42/365</f>
        <v>10.319026666666666</v>
      </c>
      <c r="U3" s="84">
        <f>IF(N3&lt;'Dane dla CWU'!$Z$67,0,IF(S3&gt;1,T3,S3*T3))</f>
        <v>0</v>
      </c>
      <c r="V3" s="84">
        <f>T3-U3</f>
        <v>10.319026666666666</v>
      </c>
      <c r="X3">
        <v>1</v>
      </c>
      <c r="Y3">
        <v>7</v>
      </c>
      <c r="Z3">
        <f>(Y3*'Dane dla CO'!$AB$53+'Dane dla CO'!$AD$53)/(Y3*'Dane dla CO'!$P$35+'Dane dla CO'!$Q$35)</f>
        <v>2.2145061728395059</v>
      </c>
      <c r="AA3">
        <f>Y3*'Dane dla CO'!$N$96+'Dane dla CO'!$N$97</f>
        <v>64.800000000000011</v>
      </c>
      <c r="AB3">
        <f>IF(Y3&lt;'Dane dla CO'!$Z$67,0,IF(Z3&gt;1,AA3,Z3*AA3))</f>
        <v>64.800000000000011</v>
      </c>
      <c r="AC3">
        <f>AA3-AB3</f>
        <v>0</v>
      </c>
      <c r="AD3" s="84">
        <f>(Y3*'Dane dla CWU'!$AB$53+'Dane dla CWU'!$AD$53)/(Y3*'Dane dla CO'!$P$35+'Dane dla CO'!$Q$35)</f>
        <v>2.3585390946502054</v>
      </c>
      <c r="AE3" s="84">
        <f>$E$42/365</f>
        <v>10.319026666666666</v>
      </c>
      <c r="AF3" s="84">
        <f>IF(Y3&lt;'Dane dla CWU'!$Z$67,0,IF(AD3&gt;1,AE3,AD3*AE3))</f>
        <v>0</v>
      </c>
      <c r="AG3" s="84">
        <f>AE3-AF3</f>
        <v>10.319026666666666</v>
      </c>
      <c r="AI3">
        <v>1</v>
      </c>
      <c r="AJ3">
        <v>3</v>
      </c>
      <c r="AK3">
        <f>(AJ3*'Dane dla CO'!$AB$53+'Dane dla CO'!$AD$53)/(AJ3*'Dane dla CO'!$P$35+'Dane dla CO'!$Q$35)</f>
        <v>1.4403292181069955</v>
      </c>
      <c r="AL3">
        <f>AJ3*'Dane dla CO'!$N$96+'Dane dla CO'!$N$97</f>
        <v>93.600000000000023</v>
      </c>
      <c r="AM3">
        <f>IF(AJ3&lt;'Dane dla CO'!$Z$67,0,IF(AK3&gt;1,AL3,AK3*AL3))</f>
        <v>93.600000000000023</v>
      </c>
      <c r="AN3">
        <f>AL3-AM3</f>
        <v>0</v>
      </c>
      <c r="AO3" s="84">
        <f>(AJ3*'Dane dla CWU'!$AB$53+'Dane dla CWU'!$AD$53)/(AJ3*'Dane dla CO'!$P$35+'Dane dla CO'!$Q$35)</f>
        <v>1.4163237311385457</v>
      </c>
      <c r="AP3" s="84">
        <f>$E$42/365</f>
        <v>10.319026666666666</v>
      </c>
      <c r="AQ3" s="84">
        <f>IF(AJ3&lt;'Dane dla CWU'!$Z$67,0,IF(AO3&gt;1,AP3,AO3*AP3))</f>
        <v>0</v>
      </c>
      <c r="AR3" s="84">
        <f>AP3-AQ3</f>
        <v>10.319026666666666</v>
      </c>
      <c r="AT3">
        <v>1</v>
      </c>
      <c r="AU3">
        <v>21</v>
      </c>
      <c r="BA3">
        <v>1</v>
      </c>
      <c r="BB3">
        <v>14</v>
      </c>
      <c r="BH3">
        <v>1</v>
      </c>
      <c r="BI3">
        <v>28</v>
      </c>
      <c r="BO3">
        <v>1</v>
      </c>
      <c r="BP3">
        <v>21</v>
      </c>
      <c r="BV3">
        <v>1</v>
      </c>
      <c r="BW3">
        <v>17</v>
      </c>
      <c r="CB3" s="84"/>
      <c r="CC3" s="84">
        <f>$E$42/365</f>
        <v>10.319026666666666</v>
      </c>
      <c r="CD3" s="84">
        <f>CC3</f>
        <v>10.319026666666666</v>
      </c>
      <c r="CE3" s="84">
        <f>CC3-CD3</f>
        <v>0</v>
      </c>
      <c r="CG3">
        <v>1</v>
      </c>
      <c r="CH3">
        <v>11</v>
      </c>
      <c r="CI3">
        <f>(CH3*'Dane dla CO'!$AB$53+'Dane dla CO'!$AD$53)/(CH3*'Dane dla CO'!$P$35+'Dane dla CO'!$Q$35)</f>
        <v>4.5370370370370363</v>
      </c>
      <c r="CJ3">
        <f>CH3*'Dane dla CO'!$N$96+'Dane dla CO'!$N$97</f>
        <v>36</v>
      </c>
      <c r="CK3">
        <f>IF(CH3&lt;'Dane dla CO'!$Z$67,0,IF(CI3&gt;1,CJ3,CI3*CJ3))</f>
        <v>36</v>
      </c>
      <c r="CL3">
        <f>CJ3-CK3</f>
        <v>0</v>
      </c>
      <c r="CM3" s="84">
        <f>(CH3*'Dane dla CWU'!$AB$53+'Dane dla CWU'!$AD$53)/(CH3*'Dane dla CO'!$P$35+'Dane dla CO'!$Q$35)</f>
        <v>5.1851851851851842</v>
      </c>
      <c r="CN3" s="84">
        <f t="shared" ref="CN3:CN33" si="0">$E$42/365</f>
        <v>10.319026666666666</v>
      </c>
      <c r="CO3" s="84">
        <f>IF(CH3&lt;'Dane dla CWU'!$Z$67,0,IF(CM3&gt;1,CN3,CM3*CN3))</f>
        <v>10.319026666666666</v>
      </c>
      <c r="CP3" s="84">
        <f t="shared" ref="CP3:CP33" si="1">CN3-CO3</f>
        <v>0</v>
      </c>
      <c r="CR3">
        <v>1</v>
      </c>
      <c r="CS3">
        <v>3</v>
      </c>
      <c r="CT3">
        <f>(CS3*'Dane dla CO'!$AB$53+'Dane dla CO'!$AD$53)/(CS3*'Dane dla CO'!$P$35+'Dane dla CO'!$Q$35)</f>
        <v>1.4403292181069955</v>
      </c>
      <c r="CU3">
        <f>CS3*'Dane dla CO'!$N$96+'Dane dla CO'!$N$97</f>
        <v>93.600000000000023</v>
      </c>
      <c r="CV3">
        <f>IF(CS3&lt;'Dane dla CO'!$Z$67,0,IF(CT3&gt;1,CU3,CT3*CU3))</f>
        <v>93.600000000000023</v>
      </c>
      <c r="CW3">
        <f>CU3-CV3</f>
        <v>0</v>
      </c>
      <c r="CX3" s="84">
        <f>(CS3*'Dane dla CWU'!$AB$53+'Dane dla CWU'!$AD$53)/(CS3*'Dane dla CO'!$P$35+'Dane dla CO'!$Q$35)</f>
        <v>1.4163237311385457</v>
      </c>
      <c r="CY3" s="84">
        <f t="shared" ref="CY3:CY32" si="2">$E$42/365</f>
        <v>10.319026666666666</v>
      </c>
      <c r="CZ3" s="84">
        <f>IF(CS3&lt;'Dane dla CWU'!$Z$67,0,IF(CX3&gt;1,CY3,CX3*CY3))</f>
        <v>0</v>
      </c>
      <c r="DA3" s="84">
        <f t="shared" ref="DA3:DA32" si="3">CY3-CZ3</f>
        <v>10.319026666666666</v>
      </c>
      <c r="DC3">
        <v>1</v>
      </c>
      <c r="DD3">
        <v>1</v>
      </c>
      <c r="DE3">
        <f>(DD3*'Dane dla CO'!$AB$53+'Dane dla CO'!$AD$53)/(DD3*'Dane dla CO'!$P$35+'Dane dla CO'!$Q$35)</f>
        <v>1.2191358024691357</v>
      </c>
      <c r="DF3">
        <f>DD3*'Dane dla CO'!$N$96+'Dane dla CO'!$N$97</f>
        <v>108.00000000000001</v>
      </c>
      <c r="DG3">
        <f>IF(DD3&lt;'Dane dla CO'!$Z$67,0,IF(DE3&gt;1,DF3,DE3*DF3))</f>
        <v>108.00000000000001</v>
      </c>
      <c r="DH3">
        <f>DF3-DG3</f>
        <v>0</v>
      </c>
      <c r="DI3" s="84">
        <f>(DD3*'Dane dla CWU'!$AB$53+'Dane dla CWU'!$AD$53)/(DD3*'Dane dla CO'!$P$35+'Dane dla CO'!$Q$35)</f>
        <v>1.1471193415637859</v>
      </c>
      <c r="DJ3" s="84">
        <f t="shared" ref="DJ3:DJ33" si="4">$E$42/365</f>
        <v>10.319026666666666</v>
      </c>
      <c r="DK3" s="84">
        <f>IF(DD3&lt;'Dane dla CWU'!$Z$67,0,IF(DI3&gt;1,DJ3,DI3*DJ3))</f>
        <v>0</v>
      </c>
      <c r="DL3" s="84">
        <f t="shared" ref="DL3:DL33" si="5">DJ3-DK3</f>
        <v>10.319026666666666</v>
      </c>
      <c r="DM3" s="49">
        <v>-16</v>
      </c>
      <c r="DN3" s="101" t="s">
        <v>61</v>
      </c>
      <c r="DO3" t="s">
        <v>57</v>
      </c>
      <c r="DP3" t="s">
        <v>61</v>
      </c>
      <c r="DQ3" s="51">
        <v>-16</v>
      </c>
      <c r="DR3" s="91"/>
      <c r="DS3" s="91"/>
      <c r="DT3" s="163" t="s">
        <v>156</v>
      </c>
      <c r="DU3" s="164"/>
      <c r="DV3" s="91" t="s">
        <v>177</v>
      </c>
      <c r="DW3" s="91" t="s">
        <v>178</v>
      </c>
      <c r="DX3" s="91" t="s">
        <v>155</v>
      </c>
      <c r="DY3" s="91" t="s">
        <v>177</v>
      </c>
      <c r="DZ3" s="91" t="s">
        <v>178</v>
      </c>
      <c r="EA3" s="91" t="s">
        <v>155</v>
      </c>
      <c r="EB3" s="93" t="s">
        <v>122</v>
      </c>
      <c r="EC3" s="91" t="s">
        <v>181</v>
      </c>
      <c r="ED3" s="91" t="s">
        <v>179</v>
      </c>
      <c r="EE3" s="93" t="s">
        <v>122</v>
      </c>
      <c r="EF3" s="91" t="s">
        <v>181</v>
      </c>
      <c r="EG3" s="91" t="s">
        <v>179</v>
      </c>
      <c r="EI3" s="91"/>
      <c r="EJ3" s="91"/>
      <c r="EK3" s="91"/>
      <c r="EL3" s="99" t="s">
        <v>156</v>
      </c>
      <c r="EM3" s="91" t="s">
        <v>177</v>
      </c>
      <c r="EN3" s="91" t="s">
        <v>178</v>
      </c>
      <c r="EO3" s="91" t="s">
        <v>155</v>
      </c>
      <c r="EP3" s="93" t="s">
        <v>122</v>
      </c>
      <c r="EQ3" s="91" t="s">
        <v>181</v>
      </c>
      <c r="ER3" s="91" t="s">
        <v>179</v>
      </c>
      <c r="EV3" s="166" t="s">
        <v>76</v>
      </c>
      <c r="EW3" s="66" t="s">
        <v>143</v>
      </c>
      <c r="EX3" s="1"/>
      <c r="EY3" s="1"/>
      <c r="EZ3" s="102">
        <f>ROUND('Dane dla CO'!Z54,0)</f>
        <v>-2</v>
      </c>
      <c r="FA3" s="84">
        <f>FB57</f>
        <v>3.3825876486443684</v>
      </c>
      <c r="FB3" s="84">
        <f>IF(Dobór!$M$18="Ogrzewanie podłogowe 35/28",FA3,FA3/1.05)</f>
        <v>3.2215120463279696</v>
      </c>
      <c r="FC3">
        <f>DT42-FF3</f>
        <v>189</v>
      </c>
      <c r="FD3">
        <f>(Dobór!P27*2000)*FC3/(FC3+FF3)</f>
        <v>18144</v>
      </c>
      <c r="FE3">
        <f>FD3/FB3*'Dane dla CO'!C56</f>
        <v>3435.6041016874801</v>
      </c>
      <c r="FF3">
        <f>FF57</f>
        <v>36</v>
      </c>
      <c r="FG3">
        <f>Dobór!P27*2000-FD3</f>
        <v>3456</v>
      </c>
      <c r="FH3">
        <f>FG3*'Dane dla CO'!G54</f>
        <v>967.68000000000006</v>
      </c>
      <c r="FI3" s="103">
        <f>FH3+FE3</f>
        <v>4403.28410168748</v>
      </c>
    </row>
    <row r="4" spans="1:166" ht="14.1">
      <c r="A4" s="162"/>
      <c r="B4">
        <v>2</v>
      </c>
      <c r="C4">
        <v>7</v>
      </c>
      <c r="D4" s="84">
        <f>(C4*'Dane dla CO'!$AB$53+'Dane dla CO'!$AD$53)/(C4*'Dane dla CO'!$P$35+'Dane dla CO'!$Q$35)</f>
        <v>2.2145061728395059</v>
      </c>
      <c r="E4" s="84">
        <f>C4*'Dane dla CO'!$N$96+'Dane dla CO'!$N$97</f>
        <v>64.800000000000011</v>
      </c>
      <c r="F4" s="84">
        <f>IF(C4&lt;'Dane dla CO'!$Z$67,0,IF(D4&gt;1,E4,D4*E4))</f>
        <v>64.800000000000011</v>
      </c>
      <c r="G4" s="84">
        <f t="shared" ref="G4:G33" si="6">E4-F4</f>
        <v>0</v>
      </c>
      <c r="H4" s="84">
        <f>(C4*'Dane dla CWU'!$AB$53+'Dane dla CWU'!$AD$53)/(C4*'Dane dla CO'!$P$35+'Dane dla CO'!$Q$35)</f>
        <v>2.3585390946502054</v>
      </c>
      <c r="I4" s="84">
        <f t="shared" ref="I4:I33" si="7">$E$42/365</f>
        <v>10.319026666666666</v>
      </c>
      <c r="J4" s="84">
        <f>IF(C4&lt;'Dane dla CWU'!$Z$67,0,IF(H4&gt;1,I4,H4*I4))</f>
        <v>0</v>
      </c>
      <c r="K4" s="84">
        <f t="shared" ref="K4:K33" si="8">I4-J4</f>
        <v>10.319026666666666</v>
      </c>
      <c r="M4">
        <v>2</v>
      </c>
      <c r="N4">
        <v>-16</v>
      </c>
      <c r="O4">
        <f>(N4*'Dane dla CO'!$AB$53+'Dane dla CO'!$AD$53)/(N4*'Dane dla CO'!$P$35+'Dane dla CO'!$Q$35)</f>
        <v>0.49133811230585428</v>
      </c>
      <c r="P4">
        <f>N4*'Dane dla CO'!$N$96+'Dane dla CO'!$N$97</f>
        <v>230.40000000000003</v>
      </c>
      <c r="Q4">
        <f>IF(N4&lt;'Dane dla CO'!$Z$67,0,IF(O4&gt;1,P4,O4*P4))</f>
        <v>0</v>
      </c>
      <c r="R4">
        <f t="shared" ref="R4:R31" si="9">P4-Q4</f>
        <v>230.40000000000003</v>
      </c>
      <c r="S4" s="84">
        <f>(N4*'Dane dla CWU'!$AB$53+'Dane dla CWU'!$AD$53)/(N4*'Dane dla CO'!$P$35+'Dane dla CO'!$Q$35)</f>
        <v>0.26135005973715653</v>
      </c>
      <c r="T4" s="84">
        <f t="shared" ref="T4:T31" si="10">$E$42/365</f>
        <v>10.319026666666666</v>
      </c>
      <c r="U4" s="84">
        <f>IF(N4&lt;'Dane dla CWU'!$Z$67,0,IF(S4&gt;1,T4,S4*T4))</f>
        <v>0</v>
      </c>
      <c r="V4" s="84">
        <f t="shared" ref="V4:V31" si="11">T4-U4</f>
        <v>10.319026666666666</v>
      </c>
      <c r="X4">
        <v>2</v>
      </c>
      <c r="Y4">
        <v>7</v>
      </c>
      <c r="Z4">
        <f>(Y4*'Dane dla CO'!$AB$53+'Dane dla CO'!$AD$53)/(Y4*'Dane dla CO'!$P$35+'Dane dla CO'!$Q$35)</f>
        <v>2.2145061728395059</v>
      </c>
      <c r="AA4">
        <f>Y4*'Dane dla CO'!$N$96+'Dane dla CO'!$N$97</f>
        <v>64.800000000000011</v>
      </c>
      <c r="AB4">
        <f>IF(Y4&lt;'Dane dla CO'!$Z$67,0,IF(Z4&gt;1,AA4,Z4*AA4))</f>
        <v>64.800000000000011</v>
      </c>
      <c r="AC4">
        <f t="shared" ref="AC4:AC33" si="12">AA4-AB4</f>
        <v>0</v>
      </c>
      <c r="AD4" s="84">
        <f>(Y4*'Dane dla CWU'!$AB$53+'Dane dla CWU'!$AD$53)/(Y4*'Dane dla CO'!$P$35+'Dane dla CO'!$Q$35)</f>
        <v>2.3585390946502054</v>
      </c>
      <c r="AE4" s="84">
        <f t="shared" ref="AE4:AE33" si="13">$E$42/365</f>
        <v>10.319026666666666</v>
      </c>
      <c r="AF4" s="84">
        <f>IF(Y4&lt;'Dane dla CWU'!$Z$67,0,IF(AD4&gt;1,AE4,AD4*AE4))</f>
        <v>0</v>
      </c>
      <c r="AG4" s="84">
        <f t="shared" ref="AG4:AG33" si="14">AE4-AF4</f>
        <v>10.319026666666666</v>
      </c>
      <c r="AI4">
        <v>2</v>
      </c>
      <c r="AJ4">
        <v>7</v>
      </c>
      <c r="AK4">
        <f>(AJ4*'Dane dla CO'!$AB$53+'Dane dla CO'!$AD$53)/(AJ4*'Dane dla CO'!$P$35+'Dane dla CO'!$Q$35)</f>
        <v>2.2145061728395059</v>
      </c>
      <c r="AL4">
        <f>AJ4*'Dane dla CO'!$N$96+'Dane dla CO'!$N$97</f>
        <v>64.800000000000011</v>
      </c>
      <c r="AM4">
        <f>IF(AJ4&lt;'Dane dla CO'!$Z$67,0,IF(AK4&gt;1,AL4,AK4*AL4))</f>
        <v>64.800000000000011</v>
      </c>
      <c r="AN4">
        <f t="shared" ref="AN4:AN28" si="15">AL4-AM4</f>
        <v>0</v>
      </c>
      <c r="AO4" s="84">
        <f>(AJ4*'Dane dla CWU'!$AB$53+'Dane dla CWU'!$AD$53)/(AJ4*'Dane dla CO'!$P$35+'Dane dla CO'!$Q$35)</f>
        <v>2.3585390946502054</v>
      </c>
      <c r="AP4" s="84">
        <f t="shared" ref="AP4:AP32" si="16">$E$42/365</f>
        <v>10.319026666666666</v>
      </c>
      <c r="AQ4" s="84">
        <f>IF(AJ4&lt;'Dane dla CWU'!$Z$67,0,IF(AO4&gt;1,AP4,AO4*AP4))</f>
        <v>0</v>
      </c>
      <c r="AR4" s="84">
        <f t="shared" ref="AR4:AR32" si="17">AP4-AQ4</f>
        <v>10.319026666666666</v>
      </c>
      <c r="AT4">
        <v>2</v>
      </c>
      <c r="AU4">
        <v>21</v>
      </c>
      <c r="BA4">
        <v>2</v>
      </c>
      <c r="BB4">
        <v>13</v>
      </c>
      <c r="BH4">
        <v>2</v>
      </c>
      <c r="BI4">
        <v>25</v>
      </c>
      <c r="BO4">
        <v>2</v>
      </c>
      <c r="BP4">
        <v>23</v>
      </c>
      <c r="BV4">
        <v>2</v>
      </c>
      <c r="BW4">
        <v>17</v>
      </c>
      <c r="CB4" s="84"/>
      <c r="CC4" s="84">
        <f t="shared" ref="CC4:CC32" si="18">$E$42/365</f>
        <v>10.319026666666666</v>
      </c>
      <c r="CD4" s="84">
        <f t="shared" ref="CD4:CD14" si="19">CC4</f>
        <v>10.319026666666666</v>
      </c>
      <c r="CE4" s="84">
        <f t="shared" ref="CE4:CE32" si="20">CC4-CD4</f>
        <v>0</v>
      </c>
      <c r="CG4">
        <v>2</v>
      </c>
      <c r="CH4">
        <v>14</v>
      </c>
      <c r="CI4">
        <f>(CH4*'Dane dla CO'!$AB$53+'Dane dla CO'!$AD$53)/(CH4*'Dane dla CO'!$P$35+'Dane dla CO'!$Q$35)</f>
        <v>18.472222222222211</v>
      </c>
      <c r="CJ4">
        <f>CH4*'Dane dla CO'!$N$96+'Dane dla CO'!$N$97</f>
        <v>14.400000000000006</v>
      </c>
      <c r="CK4">
        <f>IF(CH4&lt;'Dane dla CO'!$Z$67,0,IF(CI4&gt;1,CJ4,CI4*CJ4))</f>
        <v>14.400000000000006</v>
      </c>
      <c r="CL4">
        <f t="shared" ref="CL4:CL33" si="21">CJ4-CK4</f>
        <v>0</v>
      </c>
      <c r="CM4" s="84">
        <f>(CH4*'Dane dla CWU'!$AB$53+'Dane dla CWU'!$AD$53)/(CH4*'Dane dla CO'!$P$35+'Dane dla CO'!$Q$35)</f>
        <v>22.145061728395049</v>
      </c>
      <c r="CN4" s="84">
        <f t="shared" si="0"/>
        <v>10.319026666666666</v>
      </c>
      <c r="CO4" s="84">
        <f>IF(CH4&lt;'Dane dla CWU'!$Z$67,0,IF(CM4&gt;1,CN4,CM4*CN4))</f>
        <v>10.319026666666666</v>
      </c>
      <c r="CP4" s="84">
        <f t="shared" si="1"/>
        <v>0</v>
      </c>
      <c r="CR4">
        <v>2</v>
      </c>
      <c r="CS4">
        <v>7</v>
      </c>
      <c r="CT4">
        <f>(CS4*'Dane dla CO'!$AB$53+'Dane dla CO'!$AD$53)/(CS4*'Dane dla CO'!$P$35+'Dane dla CO'!$Q$35)</f>
        <v>2.2145061728395059</v>
      </c>
      <c r="CU4">
        <f>CS4*'Dane dla CO'!$N$96+'Dane dla CO'!$N$97</f>
        <v>64.800000000000011</v>
      </c>
      <c r="CV4">
        <f>IF(CS4&lt;'Dane dla CO'!$Z$67,0,IF(CT4&gt;1,CU4,CT4*CU4))</f>
        <v>64.800000000000011</v>
      </c>
      <c r="CW4">
        <f t="shared" ref="CW4:CW32" si="22">CU4-CV4</f>
        <v>0</v>
      </c>
      <c r="CX4" s="84">
        <f>(CS4*'Dane dla CWU'!$AB$53+'Dane dla CWU'!$AD$53)/(CS4*'Dane dla CO'!$P$35+'Dane dla CO'!$Q$35)</f>
        <v>2.3585390946502054</v>
      </c>
      <c r="CY4" s="84">
        <f t="shared" si="2"/>
        <v>10.319026666666666</v>
      </c>
      <c r="CZ4" s="84">
        <f>IF(CS4&lt;'Dane dla CWU'!$Z$67,0,IF(CX4&gt;1,CY4,CX4*CY4))</f>
        <v>0</v>
      </c>
      <c r="DA4" s="84">
        <f t="shared" si="3"/>
        <v>10.319026666666666</v>
      </c>
      <c r="DC4">
        <v>2</v>
      </c>
      <c r="DD4">
        <v>-1</v>
      </c>
      <c r="DE4">
        <f>(DD4*'Dane dla CO'!$AB$53+'Dane dla CO'!$AD$53)/(DD4*'Dane dla CO'!$P$35+'Dane dla CO'!$Q$35)</f>
        <v>1.0532407407407407</v>
      </c>
      <c r="DF4">
        <f>DD4*'Dane dla CO'!$N$96+'Dane dla CO'!$N$97</f>
        <v>122.40000000000002</v>
      </c>
      <c r="DG4">
        <f>IF(DD4&lt;'Dane dla CO'!$Z$67,0,IF(DE4&gt;1,DF4,DE4*DF4))</f>
        <v>122.40000000000002</v>
      </c>
      <c r="DH4">
        <f t="shared" ref="DH4:DH33" si="23">DF4-DG4</f>
        <v>0</v>
      </c>
      <c r="DI4" s="84">
        <f>(DD4*'Dane dla CWU'!$AB$53+'Dane dla CWU'!$AD$53)/(DD4*'Dane dla CO'!$P$35+'Dane dla CO'!$Q$35)</f>
        <v>0.94521604938271586</v>
      </c>
      <c r="DJ4" s="84">
        <f t="shared" si="4"/>
        <v>10.319026666666666</v>
      </c>
      <c r="DK4" s="84">
        <f>IF(DD4&lt;'Dane dla CWU'!$Z$67,0,IF(DI4&gt;1,DJ4,DI4*DJ4))</f>
        <v>0</v>
      </c>
      <c r="DL4" s="84">
        <f t="shared" si="5"/>
        <v>10.319026666666666</v>
      </c>
      <c r="DM4" s="49">
        <v>-14</v>
      </c>
      <c r="DN4" s="124" t="s">
        <v>221</v>
      </c>
      <c r="DO4" s="125" t="s">
        <v>212</v>
      </c>
      <c r="DP4" s="125" t="s">
        <v>224</v>
      </c>
      <c r="DQ4" s="51">
        <v>-14</v>
      </c>
      <c r="DR4" s="94"/>
      <c r="DS4" s="94"/>
      <c r="DT4" s="85"/>
      <c r="DU4" s="86"/>
      <c r="DV4" s="92"/>
      <c r="DW4" s="92"/>
      <c r="DX4" s="92"/>
      <c r="DY4" s="86"/>
      <c r="DZ4" s="86"/>
      <c r="EA4" s="86"/>
      <c r="EB4" s="92"/>
      <c r="EC4" s="92"/>
      <c r="ED4" s="92"/>
      <c r="EE4" s="96"/>
      <c r="EF4" s="96"/>
      <c r="EG4" s="96"/>
      <c r="EI4" s="94"/>
      <c r="EJ4" s="94"/>
      <c r="EK4" s="94"/>
      <c r="EL4" s="85"/>
      <c r="EM4" s="92"/>
      <c r="EN4" s="92"/>
      <c r="EO4" s="92"/>
      <c r="EP4" s="92"/>
      <c r="EQ4" s="92"/>
      <c r="ER4" s="92"/>
      <c r="EV4" s="166"/>
      <c r="EW4" s="67" t="s">
        <v>144</v>
      </c>
      <c r="EX4" s="59"/>
      <c r="EY4" s="21"/>
      <c r="EZ4" s="102">
        <f>ROUND('Dane dla CO'!Z67,0)</f>
        <v>-3</v>
      </c>
      <c r="FA4" s="84">
        <f>FB58</f>
        <v>3.3582379469321877</v>
      </c>
      <c r="FB4" s="84">
        <f>IF(Dobór!$M$18="Ogrzewanie podłogowe 35/28",FA4,FA4/1.05)</f>
        <v>3.1983218542211311</v>
      </c>
      <c r="FC4">
        <f>DT42-FF4</f>
        <v>193</v>
      </c>
      <c r="FD4">
        <f>IF(EZ4&gt;EZ3,(Dobór!P27*2000)*FC4/(FC4+FF4),(Dobór!P27*2000)*FC4/(FC4+FF4)-FB47)</f>
        <v>18489.498982383047</v>
      </c>
      <c r="FE4">
        <f>FD4/FB4*'Dane dla CO'!C56</f>
        <v>3526.4100654436074</v>
      </c>
      <c r="FF4">
        <f>FF58</f>
        <v>32</v>
      </c>
      <c r="FG4">
        <f>IF(EZ4&gt;EZ3,Dobór!P27*2000-FD4,Dobór!P27*2000-FD4+FB47)</f>
        <v>3149.0020352339043</v>
      </c>
      <c r="FH4">
        <f>IF(FJ4&lt;400,FG4*'Dane dla CO'!G54,FG4*'Dane dla CO'!G55)</f>
        <v>881.7205698654933</v>
      </c>
      <c r="FI4" s="103">
        <f>FH4+FE4</f>
        <v>4408.1306353091004</v>
      </c>
      <c r="FJ4">
        <f>FG4/'Dane dla CO'!H40</f>
        <v>324.30504997259567</v>
      </c>
    </row>
    <row r="5" spans="1:166">
      <c r="A5" s="162"/>
      <c r="B5">
        <v>3</v>
      </c>
      <c r="C5">
        <v>6</v>
      </c>
      <c r="D5" s="84">
        <f>(C5*'Dane dla CO'!$AB$53+'Dane dla CO'!$AD$53)/(C5*'Dane dla CO'!$P$35+'Dane dla CO'!$Q$35)</f>
        <v>1.9564471879286691</v>
      </c>
      <c r="E5" s="84">
        <f>C5*'Dane dla CO'!$N$96+'Dane dla CO'!$N$97</f>
        <v>72.000000000000014</v>
      </c>
      <c r="F5" s="84">
        <f>IF(C5&lt;'Dane dla CO'!$Z$67,0,IF(D5&gt;1,E5,D5*E5))</f>
        <v>72.000000000000014</v>
      </c>
      <c r="G5" s="84">
        <f t="shared" si="6"/>
        <v>0</v>
      </c>
      <c r="H5" s="84">
        <f>(C5*'Dane dla CWU'!$AB$53+'Dane dla CWU'!$AD$53)/(C5*'Dane dla CO'!$P$35+'Dane dla CO'!$Q$35)</f>
        <v>2.0444673068129853</v>
      </c>
      <c r="I5" s="84">
        <f t="shared" si="7"/>
        <v>10.319026666666666</v>
      </c>
      <c r="J5" s="84">
        <f>IF(C5&lt;'Dane dla CWU'!$Z$67,0,IF(H5&gt;1,I5,H5*I5))</f>
        <v>0</v>
      </c>
      <c r="K5" s="84">
        <f t="shared" si="8"/>
        <v>10.319026666666666</v>
      </c>
      <c r="M5">
        <v>3</v>
      </c>
      <c r="N5">
        <v>-18</v>
      </c>
      <c r="O5">
        <f>(N5*'Dane dla CO'!$AB$53+'Dane dla CO'!$AD$53)/(N5*'Dane dla CO'!$P$35+'Dane dla CO'!$Q$35)</f>
        <v>0.45501309390198275</v>
      </c>
      <c r="P5">
        <f>N5*'Dane dla CO'!$N$96+'Dane dla CO'!$N$97</f>
        <v>244.80000000000004</v>
      </c>
      <c r="Q5">
        <f>IF(N5&lt;'Dane dla CO'!$Z$67,0,IF(O5&gt;1,P5,O5*P5))</f>
        <v>0</v>
      </c>
      <c r="R5">
        <f t="shared" si="9"/>
        <v>244.80000000000004</v>
      </c>
      <c r="S5" s="84">
        <f>(N5*'Dane dla CWU'!$AB$53+'Dane dla CWU'!$AD$53)/(N5*'Dane dla CO'!$P$35+'Dane dla CO'!$Q$35)</f>
        <v>0.21714054121461526</v>
      </c>
      <c r="T5" s="84">
        <f t="shared" si="10"/>
        <v>10.319026666666666</v>
      </c>
      <c r="U5" s="84">
        <f>IF(N5&lt;'Dane dla CWU'!$Z$67,0,IF(S5&gt;1,T5,S5*T5))</f>
        <v>0</v>
      </c>
      <c r="V5" s="84">
        <f t="shared" si="11"/>
        <v>10.319026666666666</v>
      </c>
      <c r="X5">
        <v>3</v>
      </c>
      <c r="Y5">
        <v>2</v>
      </c>
      <c r="Z5">
        <f>(Y5*'Dane dla CO'!$AB$53+'Dane dla CO'!$AD$53)/(Y5*'Dane dla CO'!$P$35+'Dane dla CO'!$Q$35)</f>
        <v>1.321225071225071</v>
      </c>
      <c r="AA5">
        <f>Y5*'Dane dla CO'!$N$96+'Dane dla CO'!$N$97</f>
        <v>100.80000000000001</v>
      </c>
      <c r="AB5">
        <f>IF(Y5&lt;'Dane dla CO'!$Z$67,0,IF(Z5&gt;1,AA5,Z5*AA5))</f>
        <v>100.80000000000001</v>
      </c>
      <c r="AC5">
        <f t="shared" si="12"/>
        <v>0</v>
      </c>
      <c r="AD5" s="84">
        <f>(Y5*'Dane dla CWU'!$AB$53+'Dane dla CWU'!$AD$53)/(Y5*'Dane dla CO'!$P$35+'Dane dla CO'!$Q$35)</f>
        <v>1.2713675213675213</v>
      </c>
      <c r="AE5" s="84">
        <f t="shared" si="13"/>
        <v>10.319026666666666</v>
      </c>
      <c r="AF5" s="84">
        <f>IF(Y5&lt;'Dane dla CWU'!$Z$67,0,IF(AD5&gt;1,AE5,AD5*AE5))</f>
        <v>0</v>
      </c>
      <c r="AG5" s="84">
        <f t="shared" si="14"/>
        <v>10.319026666666666</v>
      </c>
      <c r="AI5">
        <v>3</v>
      </c>
      <c r="AJ5">
        <v>8</v>
      </c>
      <c r="AK5">
        <f>(AJ5*'Dane dla CO'!$AB$53+'Dane dla CO'!$AD$53)/(AJ5*'Dane dla CO'!$P$35+'Dane dla CO'!$Q$35)</f>
        <v>2.5462962962962963</v>
      </c>
      <c r="AL5">
        <f>AJ5*'Dane dla CO'!$N$96+'Dane dla CO'!$N$97</f>
        <v>57.600000000000009</v>
      </c>
      <c r="AM5">
        <f>IF(AJ5&lt;'Dane dla CO'!$Z$67,0,IF(AK5&gt;1,AL5,AK5*AL5))</f>
        <v>57.600000000000009</v>
      </c>
      <c r="AN5">
        <f t="shared" si="15"/>
        <v>0</v>
      </c>
      <c r="AO5" s="84">
        <f>(AJ5*'Dane dla CWU'!$AB$53+'Dane dla CWU'!$AD$53)/(AJ5*'Dane dla CO'!$P$35+'Dane dla CO'!$Q$35)</f>
        <v>2.7623456790123457</v>
      </c>
      <c r="AP5" s="84">
        <f t="shared" si="16"/>
        <v>10.319026666666666</v>
      </c>
      <c r="AQ5" s="84">
        <f>IF(AJ5&lt;'Dane dla CWU'!$Z$67,0,IF(AO5&gt;1,AP5,AO5*AP5))</f>
        <v>10.319026666666666</v>
      </c>
      <c r="AR5" s="84">
        <f t="shared" si="17"/>
        <v>0</v>
      </c>
      <c r="AT5">
        <v>3</v>
      </c>
      <c r="AU5">
        <v>19</v>
      </c>
      <c r="BA5">
        <v>3</v>
      </c>
      <c r="BB5">
        <v>16</v>
      </c>
      <c r="BH5">
        <v>3</v>
      </c>
      <c r="BI5">
        <v>25</v>
      </c>
      <c r="BO5">
        <v>3</v>
      </c>
      <c r="BP5">
        <v>22</v>
      </c>
      <c r="BV5">
        <v>3</v>
      </c>
      <c r="BW5">
        <v>15</v>
      </c>
      <c r="CB5" s="84"/>
      <c r="CC5" s="84">
        <f t="shared" si="18"/>
        <v>10.319026666666666</v>
      </c>
      <c r="CD5" s="84">
        <f t="shared" si="19"/>
        <v>10.319026666666666</v>
      </c>
      <c r="CE5" s="84">
        <f t="shared" si="20"/>
        <v>0</v>
      </c>
      <c r="CG5">
        <v>3</v>
      </c>
      <c r="CH5">
        <v>13</v>
      </c>
      <c r="CI5">
        <f>(CH5*'Dane dla CO'!$AB$53+'Dane dla CO'!$AD$53)/(CH5*'Dane dla CO'!$P$35+'Dane dla CO'!$Q$35)</f>
        <v>9.1820987654320927</v>
      </c>
      <c r="CJ5">
        <f>CH5*'Dane dla CO'!$N$96+'Dane dla CO'!$N$97</f>
        <v>21.600000000000009</v>
      </c>
      <c r="CK5">
        <f>IF(CH5&lt;'Dane dla CO'!$Z$67,0,IF(CI5&gt;1,CJ5,CI5*CJ5))</f>
        <v>21.600000000000009</v>
      </c>
      <c r="CL5">
        <f t="shared" si="21"/>
        <v>0</v>
      </c>
      <c r="CM5" s="84">
        <f>(CH5*'Dane dla CWU'!$AB$53+'Dane dla CWU'!$AD$53)/(CH5*'Dane dla CO'!$P$35+'Dane dla CO'!$Q$35)</f>
        <v>10.838477366255137</v>
      </c>
      <c r="CN5" s="84">
        <f t="shared" si="0"/>
        <v>10.319026666666666</v>
      </c>
      <c r="CO5" s="84">
        <f>IF(CH5&lt;'Dane dla CWU'!$Z$67,0,IF(CM5&gt;1,CN5,CM5*CN5))</f>
        <v>10.319026666666666</v>
      </c>
      <c r="CP5" s="84">
        <f t="shared" si="1"/>
        <v>0</v>
      </c>
      <c r="CR5">
        <v>3</v>
      </c>
      <c r="CS5">
        <v>6</v>
      </c>
      <c r="CT5">
        <f>(CS5*'Dane dla CO'!$AB$53+'Dane dla CO'!$AD$53)/(CS5*'Dane dla CO'!$P$35+'Dane dla CO'!$Q$35)</f>
        <v>1.9564471879286691</v>
      </c>
      <c r="CU5">
        <f>CS5*'Dane dla CO'!$N$96+'Dane dla CO'!$N$97</f>
        <v>72.000000000000014</v>
      </c>
      <c r="CV5">
        <f>IF(CS5&lt;'Dane dla CO'!$Z$67,0,IF(CT5&gt;1,CU5,CT5*CU5))</f>
        <v>72.000000000000014</v>
      </c>
      <c r="CW5">
        <f t="shared" si="22"/>
        <v>0</v>
      </c>
      <c r="CX5" s="84">
        <f>(CS5*'Dane dla CWU'!$AB$53+'Dane dla CWU'!$AD$53)/(CS5*'Dane dla CO'!$P$35+'Dane dla CO'!$Q$35)</f>
        <v>2.0444673068129853</v>
      </c>
      <c r="CY5" s="84">
        <f t="shared" si="2"/>
        <v>10.319026666666666</v>
      </c>
      <c r="CZ5" s="84">
        <f>IF(CS5&lt;'Dane dla CWU'!$Z$67,0,IF(CX5&gt;1,CY5,CX5*CY5))</f>
        <v>0</v>
      </c>
      <c r="DA5" s="84">
        <f t="shared" si="3"/>
        <v>10.319026666666666</v>
      </c>
      <c r="DC5">
        <v>3</v>
      </c>
      <c r="DD5">
        <v>0</v>
      </c>
      <c r="DE5">
        <f>(DD5*'Dane dla CO'!$AB$53+'Dane dla CO'!$AD$53)/(DD5*'Dane dla CO'!$P$35+'Dane dla CO'!$Q$35)</f>
        <v>1.1306584362139918</v>
      </c>
      <c r="DF5">
        <f>DD5*'Dane dla CO'!$N$96+'Dane dla CO'!$N$97</f>
        <v>115.20000000000002</v>
      </c>
      <c r="DG5">
        <f>IF(DD5&lt;'Dane dla CO'!$Z$67,0,IF(DE5&gt;1,DF5,DE5*DF5))</f>
        <v>115.20000000000002</v>
      </c>
      <c r="DH5">
        <f t="shared" si="23"/>
        <v>0</v>
      </c>
      <c r="DI5" s="84">
        <f>(DD5*'Dane dla CWU'!$AB$53+'Dane dla CWU'!$AD$53)/(DD5*'Dane dla CO'!$P$35+'Dane dla CO'!$Q$35)</f>
        <v>1.0394375857338818</v>
      </c>
      <c r="DJ5" s="84">
        <f t="shared" si="4"/>
        <v>10.319026666666666</v>
      </c>
      <c r="DK5" s="84">
        <f>IF(DD5&lt;'Dane dla CWU'!$Z$67,0,IF(DI5&gt;1,DJ5,DI5*DJ5))</f>
        <v>0</v>
      </c>
      <c r="DL5" s="84">
        <f t="shared" si="5"/>
        <v>10.319026666666666</v>
      </c>
      <c r="DM5" s="49">
        <v>-14</v>
      </c>
      <c r="DN5" s="94">
        <f>DO5*'Dane dla CO'!$N$80</f>
        <v>1234.2857142857144</v>
      </c>
      <c r="DO5" s="94">
        <f>(15-DS5)/35*'Dane dla CO'!$N$75</f>
        <v>10.8</v>
      </c>
      <c r="DP5" s="94">
        <f>IF(DR5&gt;0,DN5/DR5,DN5)</f>
        <v>1234.2857142857144</v>
      </c>
      <c r="DQ5" s="51">
        <v>-14</v>
      </c>
      <c r="DR5" s="52">
        <v>0</v>
      </c>
      <c r="DS5" s="52">
        <v>-20</v>
      </c>
      <c r="DT5" s="89">
        <f>Wykresy!Y3</f>
        <v>55</v>
      </c>
      <c r="DU5" s="90">
        <f>Wykresy!AE3</f>
        <v>35</v>
      </c>
      <c r="DV5" s="92"/>
      <c r="DW5" s="92"/>
      <c r="DX5" s="92"/>
      <c r="DY5" s="86"/>
      <c r="DZ5" s="86"/>
      <c r="EA5" s="86"/>
      <c r="EB5" s="85"/>
      <c r="EC5" s="85"/>
      <c r="ED5" s="85"/>
      <c r="EE5" s="86"/>
      <c r="EF5" s="86"/>
      <c r="EG5" s="86"/>
      <c r="EI5" s="52">
        <v>0</v>
      </c>
      <c r="EJ5" s="52">
        <v>0</v>
      </c>
      <c r="EK5" s="52">
        <v>-20</v>
      </c>
      <c r="EL5" s="89">
        <v>55</v>
      </c>
      <c r="EM5" s="92"/>
      <c r="EN5" s="92"/>
      <c r="EO5" s="92"/>
      <c r="EP5" s="85"/>
      <c r="EQ5" s="85"/>
      <c r="ER5" s="85"/>
      <c r="EV5" s="82"/>
      <c r="EW5" s="1"/>
      <c r="EX5" s="1"/>
      <c r="EY5" s="1"/>
      <c r="EZ5" s="1"/>
    </row>
    <row r="6" spans="1:166" ht="14.1">
      <c r="A6" s="162"/>
      <c r="B6">
        <v>4</v>
      </c>
      <c r="C6">
        <v>6</v>
      </c>
      <c r="D6" s="84">
        <f>(C6*'Dane dla CO'!$AB$53+'Dane dla CO'!$AD$53)/(C6*'Dane dla CO'!$P$35+'Dane dla CO'!$Q$35)</f>
        <v>1.9564471879286691</v>
      </c>
      <c r="E6" s="84">
        <f>C6*'Dane dla CO'!$N$96+'Dane dla CO'!$N$97</f>
        <v>72.000000000000014</v>
      </c>
      <c r="F6" s="84">
        <f>IF(C6&lt;'Dane dla CO'!$Z$67,0,IF(D6&gt;1,E6,D6*E6))</f>
        <v>72.000000000000014</v>
      </c>
      <c r="G6" s="84">
        <f t="shared" si="6"/>
        <v>0</v>
      </c>
      <c r="H6" s="84">
        <f>(C6*'Dane dla CWU'!$AB$53+'Dane dla CWU'!$AD$53)/(C6*'Dane dla CO'!$P$35+'Dane dla CO'!$Q$35)</f>
        <v>2.0444673068129853</v>
      </c>
      <c r="I6" s="84">
        <f t="shared" si="7"/>
        <v>10.319026666666666</v>
      </c>
      <c r="J6" s="84">
        <f>IF(C6&lt;'Dane dla CWU'!$Z$67,0,IF(H6&gt;1,I6,H6*I6))</f>
        <v>0</v>
      </c>
      <c r="K6" s="84">
        <f t="shared" si="8"/>
        <v>10.319026666666666</v>
      </c>
      <c r="M6">
        <v>4</v>
      </c>
      <c r="N6">
        <v>-14</v>
      </c>
      <c r="O6">
        <f>(N6*'Dane dla CO'!$AB$53+'Dane dla CO'!$AD$53)/(N6*'Dane dla CO'!$P$35+'Dane dla CO'!$Q$35)</f>
        <v>0.53267347807577692</v>
      </c>
      <c r="P6">
        <f>N6*'Dane dla CO'!$N$96+'Dane dla CO'!$N$97</f>
        <v>216.00000000000003</v>
      </c>
      <c r="Q6">
        <f>IF(N6&lt;'Dane dla CO'!$Z$67,0,IF(O6&gt;1,P6,O6*P6))</f>
        <v>0</v>
      </c>
      <c r="R6">
        <f t="shared" si="9"/>
        <v>216.00000000000003</v>
      </c>
      <c r="S6" s="84">
        <f>(N6*'Dane dla CWU'!$AB$53+'Dane dla CWU'!$AD$53)/(N6*'Dane dla CO'!$P$35+'Dane dla CO'!$Q$35)</f>
        <v>0.31165744288349645</v>
      </c>
      <c r="T6" s="84">
        <f t="shared" si="10"/>
        <v>10.319026666666666</v>
      </c>
      <c r="U6" s="84">
        <f>IF(N6&lt;'Dane dla CWU'!$Z$67,0,IF(S6&gt;1,T6,S6*T6))</f>
        <v>0</v>
      </c>
      <c r="V6" s="84">
        <f t="shared" si="11"/>
        <v>10.319026666666666</v>
      </c>
      <c r="X6">
        <v>4</v>
      </c>
      <c r="Y6">
        <v>0</v>
      </c>
      <c r="Z6">
        <f>(Y6*'Dane dla CO'!$AB$53+'Dane dla CO'!$AD$53)/(Y6*'Dane dla CO'!$P$35+'Dane dla CO'!$Q$35)</f>
        <v>1.1306584362139918</v>
      </c>
      <c r="AA6">
        <f>Y6*'Dane dla CO'!$N$96+'Dane dla CO'!$N$97</f>
        <v>115.20000000000002</v>
      </c>
      <c r="AB6">
        <f>IF(Y6&lt;'Dane dla CO'!$Z$67,0,IF(Z6&gt;1,AA6,Z6*AA6))</f>
        <v>115.20000000000002</v>
      </c>
      <c r="AC6">
        <f t="shared" si="12"/>
        <v>0</v>
      </c>
      <c r="AD6" s="84">
        <f>(Y6*'Dane dla CWU'!$AB$53+'Dane dla CWU'!$AD$53)/(Y6*'Dane dla CO'!$P$35+'Dane dla CO'!$Q$35)</f>
        <v>1.0394375857338818</v>
      </c>
      <c r="AE6" s="84">
        <f t="shared" si="13"/>
        <v>10.319026666666666</v>
      </c>
      <c r="AF6" s="84">
        <f>IF(Y6&lt;'Dane dla CWU'!$Z$67,0,IF(AD6&gt;1,AE6,AD6*AE6))</f>
        <v>0</v>
      </c>
      <c r="AG6" s="84">
        <f t="shared" si="14"/>
        <v>10.319026666666666</v>
      </c>
      <c r="AI6">
        <v>4</v>
      </c>
      <c r="AJ6">
        <v>12</v>
      </c>
      <c r="AK6">
        <f>(AJ6*'Dane dla CO'!$AB$53+'Dane dla CO'!$AD$53)/(AJ6*'Dane dla CO'!$P$35+'Dane dla CO'!$Q$35)</f>
        <v>6.0853909465020575</v>
      </c>
      <c r="AL6">
        <f>AJ6*'Dane dla CO'!$N$96+'Dane dla CO'!$N$97</f>
        <v>28.800000000000011</v>
      </c>
      <c r="AM6">
        <f>IF(AJ6&lt;'Dane dla CO'!$Z$67,0,IF(AK6&gt;1,AL6,AK6*AL6))</f>
        <v>28.800000000000011</v>
      </c>
      <c r="AN6">
        <f t="shared" si="15"/>
        <v>0</v>
      </c>
      <c r="AO6" s="84">
        <f>(AJ6*'Dane dla CWU'!$AB$53+'Dane dla CWU'!$AD$53)/(AJ6*'Dane dla CO'!$P$35+'Dane dla CO'!$Q$35)</f>
        <v>7.0696159122085049</v>
      </c>
      <c r="AP6" s="84">
        <f t="shared" si="16"/>
        <v>10.319026666666666</v>
      </c>
      <c r="AQ6" s="84">
        <f>IF(AJ6&lt;'Dane dla CWU'!$Z$67,0,IF(AO6&gt;1,AP6,AO6*AP6))</f>
        <v>10.319026666666666</v>
      </c>
      <c r="AR6" s="84">
        <f t="shared" si="17"/>
        <v>0</v>
      </c>
      <c r="AT6">
        <v>4</v>
      </c>
      <c r="AU6">
        <v>16</v>
      </c>
      <c r="BA6">
        <v>4</v>
      </c>
      <c r="BB6">
        <v>17</v>
      </c>
      <c r="BH6">
        <v>4</v>
      </c>
      <c r="BI6">
        <v>22</v>
      </c>
      <c r="BO6">
        <v>4</v>
      </c>
      <c r="BP6">
        <v>22</v>
      </c>
      <c r="BV6">
        <v>4</v>
      </c>
      <c r="BW6">
        <v>19</v>
      </c>
      <c r="CB6" s="84"/>
      <c r="CC6" s="84">
        <f t="shared" si="18"/>
        <v>10.319026666666666</v>
      </c>
      <c r="CD6" s="84">
        <f t="shared" si="19"/>
        <v>10.319026666666666</v>
      </c>
      <c r="CE6" s="84">
        <f t="shared" si="20"/>
        <v>0</v>
      </c>
      <c r="CG6">
        <v>4</v>
      </c>
      <c r="CH6">
        <v>13</v>
      </c>
      <c r="CI6">
        <f>(CH6*'Dane dla CO'!$AB$53+'Dane dla CO'!$AD$53)/(CH6*'Dane dla CO'!$P$35+'Dane dla CO'!$Q$35)</f>
        <v>9.1820987654320927</v>
      </c>
      <c r="CJ6">
        <f>CH6*'Dane dla CO'!$N$96+'Dane dla CO'!$N$97</f>
        <v>21.600000000000009</v>
      </c>
      <c r="CK6">
        <f>IF(CH6&lt;'Dane dla CO'!$Z$67,0,IF(CI6&gt;1,CJ6,CI6*CJ6))</f>
        <v>21.600000000000009</v>
      </c>
      <c r="CL6">
        <f t="shared" si="21"/>
        <v>0</v>
      </c>
      <c r="CM6" s="84">
        <f>(CH6*'Dane dla CWU'!$AB$53+'Dane dla CWU'!$AD$53)/(CH6*'Dane dla CO'!$P$35+'Dane dla CO'!$Q$35)</f>
        <v>10.838477366255137</v>
      </c>
      <c r="CN6" s="84">
        <f t="shared" si="0"/>
        <v>10.319026666666666</v>
      </c>
      <c r="CO6" s="84">
        <f>IF(CH6&lt;'Dane dla CWU'!$Z$67,0,IF(CM6&gt;1,CN6,CM6*CN6))</f>
        <v>10.319026666666666</v>
      </c>
      <c r="CP6" s="84">
        <f t="shared" si="1"/>
        <v>0</v>
      </c>
      <c r="CR6">
        <v>4</v>
      </c>
      <c r="CS6">
        <v>7</v>
      </c>
      <c r="CT6">
        <f>(CS6*'Dane dla CO'!$AB$53+'Dane dla CO'!$AD$53)/(CS6*'Dane dla CO'!$P$35+'Dane dla CO'!$Q$35)</f>
        <v>2.2145061728395059</v>
      </c>
      <c r="CU6">
        <f>CS6*'Dane dla CO'!$N$96+'Dane dla CO'!$N$97</f>
        <v>64.800000000000011</v>
      </c>
      <c r="CV6">
        <f>IF(CS6&lt;'Dane dla CO'!$Z$67,0,IF(CT6&gt;1,CU6,CT6*CU6))</f>
        <v>64.800000000000011</v>
      </c>
      <c r="CW6">
        <f t="shared" si="22"/>
        <v>0</v>
      </c>
      <c r="CX6" s="84">
        <f>(CS6*'Dane dla CWU'!$AB$53+'Dane dla CWU'!$AD$53)/(CS6*'Dane dla CO'!$P$35+'Dane dla CO'!$Q$35)</f>
        <v>2.3585390946502054</v>
      </c>
      <c r="CY6" s="84">
        <f t="shared" si="2"/>
        <v>10.319026666666666</v>
      </c>
      <c r="CZ6" s="84">
        <f>IF(CS6&lt;'Dane dla CWU'!$Z$67,0,IF(CX6&gt;1,CY6,CX6*CY6))</f>
        <v>0</v>
      </c>
      <c r="DA6" s="84">
        <f t="shared" si="3"/>
        <v>10.319026666666666</v>
      </c>
      <c r="DC6">
        <v>4</v>
      </c>
      <c r="DD6">
        <v>0</v>
      </c>
      <c r="DE6">
        <f>(DD6*'Dane dla CO'!$AB$53+'Dane dla CO'!$AD$53)/(DD6*'Dane dla CO'!$P$35+'Dane dla CO'!$Q$35)</f>
        <v>1.1306584362139918</v>
      </c>
      <c r="DF6">
        <f>DD6*'Dane dla CO'!$N$96+'Dane dla CO'!$N$97</f>
        <v>115.20000000000002</v>
      </c>
      <c r="DG6">
        <f>IF(DD6&lt;'Dane dla CO'!$Z$67,0,IF(DE6&gt;1,DF6,DE6*DF6))</f>
        <v>115.20000000000002</v>
      </c>
      <c r="DH6">
        <f t="shared" si="23"/>
        <v>0</v>
      </c>
      <c r="DI6" s="84">
        <f>(DD6*'Dane dla CWU'!$AB$53+'Dane dla CWU'!$AD$53)/(DD6*'Dane dla CO'!$P$35+'Dane dla CO'!$Q$35)</f>
        <v>1.0394375857338818</v>
      </c>
      <c r="DJ6" s="84">
        <f t="shared" si="4"/>
        <v>10.319026666666666</v>
      </c>
      <c r="DK6" s="84">
        <f>IF(DD6&lt;'Dane dla CWU'!$Z$67,0,IF(DI6&gt;1,DJ6,DI6*DJ6))</f>
        <v>0</v>
      </c>
      <c r="DL6" s="84">
        <f t="shared" si="5"/>
        <v>10.319026666666666</v>
      </c>
      <c r="DM6" s="49">
        <v>-14</v>
      </c>
      <c r="DN6" s="94">
        <f>DO6*'Dane dla CO'!$N$80</f>
        <v>1199.0204081632655</v>
      </c>
      <c r="DO6" s="94">
        <f>(15-DS6)/35*'Dane dla CO'!$N$75</f>
        <v>10.491428571428573</v>
      </c>
      <c r="DP6" s="94">
        <f t="shared" ref="DP6:DP40" si="24">IF(DR6&gt;0,DN6/DR6,DN6)</f>
        <v>1199.0204081632655</v>
      </c>
      <c r="DQ6" s="51">
        <v>-14</v>
      </c>
      <c r="DR6" s="52">
        <v>0</v>
      </c>
      <c r="DS6" s="52">
        <v>-19</v>
      </c>
      <c r="DT6" s="89">
        <f>Wykresy!Y4</f>
        <v>54.4</v>
      </c>
      <c r="DU6" s="90">
        <f>Wykresy!AE4</f>
        <v>34.633333333333333</v>
      </c>
      <c r="DV6" s="92"/>
      <c r="DW6" s="92"/>
      <c r="DX6" s="92"/>
      <c r="DY6" s="86"/>
      <c r="DZ6" s="86"/>
      <c r="EA6" s="86"/>
      <c r="EB6" s="85"/>
      <c r="EC6" s="85"/>
      <c r="ED6" s="85"/>
      <c r="EE6" s="86"/>
      <c r="EF6" s="86"/>
      <c r="EG6" s="86"/>
      <c r="EI6" s="52">
        <v>0</v>
      </c>
      <c r="EJ6" s="52">
        <f>EJ5+EI6</f>
        <v>0</v>
      </c>
      <c r="EK6" s="52">
        <v>-19</v>
      </c>
      <c r="EL6" s="89">
        <v>55</v>
      </c>
      <c r="EM6" s="92"/>
      <c r="EN6" s="92"/>
      <c r="EO6" s="92"/>
      <c r="EP6" s="85"/>
      <c r="EQ6" s="85"/>
      <c r="ER6" s="85"/>
      <c r="EV6" s="166" t="s">
        <v>184</v>
      </c>
      <c r="EW6" s="66" t="s">
        <v>143</v>
      </c>
      <c r="EX6" s="1"/>
      <c r="EY6" s="1"/>
      <c r="EZ6" s="102">
        <f>ROUND('Dane dla CWU'!Z54,0)</f>
        <v>0</v>
      </c>
      <c r="FA6" s="84">
        <f>IF(EZ6=EK9,EO9,IF(EZ6=EK10,EO10,IF(EZ6=EK11,EO11,IF(EZ6=EK12,EO12,IF(EZ6=EK13,EO13,IF(EZ6=EK14,EO14,IF(EZ6=EK15,EO15,IF(EZ6=EK16,EO16,IF(EZ6=EK17,EO17,IF(EZ6=EK18,EO18,IF(EZ6=EK19,EO19,IF(EZ6=EK20,EO20,IF(EZ6=EK21,EO21,IF(EZ6=EK22,EO22,IF(EZ6=EK23,EO23,IF(EZ6=EK24,EO24,IF(EZ6=EK25,EO25,IF(EZ6=EK26,EO26,IF(EZ6=EK27,EO27,IF(EZ6=EK28,EO28,IF(EZ6=EK29,EO29,IF(EZ6=EK30,EO30,IF(EZ6=EK31,EO31,IF(EZ6=EK32,EO32,IF(EZ6=EK33,EO33,IF(EZ6=EK34,EO34,IF(EZ6=EK35,EO35,IF(EZ6=EK36,EO36,IF(EZ6=EK37,EO37,IF(EZ6=EK38,EO38,IF(EZ6=EK39,EO39,IF(EZ6=EK40,EO40,IF(EZ6=EK41,EO41,IF(EZ6=EK42,EO42,IF(EZ6=EK43,EO43,IF(EZ6=EK44,EO44,IF(EZ6=EK45,EO45,IF(EZ6=EK46,EO46,IF(EZ6=EK47,EO47,IF(EZ6=EK48,EO48,IF(EZ6=EK49,EO49,IF(EZ6=EK50,EO50,IF(EZ6=EK51,EO51,EO52)))))))))))))))))))))))))))))))))))))))))))</f>
        <v>1.8472696245733788</v>
      </c>
      <c r="FB6" s="84">
        <f>FA6</f>
        <v>1.8472696245733788</v>
      </c>
      <c r="FC6">
        <f>EL54-FF6</f>
        <v>305</v>
      </c>
      <c r="FD6">
        <f>('Dane dla CWU'!H43)*FC6/(FC6+FF6)</f>
        <v>3138.7039444444445</v>
      </c>
      <c r="FE6" s="103">
        <f>FD6/FB6*'Dane dla CWU'!C56</f>
        <v>1036.4536831234282</v>
      </c>
      <c r="FF6">
        <f>IF(EZ6=EK9,EJ9,IF(EZ6=EK10,EJ10,IF(EZ6=EK11,EJ11,IF(EZ6=EK12,EJ12,IF(EZ6=EK13,EJ13,IF(EZ6=EK14,EJ14,IF(EZ6=EK15,EJ15,IF(EZ6=EK16,EJ16,IF(EZ6=EK17,EJ17,IF(EZ6=EK18,EJ18,IF(EZ6=EK19,EJ19,IF(EZ6=EK20,EJ20,IF(EZ6=EK21,EJ21,IF(EZ6=EK22,EJ22,IF(EZ6=EK23,EJ23,IF(EZ6=EK24,EJ24,IF(EZ6=EK25,EJ25,IF(EZ6=EK26,EJ26,IF(EZ6=EK27,EJ27,IF(EZ6=EK28,EJ28,IF(EZ6=EK29,EJ29,IF(EZ6=EK30,EJ30,IF(EZ6=EK31,EJ31,IF(EZ6=EK32,EJ32,IF(EZ6=EK33,EJ33,IF(EZ6=EK34,EJ34,IF(EZ6=EK35,EJ35,IF(EZ6=EK36,EJ36,IF(EZ6=EK37,EJ37,IF(EZ6=EK38,EJ38,IF(EZ6=EK39,EJ39,IF(EZ6=EK40,EJ40,IF(EZ6=EK41,EJ41,IF(EZ6=EK42,EJ42,IF(EZ6=EK43,EJ43,IF(EZ6=EK44,EJ44,IF(EZ6=EK45,EJ45,IF(EZ6=EK46,EJ46,IF(EZ6=EK47,EJ47,IF(EZ6=EK48,EJ48,IF(EZ6=EK49,EJ49,IF(EZ6=EK50,EJ50,IF(EZ6=EK51,BSK1,EJ52)))))))))))))))))))))))))))))))))))))))))))</f>
        <v>61</v>
      </c>
      <c r="FG6">
        <f>'Dane dla CWU'!H43-FD6</f>
        <v>627.7407888888888</v>
      </c>
      <c r="FH6" s="103">
        <f>FG6*'Dane dla CWU'!G54</f>
        <v>175.76742088888889</v>
      </c>
      <c r="FI6" s="103">
        <f>FH6+FE6</f>
        <v>1212.221104012317</v>
      </c>
    </row>
    <row r="7" spans="1:166" ht="14.1">
      <c r="A7" s="162"/>
      <c r="B7">
        <v>5</v>
      </c>
      <c r="C7">
        <v>5</v>
      </c>
      <c r="D7" s="84">
        <f>(C7*'Dane dla CO'!$AB$53+'Dane dla CO'!$AD$53)/(C7*'Dane dla CO'!$P$35+'Dane dla CO'!$Q$35)</f>
        <v>1.75</v>
      </c>
      <c r="E7" s="84">
        <f>C7*'Dane dla CO'!$N$96+'Dane dla CO'!$N$97</f>
        <v>79.200000000000017</v>
      </c>
      <c r="F7" s="84">
        <f>IF(C7&lt;'Dane dla CO'!$Z$67,0,IF(D7&gt;1,E7,D7*E7))</f>
        <v>79.200000000000017</v>
      </c>
      <c r="G7" s="84">
        <f t="shared" si="6"/>
        <v>0</v>
      </c>
      <c r="H7" s="84">
        <f>(C7*'Dane dla CWU'!$AB$53+'Dane dla CWU'!$AD$53)/(C7*'Dane dla CO'!$P$35+'Dane dla CO'!$Q$35)</f>
        <v>1.7932098765432098</v>
      </c>
      <c r="I7" s="84">
        <f t="shared" si="7"/>
        <v>10.319026666666666</v>
      </c>
      <c r="J7" s="84">
        <f>IF(C7&lt;'Dane dla CWU'!$Z$67,0,IF(H7&gt;1,I7,H7*I7))</f>
        <v>0</v>
      </c>
      <c r="K7" s="84">
        <f t="shared" si="8"/>
        <v>10.319026666666666</v>
      </c>
      <c r="M7">
        <v>5</v>
      </c>
      <c r="N7">
        <v>-11</v>
      </c>
      <c r="O7">
        <f>(N7*'Dane dla CO'!$AB$53+'Dane dla CO'!$AD$53)/(N7*'Dane dla CO'!$P$35+'Dane dla CO'!$Q$35)</f>
        <v>0.60660018993352327</v>
      </c>
      <c r="P7">
        <f>N7*'Dane dla CO'!$N$96+'Dane dla CO'!$N$97</f>
        <v>194.40000000000003</v>
      </c>
      <c r="Q7">
        <f>IF(N7&lt;'Dane dla CO'!$Z$67,0,IF(O7&gt;1,P7,O7*P7))</f>
        <v>0</v>
      </c>
      <c r="R7">
        <f t="shared" si="9"/>
        <v>194.40000000000003</v>
      </c>
      <c r="S7" s="84">
        <f>(N7*'Dane dla CWU'!$AB$53+'Dane dla CWU'!$AD$53)/(N7*'Dane dla CO'!$P$35+'Dane dla CO'!$Q$35)</f>
        <v>0.40163026274137387</v>
      </c>
      <c r="T7" s="84">
        <f t="shared" si="10"/>
        <v>10.319026666666666</v>
      </c>
      <c r="U7" s="84">
        <f>IF(N7&lt;'Dane dla CWU'!$Z$67,0,IF(S7&gt;1,T7,S7*T7))</f>
        <v>0</v>
      </c>
      <c r="V7" s="84">
        <f t="shared" si="11"/>
        <v>10.319026666666666</v>
      </c>
      <c r="X7">
        <v>5</v>
      </c>
      <c r="Y7">
        <v>-2</v>
      </c>
      <c r="Z7">
        <f>(Y7*'Dane dla CO'!$AB$53+'Dane dla CO'!$AD$53)/(Y7*'Dane dla CO'!$P$35+'Dane dla CO'!$Q$35)</f>
        <v>0.98493100944081324</v>
      </c>
      <c r="AA7">
        <f>Y7*'Dane dla CO'!$N$96+'Dane dla CO'!$N$97</f>
        <v>129.60000000000002</v>
      </c>
      <c r="AB7">
        <f>IF(Y7&lt;'Dane dla CO'!$Z$67,0,IF(Z7&gt;1,AA7,Z7*AA7))</f>
        <v>127.64705882352942</v>
      </c>
      <c r="AC7">
        <f t="shared" si="12"/>
        <v>1.9529411764706026</v>
      </c>
      <c r="AD7" s="84">
        <f>(Y7*'Dane dla CWU'!$AB$53+'Dane dla CWU'!$AD$53)/(Y7*'Dane dla CO'!$P$35+'Dane dla CO'!$Q$35)</f>
        <v>0.86207939966109892</v>
      </c>
      <c r="AE7" s="84">
        <f t="shared" si="13"/>
        <v>10.319026666666666</v>
      </c>
      <c r="AF7" s="84">
        <f>IF(Y7&lt;'Dane dla CWU'!$Z$67,0,IF(AD7&gt;1,AE7,AD7*AE7))</f>
        <v>0</v>
      </c>
      <c r="AG7" s="84">
        <f t="shared" si="14"/>
        <v>10.319026666666666</v>
      </c>
      <c r="AI7">
        <v>5</v>
      </c>
      <c r="AJ7">
        <v>7</v>
      </c>
      <c r="AK7">
        <f>(AJ7*'Dane dla CO'!$AB$53+'Dane dla CO'!$AD$53)/(AJ7*'Dane dla CO'!$P$35+'Dane dla CO'!$Q$35)</f>
        <v>2.2145061728395059</v>
      </c>
      <c r="AL7">
        <f>AJ7*'Dane dla CO'!$N$96+'Dane dla CO'!$N$97</f>
        <v>64.800000000000011</v>
      </c>
      <c r="AM7">
        <f>IF(AJ7&lt;'Dane dla CO'!$Z$67,0,IF(AK7&gt;1,AL7,AK7*AL7))</f>
        <v>64.800000000000011</v>
      </c>
      <c r="AN7">
        <f t="shared" si="15"/>
        <v>0</v>
      </c>
      <c r="AO7" s="84">
        <f>(AJ7*'Dane dla CWU'!$AB$53+'Dane dla CWU'!$AD$53)/(AJ7*'Dane dla CO'!$P$35+'Dane dla CO'!$Q$35)</f>
        <v>2.3585390946502054</v>
      </c>
      <c r="AP7" s="84">
        <f t="shared" si="16"/>
        <v>10.319026666666666</v>
      </c>
      <c r="AQ7" s="84">
        <f>IF(AJ7&lt;'Dane dla CWU'!$Z$67,0,IF(AO7&gt;1,AP7,AO7*AP7))</f>
        <v>0</v>
      </c>
      <c r="AR7" s="84">
        <f t="shared" si="17"/>
        <v>10.319026666666666</v>
      </c>
      <c r="AT7">
        <v>5</v>
      </c>
      <c r="AU7">
        <v>18</v>
      </c>
      <c r="BA7">
        <v>5</v>
      </c>
      <c r="BB7">
        <v>14</v>
      </c>
      <c r="BH7">
        <v>5</v>
      </c>
      <c r="BI7">
        <v>25</v>
      </c>
      <c r="BO7">
        <v>5</v>
      </c>
      <c r="BP7">
        <v>26</v>
      </c>
      <c r="BV7">
        <v>5</v>
      </c>
      <c r="BW7">
        <v>17</v>
      </c>
      <c r="CB7" s="84"/>
      <c r="CC7" s="84">
        <f t="shared" si="18"/>
        <v>10.319026666666666</v>
      </c>
      <c r="CD7" s="84">
        <f t="shared" si="19"/>
        <v>10.319026666666666</v>
      </c>
      <c r="CE7" s="84">
        <f t="shared" si="20"/>
        <v>0</v>
      </c>
      <c r="CG7">
        <v>5</v>
      </c>
      <c r="CH7">
        <v>12</v>
      </c>
      <c r="CI7">
        <f>(CH7*'Dane dla CO'!$AB$53+'Dane dla CO'!$AD$53)/(CH7*'Dane dla CO'!$P$35+'Dane dla CO'!$Q$35)</f>
        <v>6.0853909465020575</v>
      </c>
      <c r="CJ7">
        <f>CH7*'Dane dla CO'!$N$96+'Dane dla CO'!$N$97</f>
        <v>28.800000000000011</v>
      </c>
      <c r="CK7">
        <f>IF(CH7&lt;'Dane dla CO'!$Z$67,0,IF(CI7&gt;1,CJ7,CI7*CJ7))</f>
        <v>28.800000000000011</v>
      </c>
      <c r="CL7">
        <f t="shared" si="21"/>
        <v>0</v>
      </c>
      <c r="CM7" s="84">
        <f>(CH7*'Dane dla CWU'!$AB$53+'Dane dla CWU'!$AD$53)/(CH7*'Dane dla CO'!$P$35+'Dane dla CO'!$Q$35)</f>
        <v>7.0696159122085049</v>
      </c>
      <c r="CN7" s="84">
        <f t="shared" si="0"/>
        <v>10.319026666666666</v>
      </c>
      <c r="CO7" s="84">
        <f>IF(CH7&lt;'Dane dla CWU'!$Z$67,0,IF(CM7&gt;1,CN7,CM7*CN7))</f>
        <v>10.319026666666666</v>
      </c>
      <c r="CP7" s="84">
        <f t="shared" si="1"/>
        <v>0</v>
      </c>
      <c r="CR7">
        <v>5</v>
      </c>
      <c r="CS7">
        <v>8</v>
      </c>
      <c r="CT7">
        <f>(CS7*'Dane dla CO'!$AB$53+'Dane dla CO'!$AD$53)/(CS7*'Dane dla CO'!$P$35+'Dane dla CO'!$Q$35)</f>
        <v>2.5462962962962963</v>
      </c>
      <c r="CU7">
        <f>CS7*'Dane dla CO'!$N$96+'Dane dla CO'!$N$97</f>
        <v>57.600000000000009</v>
      </c>
      <c r="CV7">
        <f>IF(CS7&lt;'Dane dla CO'!$Z$67,0,IF(CT7&gt;1,CU7,CT7*CU7))</f>
        <v>57.600000000000009</v>
      </c>
      <c r="CW7">
        <f t="shared" si="22"/>
        <v>0</v>
      </c>
      <c r="CX7" s="84">
        <f>(CS7*'Dane dla CWU'!$AB$53+'Dane dla CWU'!$AD$53)/(CS7*'Dane dla CO'!$P$35+'Dane dla CO'!$Q$35)</f>
        <v>2.7623456790123457</v>
      </c>
      <c r="CY7" s="84">
        <f t="shared" si="2"/>
        <v>10.319026666666666</v>
      </c>
      <c r="CZ7" s="84">
        <f>IF(CS7&lt;'Dane dla CWU'!$Z$67,0,IF(CX7&gt;1,CY7,CX7*CY7))</f>
        <v>10.319026666666666</v>
      </c>
      <c r="DA7" s="84">
        <f t="shared" si="3"/>
        <v>0</v>
      </c>
      <c r="DC7">
        <v>5</v>
      </c>
      <c r="DD7">
        <v>0</v>
      </c>
      <c r="DE7">
        <f>(DD7*'Dane dla CO'!$AB$53+'Dane dla CO'!$AD$53)/(DD7*'Dane dla CO'!$P$35+'Dane dla CO'!$Q$35)</f>
        <v>1.1306584362139918</v>
      </c>
      <c r="DF7">
        <f>DD7*'Dane dla CO'!$N$96+'Dane dla CO'!$N$97</f>
        <v>115.20000000000002</v>
      </c>
      <c r="DG7">
        <f>IF(DD7&lt;'Dane dla CO'!$Z$67,0,IF(DE7&gt;1,DF7,DE7*DF7))</f>
        <v>115.20000000000002</v>
      </c>
      <c r="DH7">
        <f t="shared" si="23"/>
        <v>0</v>
      </c>
      <c r="DI7" s="84">
        <f>(DD7*'Dane dla CWU'!$AB$53+'Dane dla CWU'!$AD$53)/(DD7*'Dane dla CO'!$P$35+'Dane dla CO'!$Q$35)</f>
        <v>1.0394375857338818</v>
      </c>
      <c r="DJ7" s="84">
        <f t="shared" si="4"/>
        <v>10.319026666666666</v>
      </c>
      <c r="DK7" s="84">
        <f>IF(DD7&lt;'Dane dla CWU'!$Z$67,0,IF(DI7&gt;1,DJ7,DI7*DJ7))</f>
        <v>0</v>
      </c>
      <c r="DL7" s="84">
        <f t="shared" si="5"/>
        <v>10.319026666666666</v>
      </c>
      <c r="DM7" s="49">
        <v>-13</v>
      </c>
      <c r="DN7" s="94">
        <f>DO7*'Dane dla CO'!$N$80</f>
        <v>1163.7551020408164</v>
      </c>
      <c r="DO7" s="94">
        <f>(15-DS7)/35*'Dane dla CO'!$N$75</f>
        <v>10.182857142857143</v>
      </c>
      <c r="DP7" s="94">
        <f t="shared" si="24"/>
        <v>1163.7551020408164</v>
      </c>
      <c r="DQ7" s="51">
        <v>-13</v>
      </c>
      <c r="DR7" s="52">
        <v>1</v>
      </c>
      <c r="DS7" s="52">
        <v>-18</v>
      </c>
      <c r="DT7" s="89">
        <f>Wykresy!Y5</f>
        <v>53.8</v>
      </c>
      <c r="DU7" s="90">
        <f>Wykresy!AE5</f>
        <v>34.266666666666666</v>
      </c>
      <c r="DV7" s="92"/>
      <c r="DW7" s="92"/>
      <c r="DX7" s="92"/>
      <c r="DY7" s="86"/>
      <c r="DZ7" s="86"/>
      <c r="EA7" s="86"/>
      <c r="EB7" s="85"/>
      <c r="EC7" s="85"/>
      <c r="ED7" s="85"/>
      <c r="EE7" s="86"/>
      <c r="EF7" s="86"/>
      <c r="EG7" s="86"/>
      <c r="EI7" s="52">
        <v>1</v>
      </c>
      <c r="EJ7" s="52">
        <f t="shared" ref="EJ7:EJ53" si="25">EJ6+EI7</f>
        <v>1</v>
      </c>
      <c r="EK7" s="52">
        <v>-18</v>
      </c>
      <c r="EL7" s="89">
        <v>55</v>
      </c>
      <c r="EM7" s="92"/>
      <c r="EN7" s="92"/>
      <c r="EO7" s="92"/>
      <c r="EP7" s="85"/>
      <c r="EQ7" s="85"/>
      <c r="ER7" s="85"/>
      <c r="EV7" s="166"/>
      <c r="EW7" s="67" t="s">
        <v>144</v>
      </c>
      <c r="EX7" s="59"/>
      <c r="EY7" s="21"/>
      <c r="EZ7" s="102">
        <f>ROUND('Dane dla CWU'!Z67,0)</f>
        <v>7</v>
      </c>
      <c r="FA7" s="84">
        <f>IF(EZ7=EK10,ER10,IF(EZ7=EK11,ER11,IF(EZ7=EK12,ER12,IF(EZ7=EK13,ER13,IF(EZ7=EK14,ER14,IF(EZ7=EK15,ER15,IF(EZ7=EK16,ER16,IF(EZ7=EK17,ER17,IF(EZ7=EK18,ER18,IF(EZ7=EK19,ER19,IF(EZ7=EK20,ER20,IF(EZ7=EK21,ER21,IF(EZ7=EK22,ER22,IF(EZ7=EK23,ER23,IF(EZ7=EK24,ER24,IF(EZ7=EK25,ER25,IF(EZ7=EK26,ER26,IF(EZ7=EK27,ER27,IF(EZ7=EK28,ER28,IF(EZ7=EK29,ER29,IF(EZ7=EK30,ER30,IF(EZ7=EK31,ER31,IF(EZ7=EK32,ER32,IF(EZ7=EK33,ER33,IF(EZ7=EK34,ER34,IF(EZ7=EK35,ER35,IF(EZ7=EK36,ER36,IF(EZ7=EK37,ER37,IF(EZ7=EK38,ER38,IF(EZ7=EK39,ER39,IF(EZ7=EK40,ER40,IF(EZ7=EK41,ER41,IF(EZ7=EK42,ER42,IF(EZ7=EK43,ER43,IF(EZ7=EK44,ER44,IF(EZ7=EK45,ER45,IF(EZ7=EK46,ER46,IF(EZ7=EK47,ER47,IF(EZ7=EK48,ER48,IF(EZ7=EK49,ER49,IF(EZ7=EK50,ER50,IF(EZ7=EK51,ER51,IF(EZ7=EK52,ER52,ER53)))))))))))))))))))))))))))))))))))))))))))</f>
        <v>4.2293251519575463</v>
      </c>
      <c r="FB7" s="84">
        <f>IF(EZ7=EK10,ER10,IF(EZ7=EK11,ER11,IF(EZ7=EK12,ER12,IF(EZ7=EK13,ER13,IF(EZ7=EK14,ER14,IF(EZ7=EK15,ER15,IF(EZ7=EK16,ER16,IF(EZ7=EK17,ER17,IF(EZ7=EK18,ER18,IF(EZ7=EK19,ER19,IF(EZ7=EK20,ER20,IF(EZ7=EK21,ER21,IF(EZ7=EK22,ER22,IF(EZ7=EK23,ER23,IF(EZ7=EK24,ER24,IF(EZ7=EK25,ER25,IF(EZ7=EK26,ER26,IF(EZ7=EK27,ER27,IF(EZ7=EK28,ER28,IF(EZ7=EK29,ER29,IF(EZ7=EK30,ER30,IF(EZ7=EK31,ER31,IF(EZ7=EK32,ER32,IF(EZ7=EK33,ER33,IF(EZ7=EK34,ER34,IF(EZ7=EK35,ER35,IF(EZ7=EK36,ER36,IF(EZ7=EK37,ER37,IF(EZ7=EK38,ER38,IF(EZ7=EK39,ER39,IF(EZ7=EK40,ER40,IF(EZ7=EK41,ER41,IF(EZ7=EK42,ER42,IF(EZ7=EK43,ER43,IF(EZ7=EK44,ER44,IF(EZ7=EK45,ER45,IF(EZ7=EK46,ER46,IF(EZ7=EK47,ER47,IF(EZ7=EK48,ER48,IF(EZ7=EK49,ER49,IF(EZ7=EK50,ER50,IF(EZ7=EK51,ER51,IF(EZ7=EK52,ER52,ER53)))))))))))))))))))))))))))))))))))))))))))</f>
        <v>4.2293251519575463</v>
      </c>
      <c r="FC7">
        <f>EL54-FF7</f>
        <v>213</v>
      </c>
      <c r="FD7">
        <f>('Dane dla CWU'!H43)*FC7/(FC7+FF7)</f>
        <v>2191.9473448087433</v>
      </c>
      <c r="FE7" s="103">
        <f>FD7/FB7*'Dane dla CWU'!C56</f>
        <v>316.14686322106525</v>
      </c>
      <c r="FF7">
        <f>IF(EZ7=EK10,EJ10,IF(EZ7=EK11,EJ11,IF(EZ7=EK12,EJ12,IF(EZ7=EK13,EJ13,IF(EZ7=EK14,EJ14,IF(EZ7=EK15,EJ15,IF(EZ7=EK16,EJ16,IF(EZ7=EK17,EJ17,IF(EZ7=EK18,EJ18,IF(EZ7=EK19,EJ19,IF(EZ7=EK20,EJ20,IF(EZ7=EK21,EJ21,IF(EZ7=EK22,EJ22,IF(EZ7=EK23,EJ23,IF(EZ7=EK24,EJ24,IF(EZ7=EK25,EJ25,IF(EZ7=EK26,EJ26,IF(EZ7=EK27,EJ27,IF(EZ7=EK28,EJ28,IF(EZ7=EK29,EJ29,IF(EZ7=EK30,EJ30,IF(EZ7=EK31,EJ31,IF(EZ7=EK32,EJ32,IF(EZ7=EK33,EJ33,IF(EZ7=EK34,EJ34,IF(EZ7=EK35,EJ35,IF(EZ7=EK36,EJ36,IF(EZ7=EK37,EJ37,IF(EZ7=EK38,EJ38,IF(EZ7=EK39,EJ39,IF(EZ7=EK40,EJ40,IF(EZ7=EK41,EJ41,IF(EZ7=EK42,EJ42,IF(EZ7=EK43,EJ43,IF(EZ7=EK44,EJ44,IF(EZ7=EK45,EJ45,IF(EZ7=EK46,EJ46,IF(EZ7=EK47,EJ47,IF(EZ7=EK48,EJ48,IF(EZ7=EK49,EJ49,IF(EZ7=EK50,EJ50,IF(EZ7=EK51,EJ51,IF(EZ7=EK52,BSK2,EJ53)))))))))))))))))))))))))))))))))))))))))))</f>
        <v>153</v>
      </c>
      <c r="FG7">
        <f>'Dane dla CWU'!H43-FD7</f>
        <v>1574.49738852459</v>
      </c>
      <c r="FH7" s="103">
        <f>IF(FJ7&lt;400,FG7*'Dane dla CO'!G54,FG7*'Dane dla CO'!G55)</f>
        <v>440.85926878688525</v>
      </c>
      <c r="FI7" s="103">
        <f>FH7+FE7</f>
        <v>757.00613200795055</v>
      </c>
      <c r="FJ7">
        <f>FG7/'Dane dla CWU'!H40</f>
        <v>162.15215123837177</v>
      </c>
    </row>
    <row r="8" spans="1:166">
      <c r="A8" s="162"/>
      <c r="B8">
        <v>6</v>
      </c>
      <c r="C8">
        <v>4</v>
      </c>
      <c r="D8" s="84">
        <f>(C8*'Dane dla CO'!$AB$53+'Dane dla CO'!$AD$53)/(C8*'Dane dla CO'!$P$35+'Dane dla CO'!$Q$35)</f>
        <v>1.5810886644219975</v>
      </c>
      <c r="E8" s="84">
        <f>C8*'Dane dla CO'!$N$96+'Dane dla CO'!$N$97</f>
        <v>86.4</v>
      </c>
      <c r="F8" s="84">
        <f>IF(C8&lt;'Dane dla CO'!$Z$67,0,IF(D8&gt;1,E8,D8*E8))</f>
        <v>86.4</v>
      </c>
      <c r="G8" s="84">
        <f t="shared" si="6"/>
        <v>0</v>
      </c>
      <c r="H8" s="84">
        <f>(C8*'Dane dla CWU'!$AB$53+'Dane dla CWU'!$AD$53)/(C8*'Dane dla CO'!$P$35+'Dane dla CO'!$Q$35)</f>
        <v>1.5876356154133928</v>
      </c>
      <c r="I8" s="84">
        <f t="shared" si="7"/>
        <v>10.319026666666666</v>
      </c>
      <c r="J8" s="84">
        <f>IF(C8&lt;'Dane dla CWU'!$Z$67,0,IF(H8&gt;1,I8,H8*I8))</f>
        <v>0</v>
      </c>
      <c r="K8" s="84">
        <f t="shared" si="8"/>
        <v>10.319026666666666</v>
      </c>
      <c r="M8">
        <v>6</v>
      </c>
      <c r="N8">
        <v>-11</v>
      </c>
      <c r="O8">
        <f>(N8*'Dane dla CO'!$AB$53+'Dane dla CO'!$AD$53)/(N8*'Dane dla CO'!$P$35+'Dane dla CO'!$Q$35)</f>
        <v>0.60660018993352327</v>
      </c>
      <c r="P8">
        <f>N8*'Dane dla CO'!$N$96+'Dane dla CO'!$N$97</f>
        <v>194.40000000000003</v>
      </c>
      <c r="Q8">
        <f>IF(N8&lt;'Dane dla CO'!$Z$67,0,IF(O8&gt;1,P8,O8*P8))</f>
        <v>0</v>
      </c>
      <c r="R8">
        <f t="shared" si="9"/>
        <v>194.40000000000003</v>
      </c>
      <c r="S8" s="84">
        <f>(N8*'Dane dla CWU'!$AB$53+'Dane dla CWU'!$AD$53)/(N8*'Dane dla CO'!$P$35+'Dane dla CO'!$Q$35)</f>
        <v>0.40163026274137387</v>
      </c>
      <c r="T8" s="84">
        <f t="shared" si="10"/>
        <v>10.319026666666666</v>
      </c>
      <c r="U8" s="84">
        <f>IF(N8&lt;'Dane dla CWU'!$Z$67,0,IF(S8&gt;1,T8,S8*T8))</f>
        <v>0</v>
      </c>
      <c r="V8" s="84">
        <f t="shared" si="11"/>
        <v>10.319026666666666</v>
      </c>
      <c r="X8">
        <v>6</v>
      </c>
      <c r="Y8">
        <v>-1</v>
      </c>
      <c r="Z8">
        <f>(Y8*'Dane dla CO'!$AB$53+'Dane dla CO'!$AD$53)/(Y8*'Dane dla CO'!$P$35+'Dane dla CO'!$Q$35)</f>
        <v>1.0532407407407407</v>
      </c>
      <c r="AA8">
        <f>Y8*'Dane dla CO'!$N$96+'Dane dla CO'!$N$97</f>
        <v>122.40000000000002</v>
      </c>
      <c r="AB8">
        <f>IF(Y8&lt;'Dane dla CO'!$Z$67,0,IF(Z8&gt;1,AA8,Z8*AA8))</f>
        <v>122.40000000000002</v>
      </c>
      <c r="AC8">
        <f t="shared" si="12"/>
        <v>0</v>
      </c>
      <c r="AD8" s="84">
        <f>(Y8*'Dane dla CWU'!$AB$53+'Dane dla CWU'!$AD$53)/(Y8*'Dane dla CO'!$P$35+'Dane dla CO'!$Q$35)</f>
        <v>0.94521604938271586</v>
      </c>
      <c r="AE8" s="84">
        <f t="shared" si="13"/>
        <v>10.319026666666666</v>
      </c>
      <c r="AF8" s="84">
        <f>IF(Y8&lt;'Dane dla CWU'!$Z$67,0,IF(AD8&gt;1,AE8,AD8*AE8))</f>
        <v>0</v>
      </c>
      <c r="AG8" s="84">
        <f t="shared" si="14"/>
        <v>10.319026666666666</v>
      </c>
      <c r="AI8">
        <v>6</v>
      </c>
      <c r="AJ8">
        <v>6</v>
      </c>
      <c r="AK8">
        <f>(AJ8*'Dane dla CO'!$AB$53+'Dane dla CO'!$AD$53)/(AJ8*'Dane dla CO'!$P$35+'Dane dla CO'!$Q$35)</f>
        <v>1.9564471879286691</v>
      </c>
      <c r="AL8">
        <f>AJ8*'Dane dla CO'!$N$96+'Dane dla CO'!$N$97</f>
        <v>72.000000000000014</v>
      </c>
      <c r="AM8">
        <f>IF(AJ8&lt;'Dane dla CO'!$Z$67,0,IF(AK8&gt;1,AL8,AK8*AL8))</f>
        <v>72.000000000000014</v>
      </c>
      <c r="AN8">
        <f t="shared" si="15"/>
        <v>0</v>
      </c>
      <c r="AO8" s="84">
        <f>(AJ8*'Dane dla CWU'!$AB$53+'Dane dla CWU'!$AD$53)/(AJ8*'Dane dla CO'!$P$35+'Dane dla CO'!$Q$35)</f>
        <v>2.0444673068129853</v>
      </c>
      <c r="AP8" s="84">
        <f t="shared" si="16"/>
        <v>10.319026666666666</v>
      </c>
      <c r="AQ8" s="84">
        <f>IF(AJ8&lt;'Dane dla CWU'!$Z$67,0,IF(AO8&gt;1,AP8,AO8*AP8))</f>
        <v>0</v>
      </c>
      <c r="AR8" s="84">
        <f t="shared" si="17"/>
        <v>10.319026666666666</v>
      </c>
      <c r="AT8">
        <v>6</v>
      </c>
      <c r="AU8">
        <v>17</v>
      </c>
      <c r="BA8">
        <v>6</v>
      </c>
      <c r="BB8">
        <v>14</v>
      </c>
      <c r="BH8">
        <v>6</v>
      </c>
      <c r="BI8">
        <v>26</v>
      </c>
      <c r="BO8">
        <v>6</v>
      </c>
      <c r="BP8">
        <v>22</v>
      </c>
      <c r="BV8">
        <v>6</v>
      </c>
      <c r="BW8">
        <v>16</v>
      </c>
      <c r="CB8" s="84"/>
      <c r="CC8" s="84">
        <f t="shared" si="18"/>
        <v>10.319026666666666</v>
      </c>
      <c r="CD8" s="84">
        <f t="shared" si="19"/>
        <v>10.319026666666666</v>
      </c>
      <c r="CE8" s="84">
        <f t="shared" si="20"/>
        <v>0</v>
      </c>
      <c r="CG8">
        <v>6</v>
      </c>
      <c r="CK8">
        <f>IF(CH8&lt;'Dane dla CO'!$Z$67,0,IF(CI8&gt;1,CJ8,CI8*CJ8))</f>
        <v>0</v>
      </c>
      <c r="CM8" s="84">
        <f>(CH8*'Dane dla CWU'!$AB$53+'Dane dla CWU'!$AD$53)/(CH8*'Dane dla CO'!$P$35+'Dane dla CO'!$Q$35)</f>
        <v>1.0394375857338818</v>
      </c>
      <c r="CN8" s="84">
        <f t="shared" si="0"/>
        <v>10.319026666666666</v>
      </c>
      <c r="CO8" s="84">
        <f>IF(CH8&lt;'Dane dla CWU'!$Z$67,0,IF(CM8&gt;1,CN8,CM8*CN8))</f>
        <v>0</v>
      </c>
      <c r="CP8" s="84">
        <f t="shared" si="1"/>
        <v>10.319026666666666</v>
      </c>
      <c r="CR8">
        <v>6</v>
      </c>
      <c r="CS8">
        <v>5</v>
      </c>
      <c r="CT8">
        <f>(CS8*'Dane dla CO'!$AB$53+'Dane dla CO'!$AD$53)/(CS8*'Dane dla CO'!$P$35+'Dane dla CO'!$Q$35)</f>
        <v>1.75</v>
      </c>
      <c r="CU8">
        <f>CS8*'Dane dla CO'!$N$96+'Dane dla CO'!$N$97</f>
        <v>79.200000000000017</v>
      </c>
      <c r="CV8">
        <f>IF(CS8&lt;'Dane dla CO'!$Z$67,0,IF(CT8&gt;1,CU8,CT8*CU8))</f>
        <v>79.200000000000017</v>
      </c>
      <c r="CW8">
        <f t="shared" si="22"/>
        <v>0</v>
      </c>
      <c r="CX8" s="84">
        <f>(CS8*'Dane dla CWU'!$AB$53+'Dane dla CWU'!$AD$53)/(CS8*'Dane dla CO'!$P$35+'Dane dla CO'!$Q$35)</f>
        <v>1.7932098765432098</v>
      </c>
      <c r="CY8" s="84">
        <f t="shared" si="2"/>
        <v>10.319026666666666</v>
      </c>
      <c r="CZ8" s="84">
        <f>IF(CS8&lt;'Dane dla CWU'!$Z$67,0,IF(CX8&gt;1,CY8,CX8*CY8))</f>
        <v>0</v>
      </c>
      <c r="DA8" s="84">
        <f t="shared" si="3"/>
        <v>10.319026666666666</v>
      </c>
      <c r="DC8">
        <v>6</v>
      </c>
      <c r="DD8">
        <v>-3</v>
      </c>
      <c r="DE8">
        <f>(DD8*'Dane dla CO'!$AB$53+'Dane dla CO'!$AD$53)/(DD8*'Dane dla CO'!$P$35+'Dane dla CO'!$Q$35)</f>
        <v>0.92421124828532231</v>
      </c>
      <c r="DF8">
        <f>DD8*'Dane dla CO'!$N$96+'Dane dla CO'!$N$97</f>
        <v>136.80000000000001</v>
      </c>
      <c r="DG8">
        <f>IF(DD8&lt;'Dane dla CO'!$Z$67,0,IF(DE8&gt;1,DF8,DE8*DF8))</f>
        <v>0</v>
      </c>
      <c r="DH8">
        <f t="shared" si="23"/>
        <v>136.80000000000001</v>
      </c>
      <c r="DI8" s="84">
        <f>(DD8*'Dane dla CWU'!$AB$53+'Dane dla CWU'!$AD$53)/(DD8*'Dane dla CO'!$P$35+'Dane dla CO'!$Q$35)</f>
        <v>0.78818015546410591</v>
      </c>
      <c r="DJ8" s="84">
        <f t="shared" si="4"/>
        <v>10.319026666666666</v>
      </c>
      <c r="DK8" s="84">
        <f>IF(DD8&lt;'Dane dla CWU'!$Z$67,0,IF(DI8&gt;1,DJ8,DI8*DJ8))</f>
        <v>0</v>
      </c>
      <c r="DL8" s="84">
        <f t="shared" si="5"/>
        <v>10.319026666666666</v>
      </c>
      <c r="DM8" s="49">
        <v>-12</v>
      </c>
      <c r="DN8" s="94">
        <f>DO8*'Dane dla CO'!$N$80</f>
        <v>1128.4897959183675</v>
      </c>
      <c r="DO8" s="94">
        <f>(15-DS8)/35*'Dane dla CO'!$N$75</f>
        <v>9.8742857142857154</v>
      </c>
      <c r="DP8" s="94">
        <f t="shared" si="24"/>
        <v>1128.4897959183675</v>
      </c>
      <c r="DQ8" s="51">
        <v>-12</v>
      </c>
      <c r="DR8" s="52">
        <v>0</v>
      </c>
      <c r="DS8" s="52">
        <v>-17</v>
      </c>
      <c r="DT8" s="89">
        <f>Wykresy!Y6</f>
        <v>53.2</v>
      </c>
      <c r="DU8" s="90">
        <f>Wykresy!AE6</f>
        <v>33.9</v>
      </c>
      <c r="DV8" s="92"/>
      <c r="DW8" s="92"/>
      <c r="DX8" s="92"/>
      <c r="DY8" s="86"/>
      <c r="DZ8" s="86"/>
      <c r="EA8" s="86"/>
      <c r="EB8" s="85"/>
      <c r="EC8" s="85"/>
      <c r="ED8" s="85"/>
      <c r="EE8" s="86"/>
      <c r="EF8" s="86"/>
      <c r="EG8" s="86"/>
      <c r="EI8" s="52">
        <v>0</v>
      </c>
      <c r="EJ8" s="52">
        <f t="shared" si="25"/>
        <v>1</v>
      </c>
      <c r="EK8" s="52">
        <v>-17</v>
      </c>
      <c r="EL8" s="89">
        <v>55</v>
      </c>
      <c r="EM8" s="92"/>
      <c r="EN8" s="92"/>
      <c r="EO8" s="92"/>
      <c r="EP8" s="85"/>
      <c r="EQ8" s="85"/>
      <c r="ER8" s="85"/>
    </row>
    <row r="9" spans="1:166">
      <c r="A9" s="162"/>
      <c r="B9">
        <v>7</v>
      </c>
      <c r="C9">
        <v>3</v>
      </c>
      <c r="D9" s="84">
        <f>(C9*'Dane dla CO'!$AB$53+'Dane dla CO'!$AD$53)/(C9*'Dane dla CO'!$P$35+'Dane dla CO'!$Q$35)</f>
        <v>1.4403292181069955</v>
      </c>
      <c r="E9" s="84">
        <f>C9*'Dane dla CO'!$N$96+'Dane dla CO'!$N$97</f>
        <v>93.600000000000023</v>
      </c>
      <c r="F9" s="84">
        <f>IF(C9&lt;'Dane dla CO'!$Z$67,0,IF(D9&gt;1,E9,D9*E9))</f>
        <v>93.600000000000023</v>
      </c>
      <c r="G9" s="84">
        <f t="shared" si="6"/>
        <v>0</v>
      </c>
      <c r="H9" s="84">
        <f>(C9*'Dane dla CWU'!$AB$53+'Dane dla CWU'!$AD$53)/(C9*'Dane dla CO'!$P$35+'Dane dla CO'!$Q$35)</f>
        <v>1.4163237311385457</v>
      </c>
      <c r="I9" s="84">
        <f t="shared" si="7"/>
        <v>10.319026666666666</v>
      </c>
      <c r="J9" s="84">
        <f>IF(C9&lt;'Dane dla CWU'!$Z$67,0,IF(H9&gt;1,I9,H9*I9))</f>
        <v>0</v>
      </c>
      <c r="K9" s="84">
        <f t="shared" si="8"/>
        <v>10.319026666666666</v>
      </c>
      <c r="M9">
        <v>7</v>
      </c>
      <c r="N9">
        <v>-9</v>
      </c>
      <c r="O9">
        <f>(N9*'Dane dla CO'!$AB$53+'Dane dla CO'!$AD$53)/(N9*'Dane dla CO'!$P$35+'Dane dla CO'!$Q$35)</f>
        <v>0.66615226337448552</v>
      </c>
      <c r="P9">
        <f>N9*'Dane dla CO'!$N$96+'Dane dla CO'!$N$97</f>
        <v>180.00000000000003</v>
      </c>
      <c r="Q9">
        <f>IF(N9&lt;'Dane dla CO'!$Z$67,0,IF(O9&gt;1,P9,O9*P9))</f>
        <v>0</v>
      </c>
      <c r="R9">
        <f t="shared" si="9"/>
        <v>180.00000000000003</v>
      </c>
      <c r="S9" s="84">
        <f>(N9*'Dane dla CWU'!$AB$53+'Dane dla CWU'!$AD$53)/(N9*'Dane dla CO'!$P$35+'Dane dla CO'!$Q$35)</f>
        <v>0.47410836762688607</v>
      </c>
      <c r="T9" s="84">
        <f t="shared" si="10"/>
        <v>10.319026666666666</v>
      </c>
      <c r="U9" s="84">
        <f>IF(N9&lt;'Dane dla CWU'!$Z$67,0,IF(S9&gt;1,T9,S9*T9))</f>
        <v>0</v>
      </c>
      <c r="V9" s="84">
        <f t="shared" si="11"/>
        <v>10.319026666666666</v>
      </c>
      <c r="X9">
        <v>7</v>
      </c>
      <c r="Y9">
        <v>-2</v>
      </c>
      <c r="Z9">
        <f>(Y9*'Dane dla CO'!$AB$53+'Dane dla CO'!$AD$53)/(Y9*'Dane dla CO'!$P$35+'Dane dla CO'!$Q$35)</f>
        <v>0.98493100944081324</v>
      </c>
      <c r="AA9">
        <f>Y9*'Dane dla CO'!$N$96+'Dane dla CO'!$N$97</f>
        <v>129.60000000000002</v>
      </c>
      <c r="AB9">
        <f>IF(Y9&lt;'Dane dla CO'!$Z$67,0,IF(Z9&gt;1,AA9,Z9*AA9))</f>
        <v>127.64705882352942</v>
      </c>
      <c r="AC9">
        <f t="shared" si="12"/>
        <v>1.9529411764706026</v>
      </c>
      <c r="AD9" s="84">
        <f>(Y9*'Dane dla CWU'!$AB$53+'Dane dla CWU'!$AD$53)/(Y9*'Dane dla CO'!$P$35+'Dane dla CO'!$Q$35)</f>
        <v>0.86207939966109892</v>
      </c>
      <c r="AE9" s="84">
        <f t="shared" si="13"/>
        <v>10.319026666666666</v>
      </c>
      <c r="AF9" s="84">
        <f>IF(Y9&lt;'Dane dla CWU'!$Z$67,0,IF(AD9&gt;1,AE9,AD9*AE9))</f>
        <v>0</v>
      </c>
      <c r="AG9" s="84">
        <f t="shared" si="14"/>
        <v>10.319026666666666</v>
      </c>
      <c r="AI9">
        <v>7</v>
      </c>
      <c r="AJ9">
        <v>8</v>
      </c>
      <c r="AK9">
        <f>(AJ9*'Dane dla CO'!$AB$53+'Dane dla CO'!$AD$53)/(AJ9*'Dane dla CO'!$P$35+'Dane dla CO'!$Q$35)</f>
        <v>2.5462962962962963</v>
      </c>
      <c r="AL9">
        <f>AJ9*'Dane dla CO'!$N$96+'Dane dla CO'!$N$97</f>
        <v>57.600000000000009</v>
      </c>
      <c r="AM9">
        <f>IF(AJ9&lt;'Dane dla CO'!$Z$67,0,IF(AK9&gt;1,AL9,AK9*AL9))</f>
        <v>57.600000000000009</v>
      </c>
      <c r="AN9">
        <f t="shared" si="15"/>
        <v>0</v>
      </c>
      <c r="AO9" s="84">
        <f>(AJ9*'Dane dla CWU'!$AB$53+'Dane dla CWU'!$AD$53)/(AJ9*'Dane dla CO'!$P$35+'Dane dla CO'!$Q$35)</f>
        <v>2.7623456790123457</v>
      </c>
      <c r="AP9" s="84">
        <f t="shared" si="16"/>
        <v>10.319026666666666</v>
      </c>
      <c r="AQ9" s="84">
        <f>IF(AJ9&lt;'Dane dla CWU'!$Z$67,0,IF(AO9&gt;1,AP9,AO9*AP9))</f>
        <v>10.319026666666666</v>
      </c>
      <c r="AR9" s="84">
        <f t="shared" si="17"/>
        <v>0</v>
      </c>
      <c r="AT9">
        <v>7</v>
      </c>
      <c r="AU9">
        <v>11</v>
      </c>
      <c r="BA9">
        <v>7</v>
      </c>
      <c r="BB9">
        <v>18</v>
      </c>
      <c r="BH9">
        <v>7</v>
      </c>
      <c r="BI9">
        <v>26</v>
      </c>
      <c r="BO9">
        <v>7</v>
      </c>
      <c r="BP9">
        <v>21</v>
      </c>
      <c r="BV9">
        <v>7</v>
      </c>
      <c r="BW9">
        <v>14</v>
      </c>
      <c r="CB9" s="84"/>
      <c r="CC9" s="84">
        <f t="shared" si="18"/>
        <v>10.319026666666666</v>
      </c>
      <c r="CD9" s="84">
        <f t="shared" si="19"/>
        <v>10.319026666666666</v>
      </c>
      <c r="CE9" s="84">
        <f t="shared" si="20"/>
        <v>0</v>
      </c>
      <c r="CG9">
        <v>7</v>
      </c>
      <c r="CH9">
        <v>11</v>
      </c>
      <c r="CI9">
        <f>(CH9*'Dane dla CO'!$AB$53+'Dane dla CO'!$AD$53)/(CH9*'Dane dla CO'!$P$35+'Dane dla CO'!$Q$35)</f>
        <v>4.5370370370370363</v>
      </c>
      <c r="CJ9">
        <f>CH9*'Dane dla CO'!$N$96+'Dane dla CO'!$N$97</f>
        <v>36</v>
      </c>
      <c r="CK9">
        <f>IF(CH9&lt;'Dane dla CO'!$Z$67,0,IF(CI9&gt;1,CJ9,CI9*CJ9))</f>
        <v>36</v>
      </c>
      <c r="CL9">
        <f t="shared" si="21"/>
        <v>0</v>
      </c>
      <c r="CM9" s="84">
        <f>(CH9*'Dane dla CWU'!$AB$53+'Dane dla CWU'!$AD$53)/(CH9*'Dane dla CO'!$P$35+'Dane dla CO'!$Q$35)</f>
        <v>5.1851851851851842</v>
      </c>
      <c r="CN9" s="84">
        <f t="shared" si="0"/>
        <v>10.319026666666666</v>
      </c>
      <c r="CO9" s="84">
        <f>IF(CH9&lt;'Dane dla CWU'!$Z$67,0,IF(CM9&gt;1,CN9,CM9*CN9))</f>
        <v>10.319026666666666</v>
      </c>
      <c r="CP9" s="84">
        <f t="shared" si="1"/>
        <v>0</v>
      </c>
      <c r="CR9">
        <v>7</v>
      </c>
      <c r="CS9">
        <v>5</v>
      </c>
      <c r="CT9">
        <f>(CS9*'Dane dla CO'!$AB$53+'Dane dla CO'!$AD$53)/(CS9*'Dane dla CO'!$P$35+'Dane dla CO'!$Q$35)</f>
        <v>1.75</v>
      </c>
      <c r="CU9">
        <f>CS9*'Dane dla CO'!$N$96+'Dane dla CO'!$N$97</f>
        <v>79.200000000000017</v>
      </c>
      <c r="CV9">
        <f>IF(CS9&lt;'Dane dla CO'!$Z$67,0,IF(CT9&gt;1,CU9,CT9*CU9))</f>
        <v>79.200000000000017</v>
      </c>
      <c r="CW9">
        <f t="shared" si="22"/>
        <v>0</v>
      </c>
      <c r="CX9" s="84">
        <f>(CS9*'Dane dla CWU'!$AB$53+'Dane dla CWU'!$AD$53)/(CS9*'Dane dla CO'!$P$35+'Dane dla CO'!$Q$35)</f>
        <v>1.7932098765432098</v>
      </c>
      <c r="CY9" s="84">
        <f t="shared" si="2"/>
        <v>10.319026666666666</v>
      </c>
      <c r="CZ9" s="84">
        <f>IF(CS9&lt;'Dane dla CWU'!$Z$67,0,IF(CX9&gt;1,CY9,CX9*CY9))</f>
        <v>0</v>
      </c>
      <c r="DA9" s="84">
        <f t="shared" si="3"/>
        <v>10.319026666666666</v>
      </c>
      <c r="DC9">
        <v>7</v>
      </c>
      <c r="DD9">
        <v>-4</v>
      </c>
      <c r="DE9">
        <f>(DD9*'Dane dla CO'!$AB$53+'Dane dla CO'!$AD$53)/(DD9*'Dane dla CO'!$P$35+'Dane dla CO'!$Q$35)</f>
        <v>0.86988304093567259</v>
      </c>
      <c r="DF9">
        <f>DD9*'Dane dla CO'!$N$96+'Dane dla CO'!$N$97</f>
        <v>144.00000000000003</v>
      </c>
      <c r="DG9">
        <f>IF(DD9&lt;'Dane dla CO'!$Z$67,0,IF(DE9&gt;1,DF9,DE9*DF9))</f>
        <v>0</v>
      </c>
      <c r="DH9">
        <f t="shared" si="23"/>
        <v>144.00000000000003</v>
      </c>
      <c r="DI9" s="84">
        <f>(DD9*'Dane dla CWU'!$AB$53+'Dane dla CWU'!$AD$53)/(DD9*'Dane dla CO'!$P$35+'Dane dla CO'!$Q$35)</f>
        <v>0.72205977907732288</v>
      </c>
      <c r="DJ9" s="84">
        <f t="shared" si="4"/>
        <v>10.319026666666666</v>
      </c>
      <c r="DK9" s="84">
        <f>IF(DD9&lt;'Dane dla CWU'!$Z$67,0,IF(DI9&gt;1,DJ9,DI9*DJ9))</f>
        <v>0</v>
      </c>
      <c r="DL9" s="84">
        <f t="shared" si="5"/>
        <v>10.319026666666666</v>
      </c>
      <c r="DM9" s="49">
        <v>-12</v>
      </c>
      <c r="DN9" s="94">
        <f>DO9*'Dane dla CO'!$N$80</f>
        <v>1093.2244897959185</v>
      </c>
      <c r="DO9" s="94">
        <f>(15-DS9)/35*'Dane dla CO'!$N$75</f>
        <v>9.5657142857142858</v>
      </c>
      <c r="DP9" s="94">
        <f t="shared" si="24"/>
        <v>1093.2244897959185</v>
      </c>
      <c r="DQ9" s="51">
        <v>-12</v>
      </c>
      <c r="DR9" s="52">
        <v>1</v>
      </c>
      <c r="DS9" s="52">
        <v>-16</v>
      </c>
      <c r="DT9" s="89">
        <f>Wykresy!Y7</f>
        <v>52.6</v>
      </c>
      <c r="DU9" s="90">
        <f>Wykresy!AE7</f>
        <v>33.533333333333331</v>
      </c>
      <c r="DV9" s="92"/>
      <c r="DW9" s="92"/>
      <c r="DX9" s="92"/>
      <c r="DY9" s="86"/>
      <c r="DZ9" s="86"/>
      <c r="EA9" s="86"/>
      <c r="EB9" s="85"/>
      <c r="EC9" s="85"/>
      <c r="ED9" s="85"/>
      <c r="EE9" s="86"/>
      <c r="EF9" s="86"/>
      <c r="EG9" s="86"/>
      <c r="EI9" s="52">
        <v>1</v>
      </c>
      <c r="EJ9" s="52">
        <f t="shared" si="25"/>
        <v>2</v>
      </c>
      <c r="EK9" s="52">
        <v>-16</v>
      </c>
      <c r="EL9" s="89">
        <v>55</v>
      </c>
      <c r="EM9" s="92"/>
      <c r="EN9" s="92"/>
      <c r="EO9" s="92"/>
      <c r="EP9" s="85"/>
      <c r="EQ9" s="85"/>
      <c r="ER9" s="85"/>
      <c r="FF9" t="s">
        <v>195</v>
      </c>
      <c r="FI9" s="103">
        <f>FI3+FI6</f>
        <v>5615.5052056997974</v>
      </c>
    </row>
    <row r="10" spans="1:166">
      <c r="A10" s="162"/>
      <c r="B10">
        <v>8</v>
      </c>
      <c r="C10">
        <v>4</v>
      </c>
      <c r="D10" s="84">
        <f>(C10*'Dane dla CO'!$AB$53+'Dane dla CO'!$AD$53)/(C10*'Dane dla CO'!$P$35+'Dane dla CO'!$Q$35)</f>
        <v>1.5810886644219975</v>
      </c>
      <c r="E10" s="84">
        <f>C10*'Dane dla CO'!$N$96+'Dane dla CO'!$N$97</f>
        <v>86.4</v>
      </c>
      <c r="F10" s="84">
        <f>IF(C10&lt;'Dane dla CO'!$Z$67,0,IF(D10&gt;1,E10,D10*E10))</f>
        <v>86.4</v>
      </c>
      <c r="G10" s="84">
        <f t="shared" si="6"/>
        <v>0</v>
      </c>
      <c r="H10" s="84">
        <f>(C10*'Dane dla CWU'!$AB$53+'Dane dla CWU'!$AD$53)/(C10*'Dane dla CO'!$P$35+'Dane dla CO'!$Q$35)</f>
        <v>1.5876356154133928</v>
      </c>
      <c r="I10" s="84">
        <f t="shared" si="7"/>
        <v>10.319026666666666</v>
      </c>
      <c r="J10" s="84">
        <f>IF(C10&lt;'Dane dla CWU'!$Z$67,0,IF(H10&gt;1,I10,H10*I10))</f>
        <v>0</v>
      </c>
      <c r="K10" s="84">
        <f t="shared" si="8"/>
        <v>10.319026666666666</v>
      </c>
      <c r="M10">
        <v>8</v>
      </c>
      <c r="N10">
        <v>-11</v>
      </c>
      <c r="O10">
        <f>(N10*'Dane dla CO'!$AB$53+'Dane dla CO'!$AD$53)/(N10*'Dane dla CO'!$P$35+'Dane dla CO'!$Q$35)</f>
        <v>0.60660018993352327</v>
      </c>
      <c r="P10">
        <f>N10*'Dane dla CO'!$N$96+'Dane dla CO'!$N$97</f>
        <v>194.40000000000003</v>
      </c>
      <c r="Q10">
        <f>IF(N10&lt;'Dane dla CO'!$Z$67,0,IF(O10&gt;1,P10,O10*P10))</f>
        <v>0</v>
      </c>
      <c r="R10">
        <f t="shared" si="9"/>
        <v>194.40000000000003</v>
      </c>
      <c r="S10" s="84">
        <f>(N10*'Dane dla CWU'!$AB$53+'Dane dla CWU'!$AD$53)/(N10*'Dane dla CO'!$P$35+'Dane dla CO'!$Q$35)</f>
        <v>0.40163026274137387</v>
      </c>
      <c r="T10" s="84">
        <f t="shared" si="10"/>
        <v>10.319026666666666</v>
      </c>
      <c r="U10" s="84">
        <f>IF(N10&lt;'Dane dla CWU'!$Z$67,0,IF(S10&gt;1,T10,S10*T10))</f>
        <v>0</v>
      </c>
      <c r="V10" s="84">
        <f t="shared" si="11"/>
        <v>10.319026666666666</v>
      </c>
      <c r="X10">
        <v>8</v>
      </c>
      <c r="Y10">
        <v>0</v>
      </c>
      <c r="Z10">
        <f>(Y10*'Dane dla CO'!$AB$53+'Dane dla CO'!$AD$53)/(Y10*'Dane dla CO'!$P$35+'Dane dla CO'!$Q$35)</f>
        <v>1.1306584362139918</v>
      </c>
      <c r="AA10">
        <f>Y10*'Dane dla CO'!$N$96+'Dane dla CO'!$N$97</f>
        <v>115.20000000000002</v>
      </c>
      <c r="AB10">
        <f>IF(Y10&lt;'Dane dla CO'!$Z$67,0,IF(Z10&gt;1,AA10,Z10*AA10))</f>
        <v>115.20000000000002</v>
      </c>
      <c r="AC10">
        <f t="shared" si="12"/>
        <v>0</v>
      </c>
      <c r="AD10" s="84">
        <f>(Y10*'Dane dla CWU'!$AB$53+'Dane dla CWU'!$AD$53)/(Y10*'Dane dla CO'!$P$35+'Dane dla CO'!$Q$35)</f>
        <v>1.0394375857338818</v>
      </c>
      <c r="AE10" s="84">
        <f t="shared" si="13"/>
        <v>10.319026666666666</v>
      </c>
      <c r="AF10" s="84">
        <f>IF(Y10&lt;'Dane dla CWU'!$Z$67,0,IF(AD10&gt;1,AE10,AD10*AE10))</f>
        <v>0</v>
      </c>
      <c r="AG10" s="84">
        <f t="shared" si="14"/>
        <v>10.319026666666666</v>
      </c>
      <c r="AI10">
        <v>8</v>
      </c>
      <c r="AJ10">
        <v>2</v>
      </c>
      <c r="AK10">
        <f>(AJ10*'Dane dla CO'!$AB$53+'Dane dla CO'!$AD$53)/(AJ10*'Dane dla CO'!$P$35+'Dane dla CO'!$Q$35)</f>
        <v>1.321225071225071</v>
      </c>
      <c r="AL10">
        <f>AJ10*'Dane dla CO'!$N$96+'Dane dla CO'!$N$97</f>
        <v>100.80000000000001</v>
      </c>
      <c r="AM10">
        <f>IF(AJ10&lt;'Dane dla CO'!$Z$67,0,IF(AK10&gt;1,AL10,AK10*AL10))</f>
        <v>100.80000000000001</v>
      </c>
      <c r="AN10">
        <f t="shared" si="15"/>
        <v>0</v>
      </c>
      <c r="AO10" s="84">
        <f>(AJ10*'Dane dla CWU'!$AB$53+'Dane dla CWU'!$AD$53)/(AJ10*'Dane dla CO'!$P$35+'Dane dla CO'!$Q$35)</f>
        <v>1.2713675213675213</v>
      </c>
      <c r="AP10" s="84">
        <f t="shared" si="16"/>
        <v>10.319026666666666</v>
      </c>
      <c r="AQ10" s="84">
        <f>IF(AJ10&lt;'Dane dla CWU'!$Z$67,0,IF(AO10&gt;1,AP10,AO10*AP10))</f>
        <v>0</v>
      </c>
      <c r="AR10" s="84">
        <f t="shared" si="17"/>
        <v>10.319026666666666</v>
      </c>
      <c r="AT10">
        <v>8</v>
      </c>
      <c r="AU10">
        <v>10</v>
      </c>
      <c r="BA10">
        <v>8</v>
      </c>
      <c r="BB10">
        <v>21</v>
      </c>
      <c r="BH10">
        <v>8</v>
      </c>
      <c r="BI10">
        <v>24</v>
      </c>
      <c r="BO10">
        <v>8</v>
      </c>
      <c r="BP10">
        <v>18</v>
      </c>
      <c r="BV10">
        <v>8</v>
      </c>
      <c r="BW10">
        <v>17</v>
      </c>
      <c r="CB10" s="84"/>
      <c r="CC10" s="84">
        <f t="shared" si="18"/>
        <v>10.319026666666666</v>
      </c>
      <c r="CD10" s="84">
        <f t="shared" si="19"/>
        <v>10.319026666666666</v>
      </c>
      <c r="CE10" s="84">
        <f t="shared" si="20"/>
        <v>0</v>
      </c>
      <c r="CG10">
        <v>8</v>
      </c>
      <c r="CH10">
        <v>8</v>
      </c>
      <c r="CI10">
        <f>(CH10*'Dane dla CO'!$AB$53+'Dane dla CO'!$AD$53)/(CH10*'Dane dla CO'!$P$35+'Dane dla CO'!$Q$35)</f>
        <v>2.5462962962962963</v>
      </c>
      <c r="CJ10">
        <f>CH10*'Dane dla CO'!$N$96+'Dane dla CO'!$N$97</f>
        <v>57.600000000000009</v>
      </c>
      <c r="CK10">
        <f>IF(CH10&lt;'Dane dla CO'!$Z$67,0,IF(CI10&gt;1,CJ10,CI10*CJ10))</f>
        <v>57.600000000000009</v>
      </c>
      <c r="CL10">
        <f t="shared" si="21"/>
        <v>0</v>
      </c>
      <c r="CM10" s="84">
        <f>(CH10*'Dane dla CWU'!$AB$53+'Dane dla CWU'!$AD$53)/(CH10*'Dane dla CO'!$P$35+'Dane dla CO'!$Q$35)</f>
        <v>2.7623456790123457</v>
      </c>
      <c r="CN10" s="84">
        <f t="shared" si="0"/>
        <v>10.319026666666666</v>
      </c>
      <c r="CO10" s="84">
        <f>IF(CH10&lt;'Dane dla CWU'!$Z$67,0,IF(CM10&gt;1,CN10,CM10*CN10))</f>
        <v>10.319026666666666</v>
      </c>
      <c r="CP10" s="84">
        <f t="shared" si="1"/>
        <v>0</v>
      </c>
      <c r="CR10">
        <v>8</v>
      </c>
      <c r="CS10">
        <v>8</v>
      </c>
      <c r="CT10">
        <f>(CS10*'Dane dla CO'!$AB$53+'Dane dla CO'!$AD$53)/(CS10*'Dane dla CO'!$P$35+'Dane dla CO'!$Q$35)</f>
        <v>2.5462962962962963</v>
      </c>
      <c r="CU10">
        <f>CS10*'Dane dla CO'!$N$96+'Dane dla CO'!$N$97</f>
        <v>57.600000000000009</v>
      </c>
      <c r="CV10">
        <f>IF(CS10&lt;'Dane dla CO'!$Z$67,0,IF(CT10&gt;1,CU10,CT10*CU10))</f>
        <v>57.600000000000009</v>
      </c>
      <c r="CW10">
        <f t="shared" si="22"/>
        <v>0</v>
      </c>
      <c r="CX10" s="84">
        <f>(CS10*'Dane dla CWU'!$AB$53+'Dane dla CWU'!$AD$53)/(CS10*'Dane dla CO'!$P$35+'Dane dla CO'!$Q$35)</f>
        <v>2.7623456790123457</v>
      </c>
      <c r="CY10" s="84">
        <f t="shared" si="2"/>
        <v>10.319026666666666</v>
      </c>
      <c r="CZ10" s="84">
        <f>IF(CS10&lt;'Dane dla CWU'!$Z$67,0,IF(CX10&gt;1,CY10,CX10*CY10))</f>
        <v>10.319026666666666</v>
      </c>
      <c r="DA10" s="84">
        <f t="shared" si="3"/>
        <v>0</v>
      </c>
      <c r="DC10">
        <v>8</v>
      </c>
      <c r="DD10">
        <v>-10</v>
      </c>
      <c r="DE10">
        <f>(DD10*'Dane dla CO'!$AB$53+'Dane dla CO'!$AD$53)/(DD10*'Dane dla CO'!$P$35+'Dane dla CO'!$Q$35)</f>
        <v>0.63518518518518519</v>
      </c>
      <c r="DF10">
        <f>DD10*'Dane dla CO'!$N$96+'Dane dla CO'!$N$97</f>
        <v>187.20000000000005</v>
      </c>
      <c r="DG10">
        <f>IF(DD10&lt;'Dane dla CO'!$Z$67,0,IF(DE10&gt;1,DF10,DE10*DF10))</f>
        <v>0</v>
      </c>
      <c r="DH10">
        <f t="shared" si="23"/>
        <v>187.20000000000005</v>
      </c>
      <c r="DI10" s="84">
        <f>(DD10*'Dane dla CWU'!$AB$53+'Dane dla CWU'!$AD$53)/(DD10*'Dane dla CO'!$P$35+'Dane dla CO'!$Q$35)</f>
        <v>0.43641975308641973</v>
      </c>
      <c r="DJ10" s="84">
        <f t="shared" si="4"/>
        <v>10.319026666666666</v>
      </c>
      <c r="DK10" s="84">
        <f>IF(DD10&lt;'Dane dla CWU'!$Z$67,0,IF(DI10&gt;1,DJ10,DI10*DJ10))</f>
        <v>0</v>
      </c>
      <c r="DL10" s="84">
        <f t="shared" si="5"/>
        <v>10.319026666666666</v>
      </c>
      <c r="DM10" s="49">
        <v>-12</v>
      </c>
      <c r="DN10" s="94">
        <f>DO10*'Dane dla CO'!$N$80</f>
        <v>1057.9591836734696</v>
      </c>
      <c r="DO10" s="94">
        <f>(15-DS10)/35*'Dane dla CO'!$N$75</f>
        <v>9.257142857142858</v>
      </c>
      <c r="DP10" s="94">
        <f t="shared" si="24"/>
        <v>1057.9591836734696</v>
      </c>
      <c r="DQ10" s="51">
        <v>-12</v>
      </c>
      <c r="DR10" s="52">
        <v>0</v>
      </c>
      <c r="DS10" s="52">
        <v>-15</v>
      </c>
      <c r="DT10" s="89">
        <f>Wykresy!Y8</f>
        <v>52</v>
      </c>
      <c r="DU10" s="90">
        <f>Wykresy!AE8</f>
        <v>33.166666666666671</v>
      </c>
      <c r="DV10" s="92">
        <v>3</v>
      </c>
      <c r="DW10" s="92">
        <v>2.4</v>
      </c>
      <c r="DX10" s="92">
        <f>DV10/DW10</f>
        <v>1.25</v>
      </c>
      <c r="DY10" s="86">
        <v>5.2</v>
      </c>
      <c r="DZ10" s="86">
        <v>2.5299999999999998</v>
      </c>
      <c r="EA10" s="96">
        <f>DY10/DZ10</f>
        <v>2.0553359683794468</v>
      </c>
      <c r="EB10" s="85">
        <f>SUM($DR$5:$DR$10)</f>
        <v>2</v>
      </c>
      <c r="EC10" s="85">
        <f t="shared" ref="EC10:EC40" si="26">EB10*DX10/$DT$42</f>
        <v>1.1111111111111112E-2</v>
      </c>
      <c r="ED10" s="85">
        <f>(SUM(EC10:$EC$40))*$DT$42/(SUM(EB10:$EB$40))</f>
        <v>3.1527939222145251</v>
      </c>
      <c r="EE10" s="86">
        <f>SUM($DR$5:$DR$10)</f>
        <v>2</v>
      </c>
      <c r="EF10" s="86">
        <f t="shared" ref="EF10:EF40" si="27">EE10*EA10/$DT$42</f>
        <v>1.8269653052261747E-2</v>
      </c>
      <c r="EG10" s="86">
        <f>(SUM(EF10:$EF$40))*$DT$42/(SUM(EE10:$EE$40))</f>
        <v>4.1929246051923874</v>
      </c>
      <c r="EI10" s="52">
        <v>0</v>
      </c>
      <c r="EJ10" s="52">
        <f t="shared" si="25"/>
        <v>2</v>
      </c>
      <c r="EK10" s="52">
        <v>-15</v>
      </c>
      <c r="EL10" s="89">
        <v>55</v>
      </c>
      <c r="EM10" s="92">
        <v>2.8</v>
      </c>
      <c r="EN10" s="92">
        <v>2.4</v>
      </c>
      <c r="EO10" s="92">
        <f>EM10/EN10</f>
        <v>1.1666666666666667</v>
      </c>
      <c r="EP10" s="85">
        <f>SUM($DR$5:$DR$10)</f>
        <v>2</v>
      </c>
      <c r="EQ10" s="85">
        <f t="shared" ref="EQ10:EQ40" si="28">EP10*EO10/$DT$42</f>
        <v>1.0370370370370372E-2</v>
      </c>
      <c r="ER10" s="85">
        <f>(SUM(EQ10:$EQ$53))*$EL$54/(SUM(EP10:$EP$53))</f>
        <v>3.7625809520046682</v>
      </c>
      <c r="ES10">
        <f>(EM18-EM10)/8</f>
        <v>0.125</v>
      </c>
      <c r="ET10">
        <f>(EN18-EN10)/8</f>
        <v>1.0000000000000009E-2</v>
      </c>
      <c r="FF10" t="s">
        <v>194</v>
      </c>
      <c r="FG10" t="s">
        <v>193</v>
      </c>
      <c r="FI10" s="103">
        <f>FI4+FI7</f>
        <v>5165.1367673170507</v>
      </c>
    </row>
    <row r="11" spans="1:166">
      <c r="A11" s="162"/>
      <c r="B11">
        <v>9</v>
      </c>
      <c r="C11">
        <v>3</v>
      </c>
      <c r="D11" s="84">
        <f>(C11*'Dane dla CO'!$AB$53+'Dane dla CO'!$AD$53)/(C11*'Dane dla CO'!$P$35+'Dane dla CO'!$Q$35)</f>
        <v>1.4403292181069955</v>
      </c>
      <c r="E11" s="84">
        <f>C11*'Dane dla CO'!$N$96+'Dane dla CO'!$N$97</f>
        <v>93.600000000000023</v>
      </c>
      <c r="F11" s="84">
        <f>IF(C11&lt;'Dane dla CO'!$Z$67,0,IF(D11&gt;1,E11,D11*E11))</f>
        <v>93.600000000000023</v>
      </c>
      <c r="G11" s="84">
        <f t="shared" si="6"/>
        <v>0</v>
      </c>
      <c r="H11" s="84">
        <f>(C11*'Dane dla CWU'!$AB$53+'Dane dla CWU'!$AD$53)/(C11*'Dane dla CO'!$P$35+'Dane dla CO'!$Q$35)</f>
        <v>1.4163237311385457</v>
      </c>
      <c r="I11" s="84">
        <f t="shared" si="7"/>
        <v>10.319026666666666</v>
      </c>
      <c r="J11" s="84">
        <f>IF(C11&lt;'Dane dla CWU'!$Z$67,0,IF(H11&gt;1,I11,H11*I11))</f>
        <v>0</v>
      </c>
      <c r="K11" s="84">
        <f t="shared" si="8"/>
        <v>10.319026666666666</v>
      </c>
      <c r="M11">
        <v>9</v>
      </c>
      <c r="N11">
        <v>-10</v>
      </c>
      <c r="O11">
        <f>(N11*'Dane dla CO'!$AB$53+'Dane dla CO'!$AD$53)/(N11*'Dane dla CO'!$P$35+'Dane dla CO'!$Q$35)</f>
        <v>0.63518518518518519</v>
      </c>
      <c r="P11">
        <f>N11*'Dane dla CO'!$N$96+'Dane dla CO'!$N$97</f>
        <v>187.20000000000005</v>
      </c>
      <c r="Q11">
        <f>IF(N11&lt;'Dane dla CO'!$Z$67,0,IF(O11&gt;1,P11,O11*P11))</f>
        <v>0</v>
      </c>
      <c r="R11">
        <f t="shared" si="9"/>
        <v>187.20000000000005</v>
      </c>
      <c r="S11" s="84">
        <f>(N11*'Dane dla CWU'!$AB$53+'Dane dla CWU'!$AD$53)/(N11*'Dane dla CO'!$P$35+'Dane dla CO'!$Q$35)</f>
        <v>0.43641975308641973</v>
      </c>
      <c r="T11" s="84">
        <f t="shared" si="10"/>
        <v>10.319026666666666</v>
      </c>
      <c r="U11" s="84">
        <f>IF(N11&lt;'Dane dla CWU'!$Z$67,0,IF(S11&gt;1,T11,S11*T11))</f>
        <v>0</v>
      </c>
      <c r="V11" s="84">
        <f t="shared" si="11"/>
        <v>10.319026666666666</v>
      </c>
      <c r="X11">
        <v>9</v>
      </c>
      <c r="Y11">
        <v>3</v>
      </c>
      <c r="Z11">
        <f>(Y11*'Dane dla CO'!$AB$53+'Dane dla CO'!$AD$53)/(Y11*'Dane dla CO'!$P$35+'Dane dla CO'!$Q$35)</f>
        <v>1.4403292181069955</v>
      </c>
      <c r="AA11">
        <f>Y11*'Dane dla CO'!$N$96+'Dane dla CO'!$N$97</f>
        <v>93.600000000000023</v>
      </c>
      <c r="AB11">
        <f>IF(Y11&lt;'Dane dla CO'!$Z$67,0,IF(Z11&gt;1,AA11,Z11*AA11))</f>
        <v>93.600000000000023</v>
      </c>
      <c r="AC11">
        <f t="shared" si="12"/>
        <v>0</v>
      </c>
      <c r="AD11" s="84">
        <f>(Y11*'Dane dla CWU'!$AB$53+'Dane dla CWU'!$AD$53)/(Y11*'Dane dla CO'!$P$35+'Dane dla CO'!$Q$35)</f>
        <v>1.4163237311385457</v>
      </c>
      <c r="AE11" s="84">
        <f t="shared" si="13"/>
        <v>10.319026666666666</v>
      </c>
      <c r="AF11" s="84">
        <f>IF(Y11&lt;'Dane dla CWU'!$Z$67,0,IF(AD11&gt;1,AE11,AD11*AE11))</f>
        <v>0</v>
      </c>
      <c r="AG11" s="84">
        <f t="shared" si="14"/>
        <v>10.319026666666666</v>
      </c>
      <c r="AI11">
        <v>9</v>
      </c>
      <c r="AJ11">
        <v>2</v>
      </c>
      <c r="AK11">
        <f>(AJ11*'Dane dla CO'!$AB$53+'Dane dla CO'!$AD$53)/(AJ11*'Dane dla CO'!$P$35+'Dane dla CO'!$Q$35)</f>
        <v>1.321225071225071</v>
      </c>
      <c r="AL11">
        <f>AJ11*'Dane dla CO'!$N$96+'Dane dla CO'!$N$97</f>
        <v>100.80000000000001</v>
      </c>
      <c r="AM11">
        <f>IF(AJ11&lt;'Dane dla CO'!$Z$67,0,IF(AK11&gt;1,AL11,AK11*AL11))</f>
        <v>100.80000000000001</v>
      </c>
      <c r="AN11">
        <f t="shared" si="15"/>
        <v>0</v>
      </c>
      <c r="AO11" s="84">
        <f>(AJ11*'Dane dla CWU'!$AB$53+'Dane dla CWU'!$AD$53)/(AJ11*'Dane dla CO'!$P$35+'Dane dla CO'!$Q$35)</f>
        <v>1.2713675213675213</v>
      </c>
      <c r="AP11" s="84">
        <f t="shared" si="16"/>
        <v>10.319026666666666</v>
      </c>
      <c r="AQ11" s="84">
        <f>IF(AJ11&lt;'Dane dla CWU'!$Z$67,0,IF(AO11&gt;1,AP11,AO11*AP11))</f>
        <v>0</v>
      </c>
      <c r="AR11" s="84">
        <f t="shared" si="17"/>
        <v>10.319026666666666</v>
      </c>
      <c r="AT11">
        <v>9</v>
      </c>
      <c r="AU11">
        <v>12</v>
      </c>
      <c r="BA11">
        <v>9</v>
      </c>
      <c r="BB11">
        <v>20</v>
      </c>
      <c r="BH11">
        <v>9</v>
      </c>
      <c r="BI11">
        <v>23</v>
      </c>
      <c r="BO11">
        <v>9</v>
      </c>
      <c r="BP11">
        <v>19</v>
      </c>
      <c r="BV11">
        <v>9</v>
      </c>
      <c r="BW11">
        <v>17</v>
      </c>
      <c r="CB11" s="84"/>
      <c r="CC11" s="84">
        <f t="shared" si="18"/>
        <v>10.319026666666666</v>
      </c>
      <c r="CD11" s="84">
        <f t="shared" si="19"/>
        <v>10.319026666666666</v>
      </c>
      <c r="CE11" s="84">
        <f t="shared" si="20"/>
        <v>0</v>
      </c>
      <c r="CG11">
        <v>9</v>
      </c>
      <c r="CH11">
        <v>8</v>
      </c>
      <c r="CI11">
        <f>(CH11*'Dane dla CO'!$AB$53+'Dane dla CO'!$AD$53)/(CH11*'Dane dla CO'!$P$35+'Dane dla CO'!$Q$35)</f>
        <v>2.5462962962962963</v>
      </c>
      <c r="CJ11">
        <f>CH11*'Dane dla CO'!$N$96+'Dane dla CO'!$N$97</f>
        <v>57.600000000000009</v>
      </c>
      <c r="CK11">
        <f>IF(CH11&lt;'Dane dla CO'!$Z$67,0,IF(CI11&gt;1,CJ11,CI11*CJ11))</f>
        <v>57.600000000000009</v>
      </c>
      <c r="CL11">
        <f t="shared" si="21"/>
        <v>0</v>
      </c>
      <c r="CM11" s="84">
        <f>(CH11*'Dane dla CWU'!$AB$53+'Dane dla CWU'!$AD$53)/(CH11*'Dane dla CO'!$P$35+'Dane dla CO'!$Q$35)</f>
        <v>2.7623456790123457</v>
      </c>
      <c r="CN11" s="84">
        <f t="shared" si="0"/>
        <v>10.319026666666666</v>
      </c>
      <c r="CO11" s="84">
        <f>IF(CH11&lt;'Dane dla CWU'!$Z$67,0,IF(CM11&gt;1,CN11,CM11*CN11))</f>
        <v>10.319026666666666</v>
      </c>
      <c r="CP11" s="84">
        <f t="shared" si="1"/>
        <v>0</v>
      </c>
      <c r="CR11">
        <v>9</v>
      </c>
      <c r="CS11">
        <v>6</v>
      </c>
      <c r="CT11">
        <f>(CS11*'Dane dla CO'!$AB$53+'Dane dla CO'!$AD$53)/(CS11*'Dane dla CO'!$P$35+'Dane dla CO'!$Q$35)</f>
        <v>1.9564471879286691</v>
      </c>
      <c r="CU11">
        <f>CS11*'Dane dla CO'!$N$96+'Dane dla CO'!$N$97</f>
        <v>72.000000000000014</v>
      </c>
      <c r="CV11">
        <f>IF(CS11&lt;'Dane dla CO'!$Z$67,0,IF(CT11&gt;1,CU11,CT11*CU11))</f>
        <v>72.000000000000014</v>
      </c>
      <c r="CW11">
        <f t="shared" si="22"/>
        <v>0</v>
      </c>
      <c r="CX11" s="84">
        <f>(CS11*'Dane dla CWU'!$AB$53+'Dane dla CWU'!$AD$53)/(CS11*'Dane dla CO'!$P$35+'Dane dla CO'!$Q$35)</f>
        <v>2.0444673068129853</v>
      </c>
      <c r="CY11" s="84">
        <f t="shared" si="2"/>
        <v>10.319026666666666</v>
      </c>
      <c r="CZ11" s="84">
        <f>IF(CS11&lt;'Dane dla CWU'!$Z$67,0,IF(CX11&gt;1,CY11,CX11*CY11))</f>
        <v>0</v>
      </c>
      <c r="DA11" s="84">
        <f t="shared" si="3"/>
        <v>10.319026666666666</v>
      </c>
      <c r="DC11">
        <v>9</v>
      </c>
      <c r="DD11">
        <v>-11</v>
      </c>
      <c r="DE11">
        <f>(DD11*'Dane dla CO'!$AB$53+'Dane dla CO'!$AD$53)/(DD11*'Dane dla CO'!$P$35+'Dane dla CO'!$Q$35)</f>
        <v>0.60660018993352327</v>
      </c>
      <c r="DF11">
        <f>DD11*'Dane dla CO'!$N$96+'Dane dla CO'!$N$97</f>
        <v>194.40000000000003</v>
      </c>
      <c r="DG11">
        <f>IF(DD11&lt;'Dane dla CO'!$Z$67,0,IF(DE11&gt;1,DF11,DE11*DF11))</f>
        <v>0</v>
      </c>
      <c r="DH11">
        <f t="shared" si="23"/>
        <v>194.40000000000003</v>
      </c>
      <c r="DI11" s="84">
        <f>(DD11*'Dane dla CWU'!$AB$53+'Dane dla CWU'!$AD$53)/(DD11*'Dane dla CO'!$P$35+'Dane dla CO'!$Q$35)</f>
        <v>0.40163026274137387</v>
      </c>
      <c r="DJ11" s="84">
        <f t="shared" si="4"/>
        <v>10.319026666666666</v>
      </c>
      <c r="DK11" s="84">
        <f>IF(DD11&lt;'Dane dla CWU'!$Z$67,0,IF(DI11&gt;1,DJ11,DI11*DJ11))</f>
        <v>0</v>
      </c>
      <c r="DL11" s="84">
        <f t="shared" si="5"/>
        <v>10.319026666666666</v>
      </c>
      <c r="DM11" s="49">
        <v>-11</v>
      </c>
      <c r="DN11" s="94">
        <f>DO11*'Dane dla CO'!$N$80</f>
        <v>1022.6938775510206</v>
      </c>
      <c r="DO11" s="94">
        <f>(15-DS11)/35*'Dane dla CO'!$N$75</f>
        <v>8.9485714285714302</v>
      </c>
      <c r="DP11" s="94">
        <f t="shared" si="24"/>
        <v>340.89795918367355</v>
      </c>
      <c r="DQ11" s="51">
        <v>-11</v>
      </c>
      <c r="DR11" s="52">
        <v>3</v>
      </c>
      <c r="DS11" s="52">
        <v>-14</v>
      </c>
      <c r="DT11" s="89">
        <f>Wykresy!Y9</f>
        <v>51.4</v>
      </c>
      <c r="DU11" s="90">
        <f>Wykresy!AE9</f>
        <v>32.799999999999997</v>
      </c>
      <c r="DV11" s="92">
        <f>($DV$15-$DV$10)/5+$DV$10</f>
        <v>3.2199999999999998</v>
      </c>
      <c r="DW11" s="92">
        <v>2.41</v>
      </c>
      <c r="DX11" s="92">
        <f t="shared" ref="DX11:DX40" si="29">DV11/DW11</f>
        <v>1.3360995850622406</v>
      </c>
      <c r="DY11" s="86">
        <f>($DY$15-$DY$10)/5+$DY$10</f>
        <v>5.36</v>
      </c>
      <c r="DZ11" s="86">
        <v>2.5299999999999998</v>
      </c>
      <c r="EA11" s="96">
        <f t="shared" ref="EA11:EA40" si="30">DY11/DZ11</f>
        <v>2.1185770750988144</v>
      </c>
      <c r="EB11" s="85">
        <f>DR11</f>
        <v>3</v>
      </c>
      <c r="EC11" s="85">
        <f t="shared" si="26"/>
        <v>1.7814661134163207E-2</v>
      </c>
      <c r="ED11" s="85">
        <f>(SUM(EC11:$EC$40))*$DT$42/(SUM(EB11:$EB$40))</f>
        <v>3.1698593385572567</v>
      </c>
      <c r="EE11" s="86">
        <f>DR11</f>
        <v>3</v>
      </c>
      <c r="EF11" s="86">
        <f t="shared" si="27"/>
        <v>2.8247694334650859E-2</v>
      </c>
      <c r="EG11" s="86">
        <f>(SUM(EF11:$EF$40))*$DT$42/(SUM(EE11:$EE$40))</f>
        <v>4.2120958037288254</v>
      </c>
      <c r="EI11" s="52">
        <v>3</v>
      </c>
      <c r="EJ11" s="52">
        <f t="shared" si="25"/>
        <v>5</v>
      </c>
      <c r="EK11" s="52">
        <v>-14</v>
      </c>
      <c r="EL11" s="89">
        <v>55</v>
      </c>
      <c r="EM11" s="92">
        <f>EM10+ES10</f>
        <v>2.9249999999999998</v>
      </c>
      <c r="EN11" s="92">
        <f>EN10+ET10</f>
        <v>2.41</v>
      </c>
      <c r="EO11" s="92">
        <f t="shared" ref="EO11:EO40" si="31">EM11/EN11</f>
        <v>1.2136929460580912</v>
      </c>
      <c r="EP11" s="85">
        <f>EI11</f>
        <v>3</v>
      </c>
      <c r="EQ11" s="85">
        <f t="shared" si="28"/>
        <v>1.6182572614107882E-2</v>
      </c>
      <c r="ER11" s="85">
        <f>(SUM(EQ11:$EQ$53))*$EL$54/(SUM(EP11:$EP$53))</f>
        <v>3.7728271232916293</v>
      </c>
      <c r="FF11" t="s">
        <v>207</v>
      </c>
      <c r="FI11" s="103">
        <f>IF(FI10&lt;FI18,IF(FI10&lt;FI9,FI9-FI10,0),0)</f>
        <v>450.36843838274672</v>
      </c>
    </row>
    <row r="12" spans="1:166">
      <c r="A12" s="162"/>
      <c r="B12">
        <v>10</v>
      </c>
      <c r="C12">
        <v>3</v>
      </c>
      <c r="D12" s="84">
        <f>(C12*'Dane dla CO'!$AB$53+'Dane dla CO'!$AD$53)/(C12*'Dane dla CO'!$P$35+'Dane dla CO'!$Q$35)</f>
        <v>1.4403292181069955</v>
      </c>
      <c r="E12" s="84">
        <f>C12*'Dane dla CO'!$N$96+'Dane dla CO'!$N$97</f>
        <v>93.600000000000023</v>
      </c>
      <c r="F12" s="84">
        <f>IF(C12&lt;'Dane dla CO'!$Z$67,0,IF(D12&gt;1,E12,D12*E12))</f>
        <v>93.600000000000023</v>
      </c>
      <c r="G12" s="84">
        <f t="shared" si="6"/>
        <v>0</v>
      </c>
      <c r="H12" s="84">
        <f>(C12*'Dane dla CWU'!$AB$53+'Dane dla CWU'!$AD$53)/(C12*'Dane dla CO'!$P$35+'Dane dla CO'!$Q$35)</f>
        <v>1.4163237311385457</v>
      </c>
      <c r="I12" s="84">
        <f t="shared" si="7"/>
        <v>10.319026666666666</v>
      </c>
      <c r="J12" s="84">
        <f>IF(C12&lt;'Dane dla CWU'!$Z$67,0,IF(H12&gt;1,I12,H12*I12))</f>
        <v>0</v>
      </c>
      <c r="K12" s="84">
        <f t="shared" si="8"/>
        <v>10.319026666666666</v>
      </c>
      <c r="M12">
        <v>10</v>
      </c>
      <c r="N12">
        <v>-12</v>
      </c>
      <c r="O12">
        <f>(N12*'Dane dla CO'!$AB$53+'Dane dla CO'!$AD$53)/(N12*'Dane dla CO'!$P$35+'Dane dla CO'!$Q$35)</f>
        <v>0.58013260173754</v>
      </c>
      <c r="P12">
        <f>N12*'Dane dla CO'!$N$96+'Dane dla CO'!$N$97</f>
        <v>201.60000000000002</v>
      </c>
      <c r="Q12">
        <f>IF(N12&lt;'Dane dla CO'!$Z$67,0,IF(O12&gt;1,P12,O12*P12))</f>
        <v>0</v>
      </c>
      <c r="R12">
        <f t="shared" si="9"/>
        <v>201.60000000000002</v>
      </c>
      <c r="S12" s="84">
        <f>(N12*'Dane dla CWU'!$AB$53+'Dane dla CWU'!$AD$53)/(N12*'Dane dla CO'!$P$35+'Dane dla CO'!$Q$35)</f>
        <v>0.36941777168114609</v>
      </c>
      <c r="T12" s="84">
        <f t="shared" si="10"/>
        <v>10.319026666666666</v>
      </c>
      <c r="U12" s="84">
        <f>IF(N12&lt;'Dane dla CWU'!$Z$67,0,IF(S12&gt;1,T12,S12*T12))</f>
        <v>0</v>
      </c>
      <c r="V12" s="84">
        <f t="shared" si="11"/>
        <v>10.319026666666666</v>
      </c>
      <c r="X12">
        <v>10</v>
      </c>
      <c r="Y12">
        <v>4</v>
      </c>
      <c r="Z12">
        <f>(Y12*'Dane dla CO'!$AB$53+'Dane dla CO'!$AD$53)/(Y12*'Dane dla CO'!$P$35+'Dane dla CO'!$Q$35)</f>
        <v>1.5810886644219975</v>
      </c>
      <c r="AA12">
        <f>Y12*'Dane dla CO'!$N$96+'Dane dla CO'!$N$97</f>
        <v>86.4</v>
      </c>
      <c r="AB12">
        <f>IF(Y12&lt;'Dane dla CO'!$Z$67,0,IF(Z12&gt;1,AA12,Z12*AA12))</f>
        <v>86.4</v>
      </c>
      <c r="AC12">
        <f t="shared" si="12"/>
        <v>0</v>
      </c>
      <c r="AD12" s="84">
        <f>(Y12*'Dane dla CWU'!$AB$53+'Dane dla CWU'!$AD$53)/(Y12*'Dane dla CO'!$P$35+'Dane dla CO'!$Q$35)</f>
        <v>1.5876356154133928</v>
      </c>
      <c r="AE12" s="84">
        <f t="shared" si="13"/>
        <v>10.319026666666666</v>
      </c>
      <c r="AF12" s="84">
        <f>IF(Y12&lt;'Dane dla CWU'!$Z$67,0,IF(AD12&gt;1,AE12,AD12*AE12))</f>
        <v>0</v>
      </c>
      <c r="AG12" s="84">
        <f t="shared" si="14"/>
        <v>10.319026666666666</v>
      </c>
      <c r="AI12">
        <v>10</v>
      </c>
      <c r="AJ12">
        <v>6</v>
      </c>
      <c r="AK12">
        <f>(AJ12*'Dane dla CO'!$AB$53+'Dane dla CO'!$AD$53)/(AJ12*'Dane dla CO'!$P$35+'Dane dla CO'!$Q$35)</f>
        <v>1.9564471879286691</v>
      </c>
      <c r="AL12">
        <f>AJ12*'Dane dla CO'!$N$96+'Dane dla CO'!$N$97</f>
        <v>72.000000000000014</v>
      </c>
      <c r="AM12">
        <f>IF(AJ12&lt;'Dane dla CO'!$Z$67,0,IF(AK12&gt;1,AL12,AK12*AL12))</f>
        <v>72.000000000000014</v>
      </c>
      <c r="AN12">
        <f t="shared" si="15"/>
        <v>0</v>
      </c>
      <c r="AO12" s="84">
        <f>(AJ12*'Dane dla CWU'!$AB$53+'Dane dla CWU'!$AD$53)/(AJ12*'Dane dla CO'!$P$35+'Dane dla CO'!$Q$35)</f>
        <v>2.0444673068129853</v>
      </c>
      <c r="AP12" s="84">
        <f t="shared" si="16"/>
        <v>10.319026666666666</v>
      </c>
      <c r="AQ12" s="84">
        <f>IF(AJ12&lt;'Dane dla CWU'!$Z$67,0,IF(AO12&gt;1,AP12,AO12*AP12))</f>
        <v>0</v>
      </c>
      <c r="AR12" s="84">
        <f t="shared" si="17"/>
        <v>10.319026666666666</v>
      </c>
      <c r="AT12">
        <v>10</v>
      </c>
      <c r="AU12">
        <v>18</v>
      </c>
      <c r="BA12">
        <v>10</v>
      </c>
      <c r="BB12">
        <v>20</v>
      </c>
      <c r="BH12">
        <v>10</v>
      </c>
      <c r="BI12">
        <v>23</v>
      </c>
      <c r="BO12">
        <v>10</v>
      </c>
      <c r="BP12">
        <v>17</v>
      </c>
      <c r="BV12">
        <v>10</v>
      </c>
      <c r="BW12">
        <v>17</v>
      </c>
      <c r="CB12" s="84"/>
      <c r="CC12" s="84">
        <f t="shared" si="18"/>
        <v>10.319026666666666</v>
      </c>
      <c r="CD12" s="84">
        <f t="shared" si="19"/>
        <v>10.319026666666666</v>
      </c>
      <c r="CE12" s="84">
        <f t="shared" si="20"/>
        <v>0</v>
      </c>
      <c r="CG12">
        <v>10</v>
      </c>
      <c r="CH12">
        <v>8</v>
      </c>
      <c r="CI12">
        <f>(CH12*'Dane dla CO'!$AB$53+'Dane dla CO'!$AD$53)/(CH12*'Dane dla CO'!$P$35+'Dane dla CO'!$Q$35)</f>
        <v>2.5462962962962963</v>
      </c>
      <c r="CJ12">
        <f>CH12*'Dane dla CO'!$N$96+'Dane dla CO'!$N$97</f>
        <v>57.600000000000009</v>
      </c>
      <c r="CK12">
        <f>IF(CH12&lt;'Dane dla CO'!$Z$67,0,IF(CI12&gt;1,CJ12,CI12*CJ12))</f>
        <v>57.600000000000009</v>
      </c>
      <c r="CL12">
        <f t="shared" si="21"/>
        <v>0</v>
      </c>
      <c r="CM12" s="84">
        <f>(CH12*'Dane dla CWU'!$AB$53+'Dane dla CWU'!$AD$53)/(CH12*'Dane dla CO'!$P$35+'Dane dla CO'!$Q$35)</f>
        <v>2.7623456790123457</v>
      </c>
      <c r="CN12" s="84">
        <f t="shared" si="0"/>
        <v>10.319026666666666</v>
      </c>
      <c r="CO12" s="84">
        <f>IF(CH12&lt;'Dane dla CWU'!$Z$67,0,IF(CM12&gt;1,CN12,CM12*CN12))</f>
        <v>10.319026666666666</v>
      </c>
      <c r="CP12" s="84">
        <f t="shared" si="1"/>
        <v>0</v>
      </c>
      <c r="CR12">
        <v>10</v>
      </c>
      <c r="CS12">
        <v>5</v>
      </c>
      <c r="CT12">
        <f>(CS12*'Dane dla CO'!$AB$53+'Dane dla CO'!$AD$53)/(CS12*'Dane dla CO'!$P$35+'Dane dla CO'!$Q$35)</f>
        <v>1.75</v>
      </c>
      <c r="CU12">
        <f>CS12*'Dane dla CO'!$N$96+'Dane dla CO'!$N$97</f>
        <v>79.200000000000017</v>
      </c>
      <c r="CV12">
        <f>IF(CS12&lt;'Dane dla CO'!$Z$67,0,IF(CT12&gt;1,CU12,CT12*CU12))</f>
        <v>79.200000000000017</v>
      </c>
      <c r="CW12">
        <f t="shared" si="22"/>
        <v>0</v>
      </c>
      <c r="CX12" s="84">
        <f>(CS12*'Dane dla CWU'!$AB$53+'Dane dla CWU'!$AD$53)/(CS12*'Dane dla CO'!$P$35+'Dane dla CO'!$Q$35)</f>
        <v>1.7932098765432098</v>
      </c>
      <c r="CY12" s="84">
        <f t="shared" si="2"/>
        <v>10.319026666666666</v>
      </c>
      <c r="CZ12" s="84">
        <f>IF(CS12&lt;'Dane dla CWU'!$Z$67,0,IF(CX12&gt;1,CY12,CX12*CY12))</f>
        <v>0</v>
      </c>
      <c r="DA12" s="84">
        <f t="shared" si="3"/>
        <v>10.319026666666666</v>
      </c>
      <c r="DC12">
        <v>10</v>
      </c>
      <c r="DD12">
        <v>-6</v>
      </c>
      <c r="DE12">
        <f>(DD12*'Dane dla CO'!$AB$53+'Dane dla CO'!$AD$53)/(DD12*'Dane dla CO'!$P$35+'Dane dla CO'!$Q$35)</f>
        <v>0.77674897119341557</v>
      </c>
      <c r="DF12">
        <f>DD12*'Dane dla CO'!$N$96+'Dane dla CO'!$N$97</f>
        <v>158.40000000000003</v>
      </c>
      <c r="DG12">
        <f>IF(DD12&lt;'Dane dla CO'!$Z$67,0,IF(DE12&gt;1,DF12,DE12*DF12))</f>
        <v>0</v>
      </c>
      <c r="DH12">
        <f t="shared" si="23"/>
        <v>158.40000000000003</v>
      </c>
      <c r="DI12" s="84">
        <f>(DD12*'Dane dla CWU'!$AB$53+'Dane dla CWU'!$AD$53)/(DD12*'Dane dla CO'!$P$35+'Dane dla CO'!$Q$35)</f>
        <v>0.60871056241426602</v>
      </c>
      <c r="DJ12" s="84">
        <f t="shared" si="4"/>
        <v>10.319026666666666</v>
      </c>
      <c r="DK12" s="84">
        <f>IF(DD12&lt;'Dane dla CWU'!$Z$67,0,IF(DI12&gt;1,DJ12,DI12*DJ12))</f>
        <v>0</v>
      </c>
      <c r="DL12" s="84">
        <f t="shared" si="5"/>
        <v>10.319026666666666</v>
      </c>
      <c r="DM12" s="49">
        <v>-11</v>
      </c>
      <c r="DN12" s="94">
        <f>DO12*'Dane dla CO'!$N$80</f>
        <v>987.42857142857156</v>
      </c>
      <c r="DO12" s="94">
        <f>(15-DS12)/35*'Dane dla CO'!$N$75</f>
        <v>8.64</v>
      </c>
      <c r="DP12" s="94">
        <f t="shared" si="24"/>
        <v>987.42857142857156</v>
      </c>
      <c r="DQ12" s="51">
        <v>-11</v>
      </c>
      <c r="DR12" s="52">
        <v>1</v>
      </c>
      <c r="DS12" s="52">
        <v>-13</v>
      </c>
      <c r="DT12" s="89">
        <f>Wykresy!Y10</f>
        <v>50.8</v>
      </c>
      <c r="DU12" s="90">
        <f>Wykresy!AE10</f>
        <v>32.433333333333337</v>
      </c>
      <c r="DV12" s="92">
        <f>(($DV$15-$DV$10)/5)*2+$DV$10</f>
        <v>3.44</v>
      </c>
      <c r="DW12" s="92">
        <v>2.42</v>
      </c>
      <c r="DX12" s="92">
        <f t="shared" si="29"/>
        <v>1.4214876033057851</v>
      </c>
      <c r="DY12" s="86">
        <f>(($DY$15-$DY$10)/5)*2+$DY$10</f>
        <v>5.5200000000000005</v>
      </c>
      <c r="DZ12" s="86">
        <v>2.5299999999999998</v>
      </c>
      <c r="EA12" s="96">
        <f t="shared" si="30"/>
        <v>2.1818181818181821</v>
      </c>
      <c r="EB12" s="85">
        <f t="shared" ref="EB12:EB40" si="32">DR12</f>
        <v>1</v>
      </c>
      <c r="EC12" s="85">
        <f t="shared" si="26"/>
        <v>6.3177226813590443E-3</v>
      </c>
      <c r="ED12" s="85">
        <f>(SUM(EC12:$EC$40))*$DT$42/(SUM(EB12:$EB$40))</f>
        <v>3.1948651533776431</v>
      </c>
      <c r="EE12" s="86">
        <f t="shared" ref="EE12:EE40" si="33">DR12</f>
        <v>1</v>
      </c>
      <c r="EF12" s="86">
        <f t="shared" si="27"/>
        <v>9.6969696969696987E-3</v>
      </c>
      <c r="EG12" s="86">
        <f>(SUM(EF12:$EF$40))*$DT$42/(SUM(EE12:$EE$40))</f>
        <v>4.2406437863919626</v>
      </c>
      <c r="EI12" s="52">
        <v>1</v>
      </c>
      <c r="EJ12" s="52">
        <f t="shared" si="25"/>
        <v>6</v>
      </c>
      <c r="EK12" s="52">
        <v>-13</v>
      </c>
      <c r="EL12" s="89">
        <v>55</v>
      </c>
      <c r="EM12" s="92">
        <f t="shared" ref="EM12:EM17" si="34">EM11+$ES$10</f>
        <v>3.05</v>
      </c>
      <c r="EN12" s="92">
        <f t="shared" ref="EN12:EN17" si="35">EN11+$ET$10</f>
        <v>2.42</v>
      </c>
      <c r="EO12" s="92">
        <f t="shared" si="31"/>
        <v>1.2603305785123966</v>
      </c>
      <c r="EP12" s="85">
        <f t="shared" ref="EP12:EP40" si="36">EI12</f>
        <v>1</v>
      </c>
      <c r="EQ12" s="85">
        <f t="shared" si="28"/>
        <v>5.6014692378328736E-3</v>
      </c>
      <c r="ER12" s="85">
        <f>(SUM(EQ12:$EQ$53))*$EL$54/(SUM(EP12:$EP$53))</f>
        <v>3.7877735493113285</v>
      </c>
    </row>
    <row r="13" spans="1:166">
      <c r="A13" s="162"/>
      <c r="B13">
        <v>11</v>
      </c>
      <c r="C13">
        <v>4</v>
      </c>
      <c r="D13" s="84">
        <f>(C13*'Dane dla CO'!$AB$53+'Dane dla CO'!$AD$53)/(C13*'Dane dla CO'!$P$35+'Dane dla CO'!$Q$35)</f>
        <v>1.5810886644219975</v>
      </c>
      <c r="E13" s="84">
        <f>C13*'Dane dla CO'!$N$96+'Dane dla CO'!$N$97</f>
        <v>86.4</v>
      </c>
      <c r="F13" s="84">
        <f>IF(C13&lt;'Dane dla CO'!$Z$67,0,IF(D13&gt;1,E13,D13*E13))</f>
        <v>86.4</v>
      </c>
      <c r="G13" s="84">
        <f t="shared" si="6"/>
        <v>0</v>
      </c>
      <c r="H13" s="84">
        <f>(C13*'Dane dla CWU'!$AB$53+'Dane dla CWU'!$AD$53)/(C13*'Dane dla CO'!$P$35+'Dane dla CO'!$Q$35)</f>
        <v>1.5876356154133928</v>
      </c>
      <c r="I13" s="84">
        <f t="shared" si="7"/>
        <v>10.319026666666666</v>
      </c>
      <c r="J13" s="84">
        <f>IF(C13&lt;'Dane dla CWU'!$Z$67,0,IF(H13&gt;1,I13,H13*I13))</f>
        <v>0</v>
      </c>
      <c r="K13" s="84">
        <f t="shared" si="8"/>
        <v>10.319026666666666</v>
      </c>
      <c r="M13">
        <v>11</v>
      </c>
      <c r="N13">
        <v>-14</v>
      </c>
      <c r="O13">
        <f>(N13*'Dane dla CO'!$AB$53+'Dane dla CO'!$AD$53)/(N13*'Dane dla CO'!$P$35+'Dane dla CO'!$Q$35)</f>
        <v>0.53267347807577692</v>
      </c>
      <c r="P13">
        <f>N13*'Dane dla CO'!$N$96+'Dane dla CO'!$N$97</f>
        <v>216.00000000000003</v>
      </c>
      <c r="Q13">
        <f>IF(N13&lt;'Dane dla CO'!$Z$67,0,IF(O13&gt;1,P13,O13*P13))</f>
        <v>0</v>
      </c>
      <c r="R13">
        <f t="shared" si="9"/>
        <v>216.00000000000003</v>
      </c>
      <c r="S13" s="84">
        <f>(N13*'Dane dla CWU'!$AB$53+'Dane dla CWU'!$AD$53)/(N13*'Dane dla CO'!$P$35+'Dane dla CO'!$Q$35)</f>
        <v>0.31165744288349645</v>
      </c>
      <c r="T13" s="84">
        <f t="shared" si="10"/>
        <v>10.319026666666666</v>
      </c>
      <c r="U13" s="84">
        <f>IF(N13&lt;'Dane dla CWU'!$Z$67,0,IF(S13&gt;1,T13,S13*T13))</f>
        <v>0</v>
      </c>
      <c r="V13" s="84">
        <f t="shared" si="11"/>
        <v>10.319026666666666</v>
      </c>
      <c r="X13">
        <v>11</v>
      </c>
      <c r="Y13">
        <v>6</v>
      </c>
      <c r="Z13">
        <f>(Y13*'Dane dla CO'!$AB$53+'Dane dla CO'!$AD$53)/(Y13*'Dane dla CO'!$P$35+'Dane dla CO'!$Q$35)</f>
        <v>1.9564471879286691</v>
      </c>
      <c r="AA13">
        <f>Y13*'Dane dla CO'!$N$96+'Dane dla CO'!$N$97</f>
        <v>72.000000000000014</v>
      </c>
      <c r="AB13">
        <f>IF(Y13&lt;'Dane dla CO'!$Z$67,0,IF(Z13&gt;1,AA13,Z13*AA13))</f>
        <v>72.000000000000014</v>
      </c>
      <c r="AC13">
        <f t="shared" si="12"/>
        <v>0</v>
      </c>
      <c r="AD13" s="84">
        <f>(Y13*'Dane dla CWU'!$AB$53+'Dane dla CWU'!$AD$53)/(Y13*'Dane dla CO'!$P$35+'Dane dla CO'!$Q$35)</f>
        <v>2.0444673068129853</v>
      </c>
      <c r="AE13" s="84">
        <f t="shared" si="13"/>
        <v>10.319026666666666</v>
      </c>
      <c r="AF13" s="84">
        <f>IF(Y13&lt;'Dane dla CWU'!$Z$67,0,IF(AD13&gt;1,AE13,AD13*AE13))</f>
        <v>0</v>
      </c>
      <c r="AG13" s="84">
        <f t="shared" si="14"/>
        <v>10.319026666666666</v>
      </c>
      <c r="AI13">
        <v>11</v>
      </c>
      <c r="AJ13">
        <v>11</v>
      </c>
      <c r="AK13">
        <f>(AJ13*'Dane dla CO'!$AB$53+'Dane dla CO'!$AD$53)/(AJ13*'Dane dla CO'!$P$35+'Dane dla CO'!$Q$35)</f>
        <v>4.5370370370370363</v>
      </c>
      <c r="AL13">
        <f>AJ13*'Dane dla CO'!$N$96+'Dane dla CO'!$N$97</f>
        <v>36</v>
      </c>
      <c r="AM13">
        <f>IF(AJ13&lt;'Dane dla CO'!$Z$67,0,IF(AK13&gt;1,AL13,AK13*AL13))</f>
        <v>36</v>
      </c>
      <c r="AN13">
        <f t="shared" si="15"/>
        <v>0</v>
      </c>
      <c r="AO13" s="84">
        <f>(AJ13*'Dane dla CWU'!$AB$53+'Dane dla CWU'!$AD$53)/(AJ13*'Dane dla CO'!$P$35+'Dane dla CO'!$Q$35)</f>
        <v>5.1851851851851842</v>
      </c>
      <c r="AP13" s="84">
        <f t="shared" si="16"/>
        <v>10.319026666666666</v>
      </c>
      <c r="AQ13" s="84">
        <f>IF(AJ13&lt;'Dane dla CWU'!$Z$67,0,IF(AO13&gt;1,AP13,AO13*AP13))</f>
        <v>10.319026666666666</v>
      </c>
      <c r="AR13" s="84">
        <f t="shared" si="17"/>
        <v>0</v>
      </c>
      <c r="AT13">
        <v>11</v>
      </c>
      <c r="AU13">
        <v>21</v>
      </c>
      <c r="BA13">
        <v>11</v>
      </c>
      <c r="BB13">
        <v>16</v>
      </c>
      <c r="BH13">
        <v>11</v>
      </c>
      <c r="BI13">
        <v>21</v>
      </c>
      <c r="BO13">
        <v>11</v>
      </c>
      <c r="BP13">
        <v>13</v>
      </c>
      <c r="BV13">
        <v>11</v>
      </c>
      <c r="BW13">
        <v>19</v>
      </c>
      <c r="CB13" s="84"/>
      <c r="CC13" s="84">
        <f t="shared" si="18"/>
        <v>10.319026666666666</v>
      </c>
      <c r="CD13" s="84">
        <f t="shared" si="19"/>
        <v>10.319026666666666</v>
      </c>
      <c r="CE13" s="84">
        <f t="shared" si="20"/>
        <v>0</v>
      </c>
      <c r="CG13">
        <v>11</v>
      </c>
      <c r="CH13">
        <v>7</v>
      </c>
      <c r="CI13">
        <f>(CH13*'Dane dla CO'!$AB$53+'Dane dla CO'!$AD$53)/(CH13*'Dane dla CO'!$P$35+'Dane dla CO'!$Q$35)</f>
        <v>2.2145061728395059</v>
      </c>
      <c r="CJ13">
        <f>CH13*'Dane dla CO'!$N$96+'Dane dla CO'!$N$97</f>
        <v>64.800000000000011</v>
      </c>
      <c r="CK13">
        <f>IF(CH13&lt;'Dane dla CO'!$Z$67,0,IF(CI13&gt;1,CJ13,CI13*CJ13))</f>
        <v>64.800000000000011</v>
      </c>
      <c r="CL13">
        <f t="shared" si="21"/>
        <v>0</v>
      </c>
      <c r="CM13" s="84">
        <f>(CH13*'Dane dla CWU'!$AB$53+'Dane dla CWU'!$AD$53)/(CH13*'Dane dla CO'!$P$35+'Dane dla CO'!$Q$35)</f>
        <v>2.3585390946502054</v>
      </c>
      <c r="CN13" s="84">
        <f t="shared" si="0"/>
        <v>10.319026666666666</v>
      </c>
      <c r="CO13" s="84">
        <f>IF(CH13&lt;'Dane dla CWU'!$Z$67,0,IF(CM13&gt;1,CN13,CM13*CN13))</f>
        <v>0</v>
      </c>
      <c r="CP13" s="84">
        <f t="shared" si="1"/>
        <v>10.319026666666666</v>
      </c>
      <c r="CR13">
        <v>11</v>
      </c>
      <c r="CS13">
        <v>11</v>
      </c>
      <c r="CT13">
        <f>(CS13*'Dane dla CO'!$AB$53+'Dane dla CO'!$AD$53)/(CS13*'Dane dla CO'!$P$35+'Dane dla CO'!$Q$35)</f>
        <v>4.5370370370370363</v>
      </c>
      <c r="CU13">
        <f>CS13*'Dane dla CO'!$N$96+'Dane dla CO'!$N$97</f>
        <v>36</v>
      </c>
      <c r="CV13">
        <f>IF(CS13&lt;'Dane dla CO'!$Z$67,0,IF(CT13&gt;1,CU13,CT13*CU13))</f>
        <v>36</v>
      </c>
      <c r="CW13">
        <f t="shared" si="22"/>
        <v>0</v>
      </c>
      <c r="CX13" s="84">
        <f>(CS13*'Dane dla CWU'!$AB$53+'Dane dla CWU'!$AD$53)/(CS13*'Dane dla CO'!$P$35+'Dane dla CO'!$Q$35)</f>
        <v>5.1851851851851842</v>
      </c>
      <c r="CY13" s="84">
        <f t="shared" si="2"/>
        <v>10.319026666666666</v>
      </c>
      <c r="CZ13" s="84">
        <f>IF(CS13&lt;'Dane dla CWU'!$Z$67,0,IF(CX13&gt;1,CY13,CX13*CY13))</f>
        <v>10.319026666666666</v>
      </c>
      <c r="DA13" s="84">
        <f t="shared" si="3"/>
        <v>0</v>
      </c>
      <c r="DC13">
        <v>11</v>
      </c>
      <c r="DD13">
        <v>-3</v>
      </c>
      <c r="DE13">
        <f>(DD13*'Dane dla CO'!$AB$53+'Dane dla CO'!$AD$53)/(DD13*'Dane dla CO'!$P$35+'Dane dla CO'!$Q$35)</f>
        <v>0.92421124828532231</v>
      </c>
      <c r="DF13">
        <f>DD13*'Dane dla CO'!$N$96+'Dane dla CO'!$N$97</f>
        <v>136.80000000000001</v>
      </c>
      <c r="DG13">
        <f>IF(DD13&lt;'Dane dla CO'!$Z$67,0,IF(DE13&gt;1,DF13,DE13*DF13))</f>
        <v>0</v>
      </c>
      <c r="DH13">
        <f t="shared" si="23"/>
        <v>136.80000000000001</v>
      </c>
      <c r="DI13" s="84">
        <f>(DD13*'Dane dla CWU'!$AB$53+'Dane dla CWU'!$AD$53)/(DD13*'Dane dla CO'!$P$35+'Dane dla CO'!$Q$35)</f>
        <v>0.78818015546410591</v>
      </c>
      <c r="DJ13" s="84">
        <f t="shared" si="4"/>
        <v>10.319026666666666</v>
      </c>
      <c r="DK13" s="84">
        <f>IF(DD13&lt;'Dane dla CWU'!$Z$67,0,IF(DI13&gt;1,DJ13,DI13*DJ13))</f>
        <v>0</v>
      </c>
      <c r="DL13" s="84">
        <f t="shared" si="5"/>
        <v>10.319026666666666</v>
      </c>
      <c r="DM13" s="49">
        <v>-11</v>
      </c>
      <c r="DN13" s="94">
        <f>DO13*'Dane dla CO'!$N$80</f>
        <v>952.16326530612264</v>
      </c>
      <c r="DO13" s="94">
        <f>(15-DS13)/35*'Dane dla CO'!$N$75</f>
        <v>8.3314285714285727</v>
      </c>
      <c r="DP13" s="94">
        <f t="shared" si="24"/>
        <v>317.3877551020409</v>
      </c>
      <c r="DQ13" s="51">
        <v>-11</v>
      </c>
      <c r="DR13" s="52">
        <v>3</v>
      </c>
      <c r="DS13" s="52">
        <v>-12</v>
      </c>
      <c r="DT13" s="89">
        <f>Wykresy!Y11</f>
        <v>50.2</v>
      </c>
      <c r="DU13" s="90">
        <f>Wykresy!AE11</f>
        <v>32.06666666666667</v>
      </c>
      <c r="DV13" s="92">
        <f>(($DV$15-$DV$10)/5)*3+$DV$10</f>
        <v>3.6599999999999997</v>
      </c>
      <c r="DW13" s="92">
        <v>2.4300000000000002</v>
      </c>
      <c r="DX13" s="92">
        <f t="shared" si="29"/>
        <v>1.5061728395061726</v>
      </c>
      <c r="DY13" s="86">
        <f>(($DY$15-$DY$10)/5)*3+$DY$10</f>
        <v>5.68</v>
      </c>
      <c r="DZ13" s="86">
        <v>2.5299999999999998</v>
      </c>
      <c r="EA13" s="96">
        <f t="shared" si="30"/>
        <v>2.2450592885375493</v>
      </c>
      <c r="EB13" s="85">
        <f t="shared" si="32"/>
        <v>3</v>
      </c>
      <c r="EC13" s="85">
        <f t="shared" si="26"/>
        <v>2.008230452674897E-2</v>
      </c>
      <c r="ED13" s="85">
        <f>(SUM(EC13:$EC$40))*$DT$42/(SUM(EB13:$EB$40))</f>
        <v>3.2029627677615329</v>
      </c>
      <c r="EE13" s="86">
        <f t="shared" si="33"/>
        <v>3</v>
      </c>
      <c r="EF13" s="86">
        <f t="shared" si="27"/>
        <v>2.9934123847167326E-2</v>
      </c>
      <c r="EG13" s="86">
        <f>(SUM(EF13:$EF$40))*$DT$42/(SUM(EE13:$EE$40))</f>
        <v>4.2500448165498339</v>
      </c>
      <c r="EI13" s="52">
        <v>3</v>
      </c>
      <c r="EJ13" s="52">
        <f t="shared" si="25"/>
        <v>9</v>
      </c>
      <c r="EK13" s="52">
        <v>-12</v>
      </c>
      <c r="EL13" s="89">
        <v>55</v>
      </c>
      <c r="EM13" s="92">
        <f t="shared" si="34"/>
        <v>3.1749999999999998</v>
      </c>
      <c r="EN13" s="92">
        <f t="shared" si="35"/>
        <v>2.4299999999999997</v>
      </c>
      <c r="EO13" s="92">
        <f t="shared" si="31"/>
        <v>1.3065843621399178</v>
      </c>
      <c r="EP13" s="85">
        <f t="shared" si="36"/>
        <v>3</v>
      </c>
      <c r="EQ13" s="85">
        <f t="shared" si="28"/>
        <v>1.7421124828532236E-2</v>
      </c>
      <c r="ER13" s="85">
        <f>(SUM(EQ13:$EQ$53))*$EL$54/(SUM(EP13:$EP$53))</f>
        <v>3.7926003154453962</v>
      </c>
      <c r="FB13" s="84"/>
      <c r="FI13" s="103">
        <f>Dobór!P29</f>
        <v>6373.6565901788554</v>
      </c>
    </row>
    <row r="14" spans="1:166">
      <c r="A14" s="162"/>
      <c r="B14">
        <v>12</v>
      </c>
      <c r="C14">
        <v>6</v>
      </c>
      <c r="D14" s="84">
        <f>(C14*'Dane dla CO'!$AB$53+'Dane dla CO'!$AD$53)/(C14*'Dane dla CO'!$P$35+'Dane dla CO'!$Q$35)</f>
        <v>1.9564471879286691</v>
      </c>
      <c r="E14" s="84">
        <f>C14*'Dane dla CO'!$N$96+'Dane dla CO'!$N$97</f>
        <v>72.000000000000014</v>
      </c>
      <c r="F14" s="84">
        <f>IF(C14&lt;'Dane dla CO'!$Z$67,0,IF(D14&gt;1,E14,D14*E14))</f>
        <v>72.000000000000014</v>
      </c>
      <c r="G14" s="84">
        <f t="shared" si="6"/>
        <v>0</v>
      </c>
      <c r="H14" s="84">
        <f>(C14*'Dane dla CWU'!$AB$53+'Dane dla CWU'!$AD$53)/(C14*'Dane dla CO'!$P$35+'Dane dla CO'!$Q$35)</f>
        <v>2.0444673068129853</v>
      </c>
      <c r="I14" s="84">
        <f t="shared" si="7"/>
        <v>10.319026666666666</v>
      </c>
      <c r="J14" s="84">
        <f>IF(C14&lt;'Dane dla CWU'!$Z$67,0,IF(H14&gt;1,I14,H14*I14))</f>
        <v>0</v>
      </c>
      <c r="K14" s="84">
        <f t="shared" si="8"/>
        <v>10.319026666666666</v>
      </c>
      <c r="M14">
        <v>12</v>
      </c>
      <c r="N14">
        <v>-13</v>
      </c>
      <c r="O14">
        <f>(N14*'Dane dla CO'!$AB$53+'Dane dla CO'!$AD$53)/(N14*'Dane dla CO'!$P$35+'Dane dla CO'!$Q$35)</f>
        <v>0.55555555555555558</v>
      </c>
      <c r="P14">
        <f>N14*'Dane dla CO'!$N$96+'Dane dla CO'!$N$97</f>
        <v>208.8</v>
      </c>
      <c r="Q14">
        <f>IF(N14&lt;'Dane dla CO'!$Z$67,0,IF(O14&gt;1,P14,O14*P14))</f>
        <v>0</v>
      </c>
      <c r="R14">
        <f t="shared" si="9"/>
        <v>208.8</v>
      </c>
      <c r="S14" s="84">
        <f>(N14*'Dane dla CWU'!$AB$53+'Dane dla CWU'!$AD$53)/(N14*'Dane dla CO'!$P$35+'Dane dla CO'!$Q$35)</f>
        <v>0.33950617283950618</v>
      </c>
      <c r="T14" s="84">
        <f t="shared" si="10"/>
        <v>10.319026666666666</v>
      </c>
      <c r="U14" s="84">
        <f>IF(N14&lt;'Dane dla CWU'!$Z$67,0,IF(S14&gt;1,T14,S14*T14))</f>
        <v>0</v>
      </c>
      <c r="V14" s="84">
        <f t="shared" si="11"/>
        <v>10.319026666666666</v>
      </c>
      <c r="X14">
        <v>12</v>
      </c>
      <c r="Y14">
        <v>3</v>
      </c>
      <c r="Z14">
        <f>(Y14*'Dane dla CO'!$AB$53+'Dane dla CO'!$AD$53)/(Y14*'Dane dla CO'!$P$35+'Dane dla CO'!$Q$35)</f>
        <v>1.4403292181069955</v>
      </c>
      <c r="AA14">
        <f>Y14*'Dane dla CO'!$N$96+'Dane dla CO'!$N$97</f>
        <v>93.600000000000023</v>
      </c>
      <c r="AB14">
        <f>IF(Y14&lt;'Dane dla CO'!$Z$67,0,IF(Z14&gt;1,AA14,Z14*AA14))</f>
        <v>93.600000000000023</v>
      </c>
      <c r="AC14">
        <f t="shared" si="12"/>
        <v>0</v>
      </c>
      <c r="AD14" s="84">
        <f>(Y14*'Dane dla CWU'!$AB$53+'Dane dla CWU'!$AD$53)/(Y14*'Dane dla CO'!$P$35+'Dane dla CO'!$Q$35)</f>
        <v>1.4163237311385457</v>
      </c>
      <c r="AE14" s="84">
        <f t="shared" si="13"/>
        <v>10.319026666666666</v>
      </c>
      <c r="AF14" s="84">
        <f>IF(Y14&lt;'Dane dla CWU'!$Z$67,0,IF(AD14&gt;1,AE14,AD14*AE14))</f>
        <v>0</v>
      </c>
      <c r="AG14" s="84">
        <f t="shared" si="14"/>
        <v>10.319026666666666</v>
      </c>
      <c r="AI14">
        <v>12</v>
      </c>
      <c r="AJ14">
        <v>13</v>
      </c>
      <c r="AK14">
        <f>(AJ14*'Dane dla CO'!$AB$53+'Dane dla CO'!$AD$53)/(AJ14*'Dane dla CO'!$P$35+'Dane dla CO'!$Q$35)</f>
        <v>9.1820987654320927</v>
      </c>
      <c r="AL14">
        <f>AJ14*'Dane dla CO'!$N$96+'Dane dla CO'!$N$97</f>
        <v>21.600000000000009</v>
      </c>
      <c r="AM14">
        <f>IF(AJ14&lt;'Dane dla CO'!$Z$67,0,IF(AK14&gt;1,AL14,AK14*AL14))</f>
        <v>21.600000000000009</v>
      </c>
      <c r="AN14">
        <f t="shared" si="15"/>
        <v>0</v>
      </c>
      <c r="AO14" s="84">
        <f>(AJ14*'Dane dla CWU'!$AB$53+'Dane dla CWU'!$AD$53)/(AJ14*'Dane dla CO'!$P$35+'Dane dla CO'!$Q$35)</f>
        <v>10.838477366255137</v>
      </c>
      <c r="AP14" s="84">
        <f t="shared" si="16"/>
        <v>10.319026666666666</v>
      </c>
      <c r="AQ14" s="84">
        <f>IF(AJ14&lt;'Dane dla CWU'!$Z$67,0,IF(AO14&gt;1,AP14,AO14*AP14))</f>
        <v>10.319026666666666</v>
      </c>
      <c r="AR14" s="84">
        <f t="shared" si="17"/>
        <v>0</v>
      </c>
      <c r="AT14">
        <v>12</v>
      </c>
      <c r="AU14">
        <v>14</v>
      </c>
      <c r="BA14">
        <v>12</v>
      </c>
      <c r="BB14">
        <v>16</v>
      </c>
      <c r="BH14">
        <v>12</v>
      </c>
      <c r="BI14">
        <v>19</v>
      </c>
      <c r="BO14">
        <v>12</v>
      </c>
      <c r="BP14">
        <v>13</v>
      </c>
      <c r="BV14">
        <v>12</v>
      </c>
      <c r="BW14">
        <v>19</v>
      </c>
      <c r="CB14" s="84"/>
      <c r="CC14" s="84">
        <f t="shared" si="18"/>
        <v>10.319026666666666</v>
      </c>
      <c r="CD14" s="84">
        <f t="shared" si="19"/>
        <v>10.319026666666666</v>
      </c>
      <c r="CE14" s="84">
        <f t="shared" si="20"/>
        <v>0</v>
      </c>
      <c r="CG14">
        <v>12</v>
      </c>
      <c r="CH14">
        <v>4</v>
      </c>
      <c r="CI14">
        <f>(CH14*'Dane dla CO'!$AB$53+'Dane dla CO'!$AD$53)/(CH14*'Dane dla CO'!$P$35+'Dane dla CO'!$Q$35)</f>
        <v>1.5810886644219975</v>
      </c>
      <c r="CJ14">
        <f>CH14*'Dane dla CO'!$N$96+'Dane dla CO'!$N$97</f>
        <v>86.4</v>
      </c>
      <c r="CK14">
        <f>IF(CH14&lt;'Dane dla CO'!$Z$67,0,IF(CI14&gt;1,CJ14,CI14*CJ14))</f>
        <v>86.4</v>
      </c>
      <c r="CL14">
        <f t="shared" si="21"/>
        <v>0</v>
      </c>
      <c r="CM14" s="84">
        <f>(CH14*'Dane dla CWU'!$AB$53+'Dane dla CWU'!$AD$53)/(CH14*'Dane dla CO'!$P$35+'Dane dla CO'!$Q$35)</f>
        <v>1.5876356154133928</v>
      </c>
      <c r="CN14" s="84">
        <f t="shared" si="0"/>
        <v>10.319026666666666</v>
      </c>
      <c r="CO14" s="84">
        <f>IF(CH14&lt;'Dane dla CWU'!$Z$67,0,IF(CM14&gt;1,CN14,CM14*CN14))</f>
        <v>0</v>
      </c>
      <c r="CP14" s="84">
        <f t="shared" si="1"/>
        <v>10.319026666666666</v>
      </c>
      <c r="CR14">
        <v>12</v>
      </c>
      <c r="CS14">
        <v>8</v>
      </c>
      <c r="CT14">
        <f>(CS14*'Dane dla CO'!$AB$53+'Dane dla CO'!$AD$53)/(CS14*'Dane dla CO'!$P$35+'Dane dla CO'!$Q$35)</f>
        <v>2.5462962962962963</v>
      </c>
      <c r="CU14">
        <f>CS14*'Dane dla CO'!$N$96+'Dane dla CO'!$N$97</f>
        <v>57.600000000000009</v>
      </c>
      <c r="CV14">
        <f>IF(CS14&lt;'Dane dla CO'!$Z$67,0,IF(CT14&gt;1,CU14,CT14*CU14))</f>
        <v>57.600000000000009</v>
      </c>
      <c r="CW14">
        <f t="shared" si="22"/>
        <v>0</v>
      </c>
      <c r="CX14" s="84">
        <f>(CS14*'Dane dla CWU'!$AB$53+'Dane dla CWU'!$AD$53)/(CS14*'Dane dla CO'!$P$35+'Dane dla CO'!$Q$35)</f>
        <v>2.7623456790123457</v>
      </c>
      <c r="CY14" s="84">
        <f t="shared" si="2"/>
        <v>10.319026666666666</v>
      </c>
      <c r="CZ14" s="84">
        <f>IF(CS14&lt;'Dane dla CWU'!$Z$67,0,IF(CX14&gt;1,CY14,CX14*CY14))</f>
        <v>10.319026666666666</v>
      </c>
      <c r="DA14" s="84">
        <f t="shared" si="3"/>
        <v>0</v>
      </c>
      <c r="DC14">
        <v>12</v>
      </c>
      <c r="DD14">
        <v>-2</v>
      </c>
      <c r="DE14">
        <f>(DD14*'Dane dla CO'!$AB$53+'Dane dla CO'!$AD$53)/(DD14*'Dane dla CO'!$P$35+'Dane dla CO'!$Q$35)</f>
        <v>0.98493100944081324</v>
      </c>
      <c r="DF14">
        <f>DD14*'Dane dla CO'!$N$96+'Dane dla CO'!$N$97</f>
        <v>129.60000000000002</v>
      </c>
      <c r="DG14">
        <f>IF(DD14&lt;'Dane dla CO'!$Z$67,0,IF(DE14&gt;1,DF14,DE14*DF14))</f>
        <v>127.64705882352942</v>
      </c>
      <c r="DH14">
        <f t="shared" si="23"/>
        <v>1.9529411764706026</v>
      </c>
      <c r="DI14" s="84">
        <f>(DD14*'Dane dla CWU'!$AB$53+'Dane dla CWU'!$AD$53)/(DD14*'Dane dla CO'!$P$35+'Dane dla CO'!$Q$35)</f>
        <v>0.86207939966109892</v>
      </c>
      <c r="DJ14" s="84">
        <f t="shared" si="4"/>
        <v>10.319026666666666</v>
      </c>
      <c r="DK14" s="84">
        <f>IF(DD14&lt;'Dane dla CWU'!$Z$67,0,IF(DI14&gt;1,DJ14,DI14*DJ14))</f>
        <v>0</v>
      </c>
      <c r="DL14" s="84">
        <f t="shared" si="5"/>
        <v>10.319026666666666</v>
      </c>
      <c r="DM14" s="49">
        <v>-11</v>
      </c>
      <c r="DN14" s="94">
        <f>DO14*'Dane dla CO'!$N$80</f>
        <v>916.89795918367361</v>
      </c>
      <c r="DO14" s="94">
        <f>(15-DS14)/35*'Dane dla CO'!$N$75</f>
        <v>8.0228571428571431</v>
      </c>
      <c r="DP14" s="94">
        <f t="shared" si="24"/>
        <v>229.2244897959184</v>
      </c>
      <c r="DQ14" s="51">
        <v>-11</v>
      </c>
      <c r="DR14" s="52">
        <v>4</v>
      </c>
      <c r="DS14" s="52">
        <v>-11</v>
      </c>
      <c r="DT14" s="89">
        <f>Wykresy!Y12</f>
        <v>49.6</v>
      </c>
      <c r="DU14" s="90">
        <f>Wykresy!AE12</f>
        <v>31.700000000000003</v>
      </c>
      <c r="DV14" s="92">
        <f>(($DV$15-$DV$10)/5)*4+$DV$10</f>
        <v>3.88</v>
      </c>
      <c r="DW14" s="92">
        <v>2.44</v>
      </c>
      <c r="DX14" s="92">
        <f t="shared" si="29"/>
        <v>1.5901639344262295</v>
      </c>
      <c r="DY14" s="86">
        <f>(($DY$15-$DY$10)/5)*4+$DY$10</f>
        <v>5.84</v>
      </c>
      <c r="DZ14" s="86">
        <v>2.5299999999999998</v>
      </c>
      <c r="EA14" s="96">
        <f t="shared" si="30"/>
        <v>2.308300395256917</v>
      </c>
      <c r="EB14" s="85">
        <f t="shared" si="32"/>
        <v>4</v>
      </c>
      <c r="EC14" s="85">
        <f t="shared" si="26"/>
        <v>2.8269581056466302E-2</v>
      </c>
      <c r="ED14" s="85">
        <f>(SUM(EC14:$EC$40))*$DT$42/(SUM(EB14:$EB$40))</f>
        <v>3.226529294542857</v>
      </c>
      <c r="EE14" s="86">
        <f t="shared" si="33"/>
        <v>4</v>
      </c>
      <c r="EF14" s="86">
        <f t="shared" si="27"/>
        <v>4.1036451471234081E-2</v>
      </c>
      <c r="EG14" s="86">
        <f>(SUM(EF14:$EF$40))*$DT$42/(SUM(EE14:$EE$40))</f>
        <v>4.277891837772227</v>
      </c>
      <c r="EI14" s="52">
        <v>4</v>
      </c>
      <c r="EJ14" s="52">
        <f t="shared" si="25"/>
        <v>13</v>
      </c>
      <c r="EK14" s="52">
        <v>-11</v>
      </c>
      <c r="EL14" s="89">
        <v>55</v>
      </c>
      <c r="EM14" s="92">
        <f t="shared" si="34"/>
        <v>3.3</v>
      </c>
      <c r="EN14" s="92">
        <f t="shared" si="35"/>
        <v>2.4399999999999995</v>
      </c>
      <c r="EO14" s="92">
        <f t="shared" si="31"/>
        <v>1.3524590163934429</v>
      </c>
      <c r="EP14" s="85">
        <f t="shared" si="36"/>
        <v>4</v>
      </c>
      <c r="EQ14" s="85">
        <f t="shared" si="28"/>
        <v>2.4043715846994541E-2</v>
      </c>
      <c r="ER14" s="85">
        <f>(SUM(EQ14:$EQ$53))*$EL$54/(SUM(EP14:$EP$53))</f>
        <v>3.8066105934820724</v>
      </c>
    </row>
    <row r="15" spans="1:166">
      <c r="A15" s="162"/>
      <c r="B15">
        <v>13</v>
      </c>
      <c r="C15">
        <v>2</v>
      </c>
      <c r="D15" s="84">
        <f>(C15*'Dane dla CO'!$AB$53+'Dane dla CO'!$AD$53)/(C15*'Dane dla CO'!$P$35+'Dane dla CO'!$Q$35)</f>
        <v>1.321225071225071</v>
      </c>
      <c r="E15" s="84">
        <f>C15*'Dane dla CO'!$N$96+'Dane dla CO'!$N$97</f>
        <v>100.80000000000001</v>
      </c>
      <c r="F15" s="84">
        <f>IF(C15&lt;'Dane dla CO'!$Z$67,0,IF(D15&gt;1,E15,D15*E15))</f>
        <v>100.80000000000001</v>
      </c>
      <c r="G15" s="84">
        <f t="shared" si="6"/>
        <v>0</v>
      </c>
      <c r="H15" s="84">
        <f>(C15*'Dane dla CWU'!$AB$53+'Dane dla CWU'!$AD$53)/(C15*'Dane dla CO'!$P$35+'Dane dla CO'!$Q$35)</f>
        <v>1.2713675213675213</v>
      </c>
      <c r="I15" s="84">
        <f t="shared" si="7"/>
        <v>10.319026666666666</v>
      </c>
      <c r="J15" s="84">
        <f>IF(C15&lt;'Dane dla CWU'!$Z$67,0,IF(H15&gt;1,I15,H15*I15))</f>
        <v>0</v>
      </c>
      <c r="K15" s="84">
        <f t="shared" si="8"/>
        <v>10.319026666666666</v>
      </c>
      <c r="M15">
        <v>13</v>
      </c>
      <c r="N15">
        <v>-7</v>
      </c>
      <c r="O15">
        <f>(N15*'Dane dla CO'!$AB$53+'Dane dla CO'!$AD$53)/(N15*'Dane dla CO'!$P$35+'Dane dla CO'!$Q$35)</f>
        <v>0.73653198653198648</v>
      </c>
      <c r="P15">
        <f>N15*'Dane dla CO'!$N$96+'Dane dla CO'!$N$97</f>
        <v>165.60000000000002</v>
      </c>
      <c r="Q15">
        <f>IF(N15&lt;'Dane dla CO'!$Z$67,0,IF(O15&gt;1,P15,O15*P15))</f>
        <v>0</v>
      </c>
      <c r="R15">
        <f t="shared" si="9"/>
        <v>165.60000000000002</v>
      </c>
      <c r="S15" s="84">
        <f>(N15*'Dane dla CWU'!$AB$53+'Dane dla CWU'!$AD$53)/(N15*'Dane dla CO'!$P$35+'Dane dla CO'!$Q$35)</f>
        <v>0.55976430976430969</v>
      </c>
      <c r="T15" s="84">
        <f t="shared" si="10"/>
        <v>10.319026666666666</v>
      </c>
      <c r="U15" s="84">
        <f>IF(N15&lt;'Dane dla CWU'!$Z$67,0,IF(S15&gt;1,T15,S15*T15))</f>
        <v>0</v>
      </c>
      <c r="V15" s="84">
        <f t="shared" si="11"/>
        <v>10.319026666666666</v>
      </c>
      <c r="X15">
        <v>13</v>
      </c>
      <c r="Y15">
        <v>7</v>
      </c>
      <c r="Z15">
        <f>(Y15*'Dane dla CO'!$AB$53+'Dane dla CO'!$AD$53)/(Y15*'Dane dla CO'!$P$35+'Dane dla CO'!$Q$35)</f>
        <v>2.2145061728395059</v>
      </c>
      <c r="AA15">
        <f>Y15*'Dane dla CO'!$N$96+'Dane dla CO'!$N$97</f>
        <v>64.800000000000011</v>
      </c>
      <c r="AB15">
        <f>IF(Y15&lt;'Dane dla CO'!$Z$67,0,IF(Z15&gt;1,AA15,Z15*AA15))</f>
        <v>64.800000000000011</v>
      </c>
      <c r="AC15">
        <f t="shared" si="12"/>
        <v>0</v>
      </c>
      <c r="AD15" s="84">
        <f>(Y15*'Dane dla CWU'!$AB$53+'Dane dla CWU'!$AD$53)/(Y15*'Dane dla CO'!$P$35+'Dane dla CO'!$Q$35)</f>
        <v>2.3585390946502054</v>
      </c>
      <c r="AE15" s="84">
        <f t="shared" si="13"/>
        <v>10.319026666666666</v>
      </c>
      <c r="AF15" s="84">
        <f>IF(Y15&lt;'Dane dla CWU'!$Z$67,0,IF(AD15&gt;1,AE15,AD15*AE15))</f>
        <v>0</v>
      </c>
      <c r="AG15" s="84">
        <f t="shared" si="14"/>
        <v>10.319026666666666</v>
      </c>
      <c r="AI15">
        <v>13</v>
      </c>
      <c r="AJ15">
        <v>11</v>
      </c>
      <c r="AK15">
        <f>(AJ15*'Dane dla CO'!$AB$53+'Dane dla CO'!$AD$53)/(AJ15*'Dane dla CO'!$P$35+'Dane dla CO'!$Q$35)</f>
        <v>4.5370370370370363</v>
      </c>
      <c r="AL15">
        <f>AJ15*'Dane dla CO'!$N$96+'Dane dla CO'!$N$97</f>
        <v>36</v>
      </c>
      <c r="AM15">
        <f>IF(AJ15&lt;'Dane dla CO'!$Z$67,0,IF(AK15&gt;1,AL15,AK15*AL15))</f>
        <v>36</v>
      </c>
      <c r="AN15">
        <f t="shared" si="15"/>
        <v>0</v>
      </c>
      <c r="AO15" s="84">
        <f>(AJ15*'Dane dla CWU'!$AB$53+'Dane dla CWU'!$AD$53)/(AJ15*'Dane dla CO'!$P$35+'Dane dla CO'!$Q$35)</f>
        <v>5.1851851851851842</v>
      </c>
      <c r="AP15" s="84">
        <f t="shared" si="16"/>
        <v>10.319026666666666</v>
      </c>
      <c r="AQ15" s="84">
        <f>IF(AJ15&lt;'Dane dla CWU'!$Z$67,0,IF(AO15&gt;1,AP15,AO15*AP15))</f>
        <v>10.319026666666666</v>
      </c>
      <c r="AR15" s="84">
        <f t="shared" si="17"/>
        <v>0</v>
      </c>
      <c r="AT15">
        <v>13</v>
      </c>
      <c r="AU15">
        <v>10</v>
      </c>
      <c r="BA15">
        <v>13</v>
      </c>
      <c r="BB15">
        <v>17</v>
      </c>
      <c r="BH15">
        <v>13</v>
      </c>
      <c r="BI15">
        <v>17</v>
      </c>
      <c r="BO15">
        <v>13</v>
      </c>
      <c r="BP15">
        <v>14</v>
      </c>
      <c r="BV15">
        <v>13</v>
      </c>
      <c r="BW15">
        <v>13</v>
      </c>
      <c r="BX15">
        <f>(BW15*'Dane dla CO'!$AB$53+'Dane dla CO'!$AD$53)/(BW15*'Dane dla CO'!$P$35+'Dane dla CO'!$Q$35)</f>
        <v>9.1820987654320927</v>
      </c>
      <c r="BY15">
        <f>BW15*'Dane dla CO'!$N$96+'Dane dla CO'!$N$97</f>
        <v>21.600000000000009</v>
      </c>
      <c r="BZ15">
        <f>IF(BW15&lt;'Dane dla CO'!$Z$67,0,IF(BX15&gt;1,BY15,BX15*BY15))</f>
        <v>21.600000000000009</v>
      </c>
      <c r="CA15">
        <f>BY15-BZ15</f>
        <v>0</v>
      </c>
      <c r="CB15" s="84">
        <f>(BW15*'Dane dla CWU'!$AB$53+'Dane dla CWU'!$AD$53)/(BW15*'Dane dla CO'!$P$35+'Dane dla CO'!$Q$35)</f>
        <v>10.838477366255137</v>
      </c>
      <c r="CC15" s="84">
        <f t="shared" si="18"/>
        <v>10.319026666666666</v>
      </c>
      <c r="CD15" s="84">
        <f>IF(BW15&lt;'Dane dla CWU'!$Z$67,0,IF(CB15&gt;1,CC15,CB15*CC15))</f>
        <v>10.319026666666666</v>
      </c>
      <c r="CE15" s="84">
        <f t="shared" si="20"/>
        <v>0</v>
      </c>
      <c r="CG15">
        <v>13</v>
      </c>
      <c r="CH15">
        <v>8</v>
      </c>
      <c r="CI15">
        <f>(CH15*'Dane dla CO'!$AB$53+'Dane dla CO'!$AD$53)/(CH15*'Dane dla CO'!$P$35+'Dane dla CO'!$Q$35)</f>
        <v>2.5462962962962963</v>
      </c>
      <c r="CJ15">
        <f>CH15*'Dane dla CO'!$N$96+'Dane dla CO'!$N$97</f>
        <v>57.600000000000009</v>
      </c>
      <c r="CK15">
        <f>IF(CH15&lt;'Dane dla CO'!$Z$67,0,IF(CI15&gt;1,CJ15,CI15*CJ15))</f>
        <v>57.600000000000009</v>
      </c>
      <c r="CL15">
        <f t="shared" si="21"/>
        <v>0</v>
      </c>
      <c r="CM15" s="84">
        <f>(CH15*'Dane dla CWU'!$AB$53+'Dane dla CWU'!$AD$53)/(CH15*'Dane dla CO'!$P$35+'Dane dla CO'!$Q$35)</f>
        <v>2.7623456790123457</v>
      </c>
      <c r="CN15" s="84">
        <f t="shared" si="0"/>
        <v>10.319026666666666</v>
      </c>
      <c r="CO15" s="84">
        <f>IF(CH15&lt;'Dane dla CWU'!$Z$67,0,IF(CM15&gt;1,CN15,CM15*CN15))</f>
        <v>10.319026666666666</v>
      </c>
      <c r="CP15" s="84">
        <f t="shared" si="1"/>
        <v>0</v>
      </c>
      <c r="CR15">
        <v>13</v>
      </c>
      <c r="CS15">
        <v>6</v>
      </c>
      <c r="CT15">
        <f>(CS15*'Dane dla CO'!$AB$53+'Dane dla CO'!$AD$53)/(CS15*'Dane dla CO'!$P$35+'Dane dla CO'!$Q$35)</f>
        <v>1.9564471879286691</v>
      </c>
      <c r="CU15">
        <f>CS15*'Dane dla CO'!$N$96+'Dane dla CO'!$N$97</f>
        <v>72.000000000000014</v>
      </c>
      <c r="CV15">
        <f>IF(CS15&lt;'Dane dla CO'!$Z$67,0,IF(CT15&gt;1,CU15,CT15*CU15))</f>
        <v>72.000000000000014</v>
      </c>
      <c r="CW15">
        <f t="shared" si="22"/>
        <v>0</v>
      </c>
      <c r="CX15" s="84">
        <f>(CS15*'Dane dla CWU'!$AB$53+'Dane dla CWU'!$AD$53)/(CS15*'Dane dla CO'!$P$35+'Dane dla CO'!$Q$35)</f>
        <v>2.0444673068129853</v>
      </c>
      <c r="CY15" s="84">
        <f t="shared" si="2"/>
        <v>10.319026666666666</v>
      </c>
      <c r="CZ15" s="84">
        <f>IF(CS15&lt;'Dane dla CWU'!$Z$67,0,IF(CX15&gt;1,CY15,CX15*CY15))</f>
        <v>0</v>
      </c>
      <c r="DA15" s="84">
        <f t="shared" si="3"/>
        <v>10.319026666666666</v>
      </c>
      <c r="DC15">
        <v>13</v>
      </c>
      <c r="DD15">
        <v>-6</v>
      </c>
      <c r="DE15">
        <f>(DD15*'Dane dla CO'!$AB$53+'Dane dla CO'!$AD$53)/(DD15*'Dane dla CO'!$P$35+'Dane dla CO'!$Q$35)</f>
        <v>0.77674897119341557</v>
      </c>
      <c r="DF15">
        <f>DD15*'Dane dla CO'!$N$96+'Dane dla CO'!$N$97</f>
        <v>158.40000000000003</v>
      </c>
      <c r="DG15">
        <f>IF(DD15&lt;'Dane dla CO'!$Z$67,0,IF(DE15&gt;1,DF15,DE15*DF15))</f>
        <v>0</v>
      </c>
      <c r="DH15">
        <f t="shared" si="23"/>
        <v>158.40000000000003</v>
      </c>
      <c r="DI15" s="84">
        <f>(DD15*'Dane dla CWU'!$AB$53+'Dane dla CWU'!$AD$53)/(DD15*'Dane dla CO'!$P$35+'Dane dla CO'!$Q$35)</f>
        <v>0.60871056241426602</v>
      </c>
      <c r="DJ15" s="84">
        <f t="shared" si="4"/>
        <v>10.319026666666666</v>
      </c>
      <c r="DK15" s="84">
        <f>IF(DD15&lt;'Dane dla CWU'!$Z$67,0,IF(DI15&gt;1,DJ15,DI15*DJ15))</f>
        <v>0</v>
      </c>
      <c r="DL15" s="84">
        <f t="shared" si="5"/>
        <v>10.319026666666666</v>
      </c>
      <c r="DM15" s="49">
        <v>-10</v>
      </c>
      <c r="DN15" s="94">
        <f>DO15*'Dane dla CO'!$N$80</f>
        <v>881.63265306122469</v>
      </c>
      <c r="DO15" s="94">
        <f>(15-DS15)/35*'Dane dla CO'!$N$75</f>
        <v>7.7142857142857153</v>
      </c>
      <c r="DP15" s="94">
        <f t="shared" si="24"/>
        <v>176.32653061224494</v>
      </c>
      <c r="DQ15" s="51">
        <v>-10</v>
      </c>
      <c r="DR15" s="52">
        <v>5</v>
      </c>
      <c r="DS15" s="52">
        <v>-10</v>
      </c>
      <c r="DT15" s="89">
        <f>Wykresy!Y13</f>
        <v>49</v>
      </c>
      <c r="DU15" s="90">
        <f>Wykresy!AE13</f>
        <v>31.333333333333336</v>
      </c>
      <c r="DV15" s="92">
        <v>4.0999999999999996</v>
      </c>
      <c r="DW15" s="92">
        <v>2.4500000000000002</v>
      </c>
      <c r="DX15" s="92">
        <f t="shared" si="29"/>
        <v>1.6734693877551017</v>
      </c>
      <c r="DY15" s="86">
        <v>6</v>
      </c>
      <c r="DZ15" s="86">
        <v>2.5299999999999998</v>
      </c>
      <c r="EA15" s="96">
        <f t="shared" si="30"/>
        <v>2.3715415019762847</v>
      </c>
      <c r="EB15" s="85">
        <f t="shared" si="32"/>
        <v>5</v>
      </c>
      <c r="EC15" s="85">
        <f t="shared" si="26"/>
        <v>3.7188208616780037E-2</v>
      </c>
      <c r="ED15" s="85">
        <f>(SUM(EC15:$EC$40))*$DT$42/(SUM(EB15:$EB$40))</f>
        <v>3.2574041126582651</v>
      </c>
      <c r="EE15" s="86">
        <f t="shared" si="33"/>
        <v>5</v>
      </c>
      <c r="EF15" s="86">
        <f t="shared" si="27"/>
        <v>5.2700922266139663E-2</v>
      </c>
      <c r="EG15" s="86">
        <f>(SUM(EF15:$EF$40))*$DT$42/(SUM(EE15:$EE$40))</f>
        <v>4.3150539404611941</v>
      </c>
      <c r="EI15" s="52">
        <v>5</v>
      </c>
      <c r="EJ15" s="52">
        <f t="shared" si="25"/>
        <v>18</v>
      </c>
      <c r="EK15" s="52">
        <v>-10</v>
      </c>
      <c r="EL15" s="89">
        <v>55</v>
      </c>
      <c r="EM15" s="92">
        <f t="shared" si="34"/>
        <v>3.4249999999999998</v>
      </c>
      <c r="EN15" s="92">
        <f t="shared" si="35"/>
        <v>2.4499999999999993</v>
      </c>
      <c r="EO15" s="92">
        <f t="shared" si="31"/>
        <v>1.3979591836734697</v>
      </c>
      <c r="EP15" s="85">
        <f t="shared" si="36"/>
        <v>5</v>
      </c>
      <c r="EQ15" s="85">
        <f t="shared" si="28"/>
        <v>3.1065759637188214E-2</v>
      </c>
      <c r="ER15" s="85">
        <f>(SUM(EQ15:$EQ$53))*$EL$54/(SUM(EP15:$EP$53))</f>
        <v>3.8248158126716714</v>
      </c>
    </row>
    <row r="16" spans="1:166">
      <c r="A16" s="162"/>
      <c r="B16">
        <v>14</v>
      </c>
      <c r="C16">
        <v>0</v>
      </c>
      <c r="D16" s="84">
        <f>(C16*'Dane dla CO'!$AB$53+'Dane dla CO'!$AD$53)/(C16*'Dane dla CO'!$P$35+'Dane dla CO'!$Q$35)</f>
        <v>1.1306584362139918</v>
      </c>
      <c r="E16" s="84">
        <f>C16*'Dane dla CO'!$N$96+'Dane dla CO'!$N$97</f>
        <v>115.20000000000002</v>
      </c>
      <c r="F16" s="84">
        <f>IF(C16&lt;'Dane dla CO'!$Z$67,0,IF(D16&gt;1,E16,D16*E16))</f>
        <v>115.20000000000002</v>
      </c>
      <c r="G16" s="84">
        <f t="shared" si="6"/>
        <v>0</v>
      </c>
      <c r="H16" s="84">
        <f>(C16*'Dane dla CWU'!$AB$53+'Dane dla CWU'!$AD$53)/(C16*'Dane dla CO'!$P$35+'Dane dla CO'!$Q$35)</f>
        <v>1.0394375857338818</v>
      </c>
      <c r="I16" s="84">
        <f t="shared" si="7"/>
        <v>10.319026666666666</v>
      </c>
      <c r="J16" s="84">
        <f>IF(C16&lt;'Dane dla CWU'!$Z$67,0,IF(H16&gt;1,I16,H16*I16))</f>
        <v>0</v>
      </c>
      <c r="K16" s="84">
        <f t="shared" si="8"/>
        <v>10.319026666666666</v>
      </c>
      <c r="M16">
        <v>14</v>
      </c>
      <c r="N16">
        <v>-3</v>
      </c>
      <c r="O16">
        <f>(N16*'Dane dla CO'!$AB$53+'Dane dla CO'!$AD$53)/(N16*'Dane dla CO'!$P$35+'Dane dla CO'!$Q$35)</f>
        <v>0.92421124828532231</v>
      </c>
      <c r="P16">
        <f>N16*'Dane dla CO'!$N$96+'Dane dla CO'!$N$97</f>
        <v>136.80000000000001</v>
      </c>
      <c r="Q16">
        <f>IF(N16&lt;'Dane dla CO'!$Z$67,0,IF(O16&gt;1,P16,O16*P16))</f>
        <v>0</v>
      </c>
      <c r="R16">
        <f t="shared" si="9"/>
        <v>136.80000000000001</v>
      </c>
      <c r="S16" s="84">
        <f>(N16*'Dane dla CWU'!$AB$53+'Dane dla CWU'!$AD$53)/(N16*'Dane dla CO'!$P$35+'Dane dla CO'!$Q$35)</f>
        <v>0.78818015546410591</v>
      </c>
      <c r="T16" s="84">
        <f t="shared" si="10"/>
        <v>10.319026666666666</v>
      </c>
      <c r="U16" s="84">
        <f>IF(N16&lt;'Dane dla CWU'!$Z$67,0,IF(S16&gt;1,T16,S16*T16))</f>
        <v>0</v>
      </c>
      <c r="V16" s="84">
        <f t="shared" si="11"/>
        <v>10.319026666666666</v>
      </c>
      <c r="X16">
        <v>14</v>
      </c>
      <c r="Y16">
        <v>6</v>
      </c>
      <c r="Z16">
        <f>(Y16*'Dane dla CO'!$AB$53+'Dane dla CO'!$AD$53)/(Y16*'Dane dla CO'!$P$35+'Dane dla CO'!$Q$35)</f>
        <v>1.9564471879286691</v>
      </c>
      <c r="AA16">
        <f>Y16*'Dane dla CO'!$N$96+'Dane dla CO'!$N$97</f>
        <v>72.000000000000014</v>
      </c>
      <c r="AB16">
        <f>IF(Y16&lt;'Dane dla CO'!$Z$67,0,IF(Z16&gt;1,AA16,Z16*AA16))</f>
        <v>72.000000000000014</v>
      </c>
      <c r="AC16">
        <f t="shared" si="12"/>
        <v>0</v>
      </c>
      <c r="AD16" s="84">
        <f>(Y16*'Dane dla CWU'!$AB$53+'Dane dla CWU'!$AD$53)/(Y16*'Dane dla CO'!$P$35+'Dane dla CO'!$Q$35)</f>
        <v>2.0444673068129853</v>
      </c>
      <c r="AE16" s="84">
        <f t="shared" si="13"/>
        <v>10.319026666666666</v>
      </c>
      <c r="AF16" s="84">
        <f>IF(Y16&lt;'Dane dla CWU'!$Z$67,0,IF(AD16&gt;1,AE16,AD16*AE16))</f>
        <v>0</v>
      </c>
      <c r="AG16" s="84">
        <f t="shared" si="14"/>
        <v>10.319026666666666</v>
      </c>
      <c r="AI16">
        <v>14</v>
      </c>
      <c r="AJ16">
        <v>10</v>
      </c>
      <c r="AK16">
        <f>(AJ16*'Dane dla CO'!$AB$53+'Dane dla CO'!$AD$53)/(AJ16*'Dane dla CO'!$P$35+'Dane dla CO'!$Q$35)</f>
        <v>3.6080246913580249</v>
      </c>
      <c r="AL16">
        <f>AJ16*'Dane dla CO'!$N$96+'Dane dla CO'!$N$97</f>
        <v>43.2</v>
      </c>
      <c r="AM16">
        <f>IF(AJ16&lt;'Dane dla CO'!$Z$67,0,IF(AK16&gt;1,AL16,AK16*AL16))</f>
        <v>43.2</v>
      </c>
      <c r="AN16">
        <f t="shared" si="15"/>
        <v>0</v>
      </c>
      <c r="AO16" s="84">
        <f>(AJ16*'Dane dla CWU'!$AB$53+'Dane dla CWU'!$AD$53)/(AJ16*'Dane dla CO'!$P$35+'Dane dla CO'!$Q$35)</f>
        <v>4.0545267489711936</v>
      </c>
      <c r="AP16" s="84">
        <f t="shared" si="16"/>
        <v>10.319026666666666</v>
      </c>
      <c r="AQ16" s="84">
        <f>IF(AJ16&lt;'Dane dla CWU'!$Z$67,0,IF(AO16&gt;1,AP16,AO16*AP16))</f>
        <v>10.319026666666666</v>
      </c>
      <c r="AR16" s="84">
        <f t="shared" si="17"/>
        <v>0</v>
      </c>
      <c r="AT16">
        <v>14</v>
      </c>
      <c r="AU16">
        <v>10</v>
      </c>
      <c r="BA16">
        <v>14</v>
      </c>
      <c r="BB16">
        <v>15</v>
      </c>
      <c r="BH16">
        <v>14</v>
      </c>
      <c r="BI16">
        <v>18</v>
      </c>
      <c r="BO16">
        <v>14</v>
      </c>
      <c r="BP16">
        <v>14</v>
      </c>
      <c r="BV16">
        <v>14</v>
      </c>
      <c r="BW16">
        <v>12</v>
      </c>
      <c r="BX16">
        <f>(BW16*'Dane dla CO'!$AB$53+'Dane dla CO'!$AD$53)/(BW16*'Dane dla CO'!$P$35+'Dane dla CO'!$Q$35)</f>
        <v>6.0853909465020575</v>
      </c>
      <c r="BY16">
        <f>BW16*'Dane dla CO'!$N$96+'Dane dla CO'!$N$97</f>
        <v>28.800000000000011</v>
      </c>
      <c r="BZ16">
        <f>IF(BW16&lt;'Dane dla CO'!$Z$67,0,IF(BX16&gt;1,BY16,BX16*BY16))</f>
        <v>28.800000000000011</v>
      </c>
      <c r="CA16">
        <f t="shared" ref="CA16:CA32" si="37">BY16-BZ16</f>
        <v>0</v>
      </c>
      <c r="CB16" s="84">
        <f>(BW16*'Dane dla CWU'!$AB$53+'Dane dla CWU'!$AD$53)/(BW16*'Dane dla CO'!$P$35+'Dane dla CO'!$Q$35)</f>
        <v>7.0696159122085049</v>
      </c>
      <c r="CC16" s="84">
        <f t="shared" si="18"/>
        <v>10.319026666666666</v>
      </c>
      <c r="CD16" s="84">
        <f>IF(BW16&lt;'Dane dla CWU'!$Z$67,0,IF(CB16&gt;1,CC16,CB16*CC16))</f>
        <v>10.319026666666666</v>
      </c>
      <c r="CE16" s="84">
        <f t="shared" si="20"/>
        <v>0</v>
      </c>
      <c r="CG16">
        <v>14</v>
      </c>
      <c r="CH16">
        <v>10</v>
      </c>
      <c r="CI16">
        <f>(CH16*'Dane dla CO'!$AB$53+'Dane dla CO'!$AD$53)/(CH16*'Dane dla CO'!$P$35+'Dane dla CO'!$Q$35)</f>
        <v>3.6080246913580249</v>
      </c>
      <c r="CJ16">
        <f>CH16*'Dane dla CO'!$N$96+'Dane dla CO'!$N$97</f>
        <v>43.2</v>
      </c>
      <c r="CK16">
        <f>IF(CH16&lt;'Dane dla CO'!$Z$67,0,IF(CI16&gt;1,CJ16,CI16*CJ16))</f>
        <v>43.2</v>
      </c>
      <c r="CL16">
        <f t="shared" si="21"/>
        <v>0</v>
      </c>
      <c r="CM16" s="84">
        <f>(CH16*'Dane dla CWU'!$AB$53+'Dane dla CWU'!$AD$53)/(CH16*'Dane dla CO'!$P$35+'Dane dla CO'!$Q$35)</f>
        <v>4.0545267489711936</v>
      </c>
      <c r="CN16" s="84">
        <f t="shared" si="0"/>
        <v>10.319026666666666</v>
      </c>
      <c r="CO16" s="84">
        <f>IF(CH16&lt;'Dane dla CWU'!$Z$67,0,IF(CM16&gt;1,CN16,CM16*CN16))</f>
        <v>10.319026666666666</v>
      </c>
      <c r="CP16" s="84">
        <f t="shared" si="1"/>
        <v>0</v>
      </c>
      <c r="CR16">
        <v>14</v>
      </c>
      <c r="CS16">
        <v>2</v>
      </c>
      <c r="CT16">
        <f>(CS16*'Dane dla CO'!$AB$53+'Dane dla CO'!$AD$53)/(CS16*'Dane dla CO'!$P$35+'Dane dla CO'!$Q$35)</f>
        <v>1.321225071225071</v>
      </c>
      <c r="CU16">
        <f>CS16*'Dane dla CO'!$N$96+'Dane dla CO'!$N$97</f>
        <v>100.80000000000001</v>
      </c>
      <c r="CV16">
        <f>IF(CS16&lt;'Dane dla CO'!$Z$67,0,IF(CT16&gt;1,CU16,CT16*CU16))</f>
        <v>100.80000000000001</v>
      </c>
      <c r="CW16">
        <f t="shared" si="22"/>
        <v>0</v>
      </c>
      <c r="CX16" s="84">
        <f>(CS16*'Dane dla CWU'!$AB$53+'Dane dla CWU'!$AD$53)/(CS16*'Dane dla CO'!$P$35+'Dane dla CO'!$Q$35)</f>
        <v>1.2713675213675213</v>
      </c>
      <c r="CY16" s="84">
        <f t="shared" si="2"/>
        <v>10.319026666666666</v>
      </c>
      <c r="CZ16" s="84">
        <f>IF(CS16&lt;'Dane dla CWU'!$Z$67,0,IF(CX16&gt;1,CY16,CX16*CY16))</f>
        <v>0</v>
      </c>
      <c r="DA16" s="84">
        <f t="shared" si="3"/>
        <v>10.319026666666666</v>
      </c>
      <c r="DC16">
        <v>14</v>
      </c>
      <c r="DD16">
        <v>-5</v>
      </c>
      <c r="DE16">
        <f>(DD16*'Dane dla CO'!$AB$53+'Dane dla CO'!$AD$53)/(DD16*'Dane dla CO'!$P$35+'Dane dla CO'!$Q$35)</f>
        <v>0.82098765432098741</v>
      </c>
      <c r="DF16">
        <f>DD16*'Dane dla CO'!$N$96+'Dane dla CO'!$N$97</f>
        <v>151.20000000000002</v>
      </c>
      <c r="DG16">
        <f>IF(DD16&lt;'Dane dla CO'!$Z$67,0,IF(DE16&gt;1,DF16,DE16*DF16))</f>
        <v>0</v>
      </c>
      <c r="DH16">
        <f t="shared" si="23"/>
        <v>151.20000000000002</v>
      </c>
      <c r="DI16" s="84">
        <f>(DD16*'Dane dla CWU'!$AB$53+'Dane dla CWU'!$AD$53)/(DD16*'Dane dla CO'!$P$35+'Dane dla CO'!$Q$35)</f>
        <v>0.66255144032921798</v>
      </c>
      <c r="DJ16" s="84">
        <f t="shared" si="4"/>
        <v>10.319026666666666</v>
      </c>
      <c r="DK16" s="84">
        <f>IF(DD16&lt;'Dane dla CWU'!$Z$67,0,IF(DI16&gt;1,DJ16,DI16*DJ16))</f>
        <v>0</v>
      </c>
      <c r="DL16" s="84">
        <f t="shared" si="5"/>
        <v>10.319026666666666</v>
      </c>
      <c r="DM16" s="49">
        <v>-10</v>
      </c>
      <c r="DN16" s="94">
        <f>DO16*'Dane dla CO'!$N$80</f>
        <v>846.36734693877565</v>
      </c>
      <c r="DO16" s="94">
        <f>(15-DS16)/35*'Dane dla CO'!$N$75</f>
        <v>7.4057142857142866</v>
      </c>
      <c r="DP16" s="94">
        <f t="shared" si="24"/>
        <v>846.36734693877565</v>
      </c>
      <c r="DQ16" s="51">
        <v>-10</v>
      </c>
      <c r="DR16" s="52">
        <v>1</v>
      </c>
      <c r="DS16" s="52">
        <v>-9</v>
      </c>
      <c r="DT16" s="89">
        <f>Wykresy!Y14</f>
        <v>48.4</v>
      </c>
      <c r="DU16" s="90">
        <f>Wykresy!AE14</f>
        <v>30.966666666666669</v>
      </c>
      <c r="DV16" s="92">
        <f>(($DV$18-$DV$15)/3)*1+$DV$15</f>
        <v>4.3999999999999995</v>
      </c>
      <c r="DW16" s="92">
        <v>2.46</v>
      </c>
      <c r="DX16" s="92">
        <f t="shared" si="29"/>
        <v>1.7886178861788615</v>
      </c>
      <c r="DY16" s="86">
        <f>(($DY$18-$DY$15)/3)*1+$DY$15</f>
        <v>6.1333333333333337</v>
      </c>
      <c r="DZ16" s="86">
        <v>2.5299999999999998</v>
      </c>
      <c r="EA16" s="96">
        <f t="shared" si="30"/>
        <v>2.4242424242424248</v>
      </c>
      <c r="EB16" s="85">
        <f t="shared" si="32"/>
        <v>1</v>
      </c>
      <c r="EC16" s="85">
        <f t="shared" si="26"/>
        <v>7.9494128274616074E-3</v>
      </c>
      <c r="ED16" s="85">
        <f>(SUM(EC16:$EC$40))*$DT$42/(SUM(EB16:$EB$40))</f>
        <v>3.2956634055303224</v>
      </c>
      <c r="EE16" s="86">
        <f t="shared" si="33"/>
        <v>1</v>
      </c>
      <c r="EF16" s="86">
        <f t="shared" si="27"/>
        <v>1.0774410774410777E-2</v>
      </c>
      <c r="EG16" s="86">
        <f>(SUM(EF16:$EF$40))*$DT$42/(SUM(EE16:$EE$40))</f>
        <v>4.361998685352134</v>
      </c>
      <c r="EI16" s="52">
        <v>1</v>
      </c>
      <c r="EJ16" s="52">
        <f t="shared" si="25"/>
        <v>19</v>
      </c>
      <c r="EK16" s="52">
        <v>-9</v>
      </c>
      <c r="EL16" s="89">
        <v>55</v>
      </c>
      <c r="EM16" s="92">
        <f t="shared" si="34"/>
        <v>3.55</v>
      </c>
      <c r="EN16" s="92">
        <f t="shared" si="35"/>
        <v>2.4599999999999991</v>
      </c>
      <c r="EO16" s="92">
        <f t="shared" si="31"/>
        <v>1.4430894308943094</v>
      </c>
      <c r="EP16" s="85">
        <f t="shared" si="36"/>
        <v>1</v>
      </c>
      <c r="EQ16" s="85">
        <f t="shared" si="28"/>
        <v>6.4137308039747083E-3</v>
      </c>
      <c r="ER16" s="85">
        <f>(SUM(EQ16:$EQ$53))*$EL$54/(SUM(EP16:$EP$53))</f>
        <v>3.8470974535801408</v>
      </c>
      <c r="FG16" t="s">
        <v>257</v>
      </c>
      <c r="FI16" s="103">
        <f>FI13-FI10</f>
        <v>1208.5198228618046</v>
      </c>
      <c r="FJ16" s="103">
        <f>IF(FI10&lt;FI18,IF(FI9&lt;FI18,FI18-FI9,0),0)</f>
        <v>758.15138447905792</v>
      </c>
    </row>
    <row r="17" spans="1:165">
      <c r="A17" s="162"/>
      <c r="B17">
        <v>15</v>
      </c>
      <c r="C17">
        <v>0</v>
      </c>
      <c r="D17" s="84">
        <f>(C17*'Dane dla CO'!$AB$53+'Dane dla CO'!$AD$53)/(C17*'Dane dla CO'!$P$35+'Dane dla CO'!$Q$35)</f>
        <v>1.1306584362139918</v>
      </c>
      <c r="E17" s="84">
        <f>C17*'Dane dla CO'!$N$96+'Dane dla CO'!$N$97</f>
        <v>115.20000000000002</v>
      </c>
      <c r="F17" s="84">
        <f>IF(C17&lt;'Dane dla CO'!$Z$67,0,IF(D17&gt;1,E17,D17*E17))</f>
        <v>115.20000000000002</v>
      </c>
      <c r="G17" s="84">
        <f t="shared" si="6"/>
        <v>0</v>
      </c>
      <c r="H17" s="84">
        <f>(C17*'Dane dla CWU'!$AB$53+'Dane dla CWU'!$AD$53)/(C17*'Dane dla CO'!$P$35+'Dane dla CO'!$Q$35)</f>
        <v>1.0394375857338818</v>
      </c>
      <c r="I17" s="84">
        <f t="shared" si="7"/>
        <v>10.319026666666666</v>
      </c>
      <c r="J17" s="84">
        <f>IF(C17&lt;'Dane dla CWU'!$Z$67,0,IF(H17&gt;1,I17,H17*I17))</f>
        <v>0</v>
      </c>
      <c r="K17" s="84">
        <f t="shared" si="8"/>
        <v>10.319026666666666</v>
      </c>
      <c r="M17">
        <v>15</v>
      </c>
      <c r="N17">
        <v>0</v>
      </c>
      <c r="O17">
        <f>(N17*'Dane dla CO'!$AB$53+'Dane dla CO'!$AD$53)/(N17*'Dane dla CO'!$P$35+'Dane dla CO'!$Q$35)</f>
        <v>1.1306584362139918</v>
      </c>
      <c r="P17">
        <f>N17*'Dane dla CO'!$N$96+'Dane dla CO'!$N$97</f>
        <v>115.20000000000002</v>
      </c>
      <c r="Q17">
        <f>IF(N17&lt;'Dane dla CO'!$Z$67,0,IF(O17&gt;1,P17,O17*P17))</f>
        <v>115.20000000000002</v>
      </c>
      <c r="R17">
        <f t="shared" si="9"/>
        <v>0</v>
      </c>
      <c r="S17" s="84">
        <f>(N17*'Dane dla CWU'!$AB$53+'Dane dla CWU'!$AD$53)/(N17*'Dane dla CO'!$P$35+'Dane dla CO'!$Q$35)</f>
        <v>1.0394375857338818</v>
      </c>
      <c r="T17" s="84">
        <f t="shared" si="10"/>
        <v>10.319026666666666</v>
      </c>
      <c r="U17" s="84">
        <f>IF(N17&lt;'Dane dla CWU'!$Z$67,0,IF(S17&gt;1,T17,S17*T17))</f>
        <v>0</v>
      </c>
      <c r="V17" s="84">
        <f t="shared" si="11"/>
        <v>10.319026666666666</v>
      </c>
      <c r="X17">
        <v>15</v>
      </c>
      <c r="Y17">
        <v>5</v>
      </c>
      <c r="Z17">
        <f>(Y17*'Dane dla CO'!$AB$53+'Dane dla CO'!$AD$53)/(Y17*'Dane dla CO'!$P$35+'Dane dla CO'!$Q$35)</f>
        <v>1.75</v>
      </c>
      <c r="AA17">
        <f>Y17*'Dane dla CO'!$N$96+'Dane dla CO'!$N$97</f>
        <v>79.200000000000017</v>
      </c>
      <c r="AB17">
        <f>IF(Y17&lt;'Dane dla CO'!$Z$67,0,IF(Z17&gt;1,AA17,Z17*AA17))</f>
        <v>79.200000000000017</v>
      </c>
      <c r="AC17">
        <f t="shared" si="12"/>
        <v>0</v>
      </c>
      <c r="AD17" s="84">
        <f>(Y17*'Dane dla CWU'!$AB$53+'Dane dla CWU'!$AD$53)/(Y17*'Dane dla CO'!$P$35+'Dane dla CO'!$Q$35)</f>
        <v>1.7932098765432098</v>
      </c>
      <c r="AE17" s="84">
        <f t="shared" si="13"/>
        <v>10.319026666666666</v>
      </c>
      <c r="AF17" s="84">
        <f>IF(Y17&lt;'Dane dla CWU'!$Z$67,0,IF(AD17&gt;1,AE17,AD17*AE17))</f>
        <v>0</v>
      </c>
      <c r="AG17" s="84">
        <f t="shared" si="14"/>
        <v>10.319026666666666</v>
      </c>
      <c r="AI17">
        <v>15</v>
      </c>
      <c r="AJ17">
        <v>10</v>
      </c>
      <c r="AK17">
        <f>(AJ17*'Dane dla CO'!$AB$53+'Dane dla CO'!$AD$53)/(AJ17*'Dane dla CO'!$P$35+'Dane dla CO'!$Q$35)</f>
        <v>3.6080246913580249</v>
      </c>
      <c r="AL17">
        <f>AJ17*'Dane dla CO'!$N$96+'Dane dla CO'!$N$97</f>
        <v>43.2</v>
      </c>
      <c r="AM17">
        <f>IF(AJ17&lt;'Dane dla CO'!$Z$67,0,IF(AK17&gt;1,AL17,AK17*AL17))</f>
        <v>43.2</v>
      </c>
      <c r="AN17">
        <f t="shared" si="15"/>
        <v>0</v>
      </c>
      <c r="AO17" s="84">
        <f>(AJ17*'Dane dla CWU'!$AB$53+'Dane dla CWU'!$AD$53)/(AJ17*'Dane dla CO'!$P$35+'Dane dla CO'!$Q$35)</f>
        <v>4.0545267489711936</v>
      </c>
      <c r="AP17" s="84">
        <f t="shared" si="16"/>
        <v>10.319026666666666</v>
      </c>
      <c r="AQ17" s="84">
        <f>IF(AJ17&lt;'Dane dla CWU'!$Z$67,0,IF(AO17&gt;1,AP17,AO17*AP17))</f>
        <v>10.319026666666666</v>
      </c>
      <c r="AR17" s="84">
        <f t="shared" si="17"/>
        <v>0</v>
      </c>
      <c r="AT17">
        <v>15</v>
      </c>
      <c r="AU17">
        <v>10</v>
      </c>
      <c r="BA17">
        <v>15</v>
      </c>
      <c r="BB17">
        <v>16</v>
      </c>
      <c r="BH17">
        <v>15</v>
      </c>
      <c r="BI17">
        <v>19</v>
      </c>
      <c r="BO17">
        <v>15</v>
      </c>
      <c r="BP17">
        <v>16</v>
      </c>
      <c r="BV17">
        <v>15</v>
      </c>
      <c r="BW17">
        <v>13</v>
      </c>
      <c r="BX17">
        <f>(BW17*'Dane dla CO'!$AB$53+'Dane dla CO'!$AD$53)/(BW17*'Dane dla CO'!$P$35+'Dane dla CO'!$Q$35)</f>
        <v>9.1820987654320927</v>
      </c>
      <c r="BY17">
        <f>BW17*'Dane dla CO'!$N$96+'Dane dla CO'!$N$97</f>
        <v>21.600000000000009</v>
      </c>
      <c r="BZ17">
        <f>IF(BW17&lt;'Dane dla CO'!$Z$67,0,IF(BX17&gt;1,BY17,BX17*BY17))</f>
        <v>21.600000000000009</v>
      </c>
      <c r="CA17">
        <f t="shared" si="37"/>
        <v>0</v>
      </c>
      <c r="CB17" s="84">
        <f>(BW17*'Dane dla CWU'!$AB$53+'Dane dla CWU'!$AD$53)/(BW17*'Dane dla CO'!$P$35+'Dane dla CO'!$Q$35)</f>
        <v>10.838477366255137</v>
      </c>
      <c r="CC17" s="84">
        <f t="shared" si="18"/>
        <v>10.319026666666666</v>
      </c>
      <c r="CD17" s="84">
        <f>IF(BW17&lt;'Dane dla CWU'!$Z$67,0,IF(CB17&gt;1,CC17,CB17*CC17))</f>
        <v>10.319026666666666</v>
      </c>
      <c r="CE17" s="84">
        <f t="shared" si="20"/>
        <v>0</v>
      </c>
      <c r="CG17">
        <v>15</v>
      </c>
      <c r="CH17">
        <v>11</v>
      </c>
      <c r="CI17">
        <f>(CH17*'Dane dla CO'!$AB$53+'Dane dla CO'!$AD$53)/(CH17*'Dane dla CO'!$P$35+'Dane dla CO'!$Q$35)</f>
        <v>4.5370370370370363</v>
      </c>
      <c r="CJ17">
        <f>CH17*'Dane dla CO'!$N$96+'Dane dla CO'!$N$97</f>
        <v>36</v>
      </c>
      <c r="CK17">
        <f>IF(CH17&lt;'Dane dla CO'!$Z$67,0,IF(CI17&gt;1,CJ17,CI17*CJ17))</f>
        <v>36</v>
      </c>
      <c r="CL17">
        <f t="shared" si="21"/>
        <v>0</v>
      </c>
      <c r="CM17" s="84">
        <f>(CH17*'Dane dla CWU'!$AB$53+'Dane dla CWU'!$AD$53)/(CH17*'Dane dla CO'!$P$35+'Dane dla CO'!$Q$35)</f>
        <v>5.1851851851851842</v>
      </c>
      <c r="CN17" s="84">
        <f t="shared" si="0"/>
        <v>10.319026666666666</v>
      </c>
      <c r="CO17" s="84">
        <f>IF(CH17&lt;'Dane dla CWU'!$Z$67,0,IF(CM17&gt;1,CN17,CM17*CN17))</f>
        <v>10.319026666666666</v>
      </c>
      <c r="CP17" s="84">
        <f t="shared" si="1"/>
        <v>0</v>
      </c>
      <c r="CR17">
        <v>15</v>
      </c>
      <c r="CS17">
        <v>-1</v>
      </c>
      <c r="CT17">
        <f>(CS17*'Dane dla CO'!$AB$53+'Dane dla CO'!$AD$53)/(CS17*'Dane dla CO'!$P$35+'Dane dla CO'!$Q$35)</f>
        <v>1.0532407407407407</v>
      </c>
      <c r="CU17">
        <f>CS17*'Dane dla CO'!$N$96+'Dane dla CO'!$N$97</f>
        <v>122.40000000000002</v>
      </c>
      <c r="CV17">
        <f>IF(CS17&lt;'Dane dla CO'!$Z$67,0,IF(CT17&gt;1,CU17,CT17*CU17))</f>
        <v>122.40000000000002</v>
      </c>
      <c r="CW17">
        <f t="shared" si="22"/>
        <v>0</v>
      </c>
      <c r="CX17" s="84">
        <f>(CS17*'Dane dla CWU'!$AB$53+'Dane dla CWU'!$AD$53)/(CS17*'Dane dla CO'!$P$35+'Dane dla CO'!$Q$35)</f>
        <v>0.94521604938271586</v>
      </c>
      <c r="CY17" s="84">
        <f t="shared" si="2"/>
        <v>10.319026666666666</v>
      </c>
      <c r="CZ17" s="84">
        <f>IF(CS17&lt;'Dane dla CWU'!$Z$67,0,IF(CX17&gt;1,CY17,CX17*CY17))</f>
        <v>0</v>
      </c>
      <c r="DA17" s="84">
        <f t="shared" si="3"/>
        <v>10.319026666666666</v>
      </c>
      <c r="DC17">
        <v>15</v>
      </c>
      <c r="DD17">
        <v>2</v>
      </c>
      <c r="DE17">
        <f>(DD17*'Dane dla CO'!$AB$53+'Dane dla CO'!$AD$53)/(DD17*'Dane dla CO'!$P$35+'Dane dla CO'!$Q$35)</f>
        <v>1.321225071225071</v>
      </c>
      <c r="DF17">
        <f>DD17*'Dane dla CO'!$N$96+'Dane dla CO'!$N$97</f>
        <v>100.80000000000001</v>
      </c>
      <c r="DG17">
        <f>IF(DD17&lt;'Dane dla CO'!$Z$67,0,IF(DE17&gt;1,DF17,DE17*DF17))</f>
        <v>100.80000000000001</v>
      </c>
      <c r="DH17">
        <f t="shared" si="23"/>
        <v>0</v>
      </c>
      <c r="DI17" s="84">
        <f>(DD17*'Dane dla CWU'!$AB$53+'Dane dla CWU'!$AD$53)/(DD17*'Dane dla CO'!$P$35+'Dane dla CO'!$Q$35)</f>
        <v>1.2713675213675213</v>
      </c>
      <c r="DJ17" s="84">
        <f t="shared" si="4"/>
        <v>10.319026666666666</v>
      </c>
      <c r="DK17" s="84">
        <f>IF(DD17&lt;'Dane dla CWU'!$Z$67,0,IF(DI17&gt;1,DJ17,DI17*DJ17))</f>
        <v>0</v>
      </c>
      <c r="DL17" s="84">
        <f t="shared" si="5"/>
        <v>10.319026666666666</v>
      </c>
      <c r="DM17" s="49">
        <v>-10</v>
      </c>
      <c r="DN17" s="94">
        <f>DO17*'Dane dla CO'!$N$80</f>
        <v>811.10204081632662</v>
      </c>
      <c r="DO17" s="94">
        <f>(15-DS17)/35*'Dane dla CO'!$N$75</f>
        <v>7.0971428571428579</v>
      </c>
      <c r="DP17" s="94">
        <f t="shared" si="24"/>
        <v>811.10204081632662</v>
      </c>
      <c r="DQ17" s="51">
        <v>-10</v>
      </c>
      <c r="DR17" s="52">
        <v>0</v>
      </c>
      <c r="DS17" s="52">
        <v>-8</v>
      </c>
      <c r="DT17" s="89">
        <f>Wykresy!Y15</f>
        <v>47.8</v>
      </c>
      <c r="DU17" s="90">
        <f>Wykresy!AE15</f>
        <v>30.6</v>
      </c>
      <c r="DV17" s="92">
        <f>(($DV$18-$DV$15)/3)*2+$DV$15</f>
        <v>4.7</v>
      </c>
      <c r="DW17" s="92">
        <v>2.4700000000000002</v>
      </c>
      <c r="DX17" s="92">
        <f t="shared" si="29"/>
        <v>1.902834008097166</v>
      </c>
      <c r="DY17" s="86">
        <f>(($DY$18-$DY$15)/3)*2+$DY$15</f>
        <v>6.2666666666666666</v>
      </c>
      <c r="DZ17" s="86">
        <v>2.5299999999999998</v>
      </c>
      <c r="EA17" s="96">
        <f t="shared" si="30"/>
        <v>2.476943346508564</v>
      </c>
      <c r="EB17" s="85">
        <f t="shared" si="32"/>
        <v>0</v>
      </c>
      <c r="EC17" s="85">
        <f t="shared" si="26"/>
        <v>0</v>
      </c>
      <c r="ED17" s="85">
        <f>(SUM(EC17:$EC$40))*$DT$42/(SUM(EB17:$EB$40))</f>
        <v>3.3029791604786309</v>
      </c>
      <c r="EE17" s="86">
        <f t="shared" si="33"/>
        <v>0</v>
      </c>
      <c r="EF17" s="86">
        <f t="shared" si="27"/>
        <v>0</v>
      </c>
      <c r="EG17" s="86">
        <f>(SUM(EF17:$EF$40))*$DT$42/(SUM(EE17:$EE$40))</f>
        <v>4.3714052691439287</v>
      </c>
      <c r="EI17" s="52">
        <v>0</v>
      </c>
      <c r="EJ17" s="52">
        <f t="shared" si="25"/>
        <v>19</v>
      </c>
      <c r="EK17" s="52">
        <v>-8</v>
      </c>
      <c r="EL17" s="89">
        <v>55</v>
      </c>
      <c r="EM17" s="92">
        <f t="shared" si="34"/>
        <v>3.6749999999999998</v>
      </c>
      <c r="EN17" s="92">
        <f t="shared" si="35"/>
        <v>2.4699999999999989</v>
      </c>
      <c r="EO17" s="92">
        <f t="shared" si="31"/>
        <v>1.4878542510121464</v>
      </c>
      <c r="EP17" s="85">
        <f t="shared" si="36"/>
        <v>0</v>
      </c>
      <c r="EQ17" s="85">
        <f t="shared" si="28"/>
        <v>0</v>
      </c>
      <c r="ER17" s="85">
        <f>(SUM(EQ17:$EQ$53))*$EL$54/(SUM(EP17:$EP$53))</f>
        <v>3.8514192748462079</v>
      </c>
    </row>
    <row r="18" spans="1:165">
      <c r="A18" s="162"/>
      <c r="B18">
        <v>16</v>
      </c>
      <c r="C18">
        <v>-1</v>
      </c>
      <c r="D18" s="84">
        <f>(C18*'Dane dla CO'!$AB$53+'Dane dla CO'!$AD$53)/(C18*'Dane dla CO'!$P$35+'Dane dla CO'!$Q$35)</f>
        <v>1.0532407407407407</v>
      </c>
      <c r="E18" s="84">
        <f>C18*'Dane dla CO'!$N$96+'Dane dla CO'!$N$97</f>
        <v>122.40000000000002</v>
      </c>
      <c r="F18" s="84">
        <f>IF(C18&lt;'Dane dla CO'!$Z$67,0,IF(D18&gt;1,E18,D18*E18))</f>
        <v>122.40000000000002</v>
      </c>
      <c r="G18" s="84">
        <f t="shared" si="6"/>
        <v>0</v>
      </c>
      <c r="H18" s="84">
        <f>(C18*'Dane dla CWU'!$AB$53+'Dane dla CWU'!$AD$53)/(C18*'Dane dla CO'!$P$35+'Dane dla CO'!$Q$35)</f>
        <v>0.94521604938271586</v>
      </c>
      <c r="I18" s="84">
        <f t="shared" si="7"/>
        <v>10.319026666666666</v>
      </c>
      <c r="J18" s="84">
        <f>IF(C18&lt;'Dane dla CWU'!$Z$67,0,IF(H18&gt;1,I18,H18*I18))</f>
        <v>0</v>
      </c>
      <c r="K18" s="84">
        <f t="shared" si="8"/>
        <v>10.319026666666666</v>
      </c>
      <c r="M18">
        <v>16</v>
      </c>
      <c r="N18">
        <v>-1</v>
      </c>
      <c r="O18">
        <f>(N18*'Dane dla CO'!$AB$53+'Dane dla CO'!$AD$53)/(N18*'Dane dla CO'!$P$35+'Dane dla CO'!$Q$35)</f>
        <v>1.0532407407407407</v>
      </c>
      <c r="P18">
        <f>N18*'Dane dla CO'!$N$96+'Dane dla CO'!$N$97</f>
        <v>122.40000000000002</v>
      </c>
      <c r="Q18">
        <f>IF(N18&lt;'Dane dla CO'!$Z$67,0,IF(O18&gt;1,P18,O18*P18))</f>
        <v>122.40000000000002</v>
      </c>
      <c r="R18">
        <f t="shared" si="9"/>
        <v>0</v>
      </c>
      <c r="S18" s="84">
        <f>(N18*'Dane dla CWU'!$AB$53+'Dane dla CWU'!$AD$53)/(N18*'Dane dla CO'!$P$35+'Dane dla CO'!$Q$35)</f>
        <v>0.94521604938271586</v>
      </c>
      <c r="T18" s="84">
        <f t="shared" si="10"/>
        <v>10.319026666666666</v>
      </c>
      <c r="U18" s="84">
        <f>IF(N18&lt;'Dane dla CWU'!$Z$67,0,IF(S18&gt;1,T18,S18*T18))</f>
        <v>0</v>
      </c>
      <c r="V18" s="84">
        <f t="shared" si="11"/>
        <v>10.319026666666666</v>
      </c>
      <c r="X18">
        <v>16</v>
      </c>
      <c r="Y18">
        <v>6</v>
      </c>
      <c r="Z18">
        <f>(Y18*'Dane dla CO'!$AB$53+'Dane dla CO'!$AD$53)/(Y18*'Dane dla CO'!$P$35+'Dane dla CO'!$Q$35)</f>
        <v>1.9564471879286691</v>
      </c>
      <c r="AA18">
        <f>Y18*'Dane dla CO'!$N$96+'Dane dla CO'!$N$97</f>
        <v>72.000000000000014</v>
      </c>
      <c r="AB18">
        <f>IF(Y18&lt;'Dane dla CO'!$Z$67,0,IF(Z18&gt;1,AA18,Z18*AA18))</f>
        <v>72.000000000000014</v>
      </c>
      <c r="AC18">
        <f t="shared" si="12"/>
        <v>0</v>
      </c>
      <c r="AD18" s="84">
        <f>(Y18*'Dane dla CWU'!$AB$53+'Dane dla CWU'!$AD$53)/(Y18*'Dane dla CO'!$P$35+'Dane dla CO'!$Q$35)</f>
        <v>2.0444673068129853</v>
      </c>
      <c r="AE18" s="84">
        <f t="shared" si="13"/>
        <v>10.319026666666666</v>
      </c>
      <c r="AF18" s="84">
        <f>IF(Y18&lt;'Dane dla CWU'!$Z$67,0,IF(AD18&gt;1,AE18,AD18*AE18))</f>
        <v>0</v>
      </c>
      <c r="AG18" s="84">
        <f t="shared" si="14"/>
        <v>10.319026666666666</v>
      </c>
      <c r="AI18">
        <v>16</v>
      </c>
      <c r="AJ18">
        <v>9</v>
      </c>
      <c r="AK18">
        <f>(AJ18*'Dane dla CO'!$AB$53+'Dane dla CO'!$AD$53)/(AJ18*'Dane dla CO'!$P$35+'Dane dla CO'!$Q$35)</f>
        <v>2.9886831275720165</v>
      </c>
      <c r="AL18">
        <f>AJ18*'Dane dla CO'!$N$96+'Dane dla CO'!$N$97</f>
        <v>50.400000000000006</v>
      </c>
      <c r="AM18">
        <f>IF(AJ18&lt;'Dane dla CO'!$Z$67,0,IF(AK18&gt;1,AL18,AK18*AL18))</f>
        <v>50.400000000000006</v>
      </c>
      <c r="AN18">
        <f t="shared" si="15"/>
        <v>0</v>
      </c>
      <c r="AO18" s="84">
        <f>(AJ18*'Dane dla CWU'!$AB$53+'Dane dla CWU'!$AD$53)/(AJ18*'Dane dla CO'!$P$35+'Dane dla CO'!$Q$35)</f>
        <v>3.3007544581618653</v>
      </c>
      <c r="AP18" s="84">
        <f t="shared" si="16"/>
        <v>10.319026666666666</v>
      </c>
      <c r="AQ18" s="84">
        <f>IF(AJ18&lt;'Dane dla CWU'!$Z$67,0,IF(AO18&gt;1,AP18,AO18*AP18))</f>
        <v>10.319026666666666</v>
      </c>
      <c r="AR18" s="84">
        <f t="shared" si="17"/>
        <v>0</v>
      </c>
      <c r="AT18">
        <v>16</v>
      </c>
      <c r="AU18">
        <v>12</v>
      </c>
      <c r="BA18">
        <v>16</v>
      </c>
      <c r="BB18">
        <v>21</v>
      </c>
      <c r="BH18">
        <v>16</v>
      </c>
      <c r="BI18">
        <v>15</v>
      </c>
      <c r="BO18">
        <v>16</v>
      </c>
      <c r="BP18">
        <v>19</v>
      </c>
      <c r="BV18">
        <v>16</v>
      </c>
      <c r="CB18" s="84">
        <f>(BW18*'Dane dla CWU'!$AB$53+'Dane dla CWU'!$AD$53)/(BW18*'Dane dla CO'!$P$35+'Dane dla CO'!$Q$35)</f>
        <v>1.0394375857338818</v>
      </c>
      <c r="CC18" s="84">
        <f t="shared" si="18"/>
        <v>10.319026666666666</v>
      </c>
      <c r="CD18" s="84">
        <f>IF(BW18&lt;'Dane dla CWU'!$Z$67,0,IF(CB18&gt;1,CC18,CB18*CC18))</f>
        <v>0</v>
      </c>
      <c r="CE18" s="84">
        <f t="shared" si="20"/>
        <v>10.319026666666666</v>
      </c>
      <c r="CG18">
        <v>16</v>
      </c>
      <c r="CH18">
        <v>11</v>
      </c>
      <c r="CI18">
        <f>(CH18*'Dane dla CO'!$AB$53+'Dane dla CO'!$AD$53)/(CH18*'Dane dla CO'!$P$35+'Dane dla CO'!$Q$35)</f>
        <v>4.5370370370370363</v>
      </c>
      <c r="CJ18">
        <f>CH18*'Dane dla CO'!$N$96+'Dane dla CO'!$N$97</f>
        <v>36</v>
      </c>
      <c r="CK18">
        <f>IF(CH18&lt;'Dane dla CO'!$Z$67,0,IF(CI18&gt;1,CJ18,CI18*CJ18))</f>
        <v>36</v>
      </c>
      <c r="CL18">
        <f t="shared" si="21"/>
        <v>0</v>
      </c>
      <c r="CM18" s="84">
        <f>(CH18*'Dane dla CWU'!$AB$53+'Dane dla CWU'!$AD$53)/(CH18*'Dane dla CO'!$P$35+'Dane dla CO'!$Q$35)</f>
        <v>5.1851851851851842</v>
      </c>
      <c r="CN18" s="84">
        <f t="shared" si="0"/>
        <v>10.319026666666666</v>
      </c>
      <c r="CO18" s="84">
        <f>IF(CH18&lt;'Dane dla CWU'!$Z$67,0,IF(CM18&gt;1,CN18,CM18*CN18))</f>
        <v>10.319026666666666</v>
      </c>
      <c r="CP18" s="84">
        <f t="shared" si="1"/>
        <v>0</v>
      </c>
      <c r="CR18">
        <v>16</v>
      </c>
      <c r="CS18">
        <v>-1</v>
      </c>
      <c r="CT18">
        <f>(CS18*'Dane dla CO'!$AB$53+'Dane dla CO'!$AD$53)/(CS18*'Dane dla CO'!$P$35+'Dane dla CO'!$Q$35)</f>
        <v>1.0532407407407407</v>
      </c>
      <c r="CU18">
        <f>CS18*'Dane dla CO'!$N$96+'Dane dla CO'!$N$97</f>
        <v>122.40000000000002</v>
      </c>
      <c r="CV18">
        <f>IF(CS18&lt;'Dane dla CO'!$Z$67,0,IF(CT18&gt;1,CU18,CT18*CU18))</f>
        <v>122.40000000000002</v>
      </c>
      <c r="CW18">
        <f t="shared" si="22"/>
        <v>0</v>
      </c>
      <c r="CX18" s="84">
        <f>(CS18*'Dane dla CWU'!$AB$53+'Dane dla CWU'!$AD$53)/(CS18*'Dane dla CO'!$P$35+'Dane dla CO'!$Q$35)</f>
        <v>0.94521604938271586</v>
      </c>
      <c r="CY18" s="84">
        <f t="shared" si="2"/>
        <v>10.319026666666666</v>
      </c>
      <c r="CZ18" s="84">
        <f>IF(CS18&lt;'Dane dla CWU'!$Z$67,0,IF(CX18&gt;1,CY18,CX18*CY18))</f>
        <v>0</v>
      </c>
      <c r="DA18" s="84">
        <f t="shared" si="3"/>
        <v>10.319026666666666</v>
      </c>
      <c r="DC18">
        <v>16</v>
      </c>
      <c r="DD18">
        <v>3</v>
      </c>
      <c r="DE18">
        <f>(DD18*'Dane dla CO'!$AB$53+'Dane dla CO'!$AD$53)/(DD18*'Dane dla CO'!$P$35+'Dane dla CO'!$Q$35)</f>
        <v>1.4403292181069955</v>
      </c>
      <c r="DF18">
        <f>DD18*'Dane dla CO'!$N$96+'Dane dla CO'!$N$97</f>
        <v>93.600000000000023</v>
      </c>
      <c r="DG18">
        <f>IF(DD18&lt;'Dane dla CO'!$Z$67,0,IF(DE18&gt;1,DF18,DE18*DF18))</f>
        <v>93.600000000000023</v>
      </c>
      <c r="DH18">
        <f t="shared" si="23"/>
        <v>0</v>
      </c>
      <c r="DI18" s="84">
        <f>(DD18*'Dane dla CWU'!$AB$53+'Dane dla CWU'!$AD$53)/(DD18*'Dane dla CO'!$P$35+'Dane dla CO'!$Q$35)</f>
        <v>1.4163237311385457</v>
      </c>
      <c r="DJ18" s="84">
        <f t="shared" si="4"/>
        <v>10.319026666666666</v>
      </c>
      <c r="DK18" s="84">
        <f>IF(DD18&lt;'Dane dla CWU'!$Z$67,0,IF(DI18&gt;1,DJ18,DI18*DJ18))</f>
        <v>0</v>
      </c>
      <c r="DL18" s="84">
        <f t="shared" si="5"/>
        <v>10.319026666666666</v>
      </c>
      <c r="DM18" s="49">
        <v>-10</v>
      </c>
      <c r="DN18" s="94">
        <f>DO18*'Dane dla CO'!$N$80</f>
        <v>775.8367346938777</v>
      </c>
      <c r="DO18" s="94">
        <f>(15-DS18)/35*'Dane dla CO'!$N$75</f>
        <v>6.7885714285714291</v>
      </c>
      <c r="DP18" s="94">
        <f t="shared" si="24"/>
        <v>775.8367346938777</v>
      </c>
      <c r="DQ18" s="51">
        <v>-10</v>
      </c>
      <c r="DR18" s="52">
        <v>1</v>
      </c>
      <c r="DS18" s="52">
        <v>-7</v>
      </c>
      <c r="DT18" s="89">
        <f>Wykresy!Y16</f>
        <v>47.2</v>
      </c>
      <c r="DU18" s="90">
        <f>Wykresy!AE16</f>
        <v>30.233333333333334</v>
      </c>
      <c r="DV18" s="92">
        <v>5</v>
      </c>
      <c r="DW18" s="92">
        <v>2.48</v>
      </c>
      <c r="DX18" s="92">
        <f t="shared" si="29"/>
        <v>2.0161290322580645</v>
      </c>
      <c r="DY18" s="86">
        <v>6.4</v>
      </c>
      <c r="DZ18" s="86">
        <v>2.5299999999999998</v>
      </c>
      <c r="EA18" s="96">
        <f t="shared" si="30"/>
        <v>2.5296442687747041</v>
      </c>
      <c r="EB18" s="85">
        <f t="shared" si="32"/>
        <v>1</v>
      </c>
      <c r="EC18" s="85">
        <f t="shared" si="26"/>
        <v>8.9605734767025085E-3</v>
      </c>
      <c r="ED18" s="85">
        <f>(SUM(EC18:$EC$40))*$DT$42/(SUM(EB18:$EB$40))</f>
        <v>3.3029791604786309</v>
      </c>
      <c r="EE18" s="86">
        <f t="shared" si="33"/>
        <v>1</v>
      </c>
      <c r="EF18" s="86">
        <f t="shared" si="27"/>
        <v>1.1242863416776463E-2</v>
      </c>
      <c r="EG18" s="86">
        <f>(SUM(EF18:$EF$40))*$DT$42/(SUM(EE18:$EE$40))</f>
        <v>4.3714052691439287</v>
      </c>
      <c r="EI18" s="52">
        <v>1</v>
      </c>
      <c r="EJ18" s="52">
        <f t="shared" si="25"/>
        <v>20</v>
      </c>
      <c r="EK18" s="52">
        <v>-7</v>
      </c>
      <c r="EL18" s="89">
        <v>55</v>
      </c>
      <c r="EM18" s="92">
        <v>3.8</v>
      </c>
      <c r="EN18" s="92">
        <v>2.48</v>
      </c>
      <c r="EO18" s="92">
        <f t="shared" si="31"/>
        <v>1.532258064516129</v>
      </c>
      <c r="EP18" s="85">
        <f t="shared" si="36"/>
        <v>1</v>
      </c>
      <c r="EQ18" s="85">
        <f t="shared" si="28"/>
        <v>6.8100358422939064E-3</v>
      </c>
      <c r="ER18" s="85">
        <f>(SUM(EQ18:$EQ$53))*$EL$54/(SUM(EP18:$EP$53))</f>
        <v>3.8514192748462079</v>
      </c>
      <c r="ES18" s="84">
        <f>(EM27-EM18)/9</f>
        <v>0.14444444444444443</v>
      </c>
      <c r="ET18" s="84">
        <f>(EN27-EN18)/9</f>
        <v>1.7777777777777795E-2</v>
      </c>
      <c r="FG18" t="s">
        <v>206</v>
      </c>
      <c r="FI18" s="84">
        <f>Dobór!P29</f>
        <v>6373.6565901788554</v>
      </c>
    </row>
    <row r="19" spans="1:165">
      <c r="A19" s="162"/>
      <c r="B19">
        <v>17</v>
      </c>
      <c r="C19">
        <v>0</v>
      </c>
      <c r="D19" s="84">
        <f>(C19*'Dane dla CO'!$AB$53+'Dane dla CO'!$AD$53)/(C19*'Dane dla CO'!$P$35+'Dane dla CO'!$Q$35)</f>
        <v>1.1306584362139918</v>
      </c>
      <c r="E19" s="84">
        <f>C19*'Dane dla CO'!$N$96+'Dane dla CO'!$N$97</f>
        <v>115.20000000000002</v>
      </c>
      <c r="F19" s="84">
        <f>IF(C19&lt;'Dane dla CO'!$Z$67,0,IF(D19&gt;1,E19,D19*E19))</f>
        <v>115.20000000000002</v>
      </c>
      <c r="G19" s="84">
        <f t="shared" si="6"/>
        <v>0</v>
      </c>
      <c r="H19" s="84">
        <f>(C19*'Dane dla CWU'!$AB$53+'Dane dla CWU'!$AD$53)/(C19*'Dane dla CO'!$P$35+'Dane dla CO'!$Q$35)</f>
        <v>1.0394375857338818</v>
      </c>
      <c r="I19" s="84">
        <f t="shared" si="7"/>
        <v>10.319026666666666</v>
      </c>
      <c r="J19" s="84">
        <f>IF(C19&lt;'Dane dla CWU'!$Z$67,0,IF(H19&gt;1,I19,H19*I19))</f>
        <v>0</v>
      </c>
      <c r="K19" s="84">
        <f t="shared" si="8"/>
        <v>10.319026666666666</v>
      </c>
      <c r="M19">
        <v>17</v>
      </c>
      <c r="N19">
        <v>2</v>
      </c>
      <c r="O19">
        <f>(N19*'Dane dla CO'!$AB$53+'Dane dla CO'!$AD$53)/(N19*'Dane dla CO'!$P$35+'Dane dla CO'!$Q$35)</f>
        <v>1.321225071225071</v>
      </c>
      <c r="P19">
        <f>N19*'Dane dla CO'!$N$96+'Dane dla CO'!$N$97</f>
        <v>100.80000000000001</v>
      </c>
      <c r="Q19">
        <f>IF(N19&lt;'Dane dla CO'!$Z$67,0,IF(O19&gt;1,P19,O19*P19))</f>
        <v>100.80000000000001</v>
      </c>
      <c r="R19">
        <f t="shared" si="9"/>
        <v>0</v>
      </c>
      <c r="S19" s="84">
        <f>(N19*'Dane dla CWU'!$AB$53+'Dane dla CWU'!$AD$53)/(N19*'Dane dla CO'!$P$35+'Dane dla CO'!$Q$35)</f>
        <v>1.2713675213675213</v>
      </c>
      <c r="T19" s="84">
        <f t="shared" si="10"/>
        <v>10.319026666666666</v>
      </c>
      <c r="U19" s="84">
        <f>IF(N19&lt;'Dane dla CWU'!$Z$67,0,IF(S19&gt;1,T19,S19*T19))</f>
        <v>0</v>
      </c>
      <c r="V19" s="84">
        <f t="shared" si="11"/>
        <v>10.319026666666666</v>
      </c>
      <c r="X19">
        <v>17</v>
      </c>
      <c r="Y19">
        <v>11</v>
      </c>
      <c r="Z19">
        <f>(Y19*'Dane dla CO'!$AB$53+'Dane dla CO'!$AD$53)/(Y19*'Dane dla CO'!$P$35+'Dane dla CO'!$Q$35)</f>
        <v>4.5370370370370363</v>
      </c>
      <c r="AA19">
        <f>Y19*'Dane dla CO'!$N$96+'Dane dla CO'!$N$97</f>
        <v>36</v>
      </c>
      <c r="AB19">
        <f>IF(Y19&lt;'Dane dla CO'!$Z$67,0,IF(Z19&gt;1,AA19,Z19*AA19))</f>
        <v>36</v>
      </c>
      <c r="AC19">
        <f t="shared" si="12"/>
        <v>0</v>
      </c>
      <c r="AD19" s="84">
        <f>(Y19*'Dane dla CWU'!$AB$53+'Dane dla CWU'!$AD$53)/(Y19*'Dane dla CO'!$P$35+'Dane dla CO'!$Q$35)</f>
        <v>5.1851851851851842</v>
      </c>
      <c r="AE19" s="84">
        <f t="shared" si="13"/>
        <v>10.319026666666666</v>
      </c>
      <c r="AF19" s="84">
        <f>IF(Y19&lt;'Dane dla CWU'!$Z$67,0,IF(AD19&gt;1,AE19,AD19*AE19))</f>
        <v>10.319026666666666</v>
      </c>
      <c r="AG19" s="84">
        <f t="shared" si="14"/>
        <v>0</v>
      </c>
      <c r="AI19">
        <v>17</v>
      </c>
      <c r="AJ19">
        <v>7</v>
      </c>
      <c r="AK19">
        <f>(AJ19*'Dane dla CO'!$AB$53+'Dane dla CO'!$AD$53)/(AJ19*'Dane dla CO'!$P$35+'Dane dla CO'!$Q$35)</f>
        <v>2.2145061728395059</v>
      </c>
      <c r="AL19">
        <f>AJ19*'Dane dla CO'!$N$96+'Dane dla CO'!$N$97</f>
        <v>64.800000000000011</v>
      </c>
      <c r="AM19">
        <f>IF(AJ19&lt;'Dane dla CO'!$Z$67,0,IF(AK19&gt;1,AL19,AK19*AL19))</f>
        <v>64.800000000000011</v>
      </c>
      <c r="AN19">
        <f t="shared" si="15"/>
        <v>0</v>
      </c>
      <c r="AO19" s="84">
        <f>(AJ19*'Dane dla CWU'!$AB$53+'Dane dla CWU'!$AD$53)/(AJ19*'Dane dla CO'!$P$35+'Dane dla CO'!$Q$35)</f>
        <v>2.3585390946502054</v>
      </c>
      <c r="AP19" s="84">
        <f t="shared" si="16"/>
        <v>10.319026666666666</v>
      </c>
      <c r="AQ19" s="84">
        <f>IF(AJ19&lt;'Dane dla CWU'!$Z$67,0,IF(AO19&gt;1,AP19,AO19*AP19))</f>
        <v>0</v>
      </c>
      <c r="AR19" s="84">
        <f t="shared" si="17"/>
        <v>10.319026666666666</v>
      </c>
      <c r="AT19">
        <v>17</v>
      </c>
      <c r="AU19">
        <v>10</v>
      </c>
      <c r="BA19">
        <v>17</v>
      </c>
      <c r="BB19">
        <v>25</v>
      </c>
      <c r="BH19">
        <v>17</v>
      </c>
      <c r="BI19">
        <v>15</v>
      </c>
      <c r="BO19">
        <v>17</v>
      </c>
      <c r="BP19">
        <v>17</v>
      </c>
      <c r="BV19">
        <v>17</v>
      </c>
      <c r="BW19">
        <v>14</v>
      </c>
      <c r="BX19">
        <f>(BW19*'Dane dla CO'!$AB$53+'Dane dla CO'!$AD$53)/(BW19*'Dane dla CO'!$P$35+'Dane dla CO'!$Q$35)</f>
        <v>18.472222222222211</v>
      </c>
      <c r="BY19">
        <f>BW19*'Dane dla CO'!$N$96+'Dane dla CO'!$N$97</f>
        <v>14.400000000000006</v>
      </c>
      <c r="BZ19">
        <f>IF(BW19&lt;'Dane dla CO'!$Z$67,0,IF(BX19&gt;1,BY19,BX19*BY19))</f>
        <v>14.400000000000006</v>
      </c>
      <c r="CA19">
        <f t="shared" si="37"/>
        <v>0</v>
      </c>
      <c r="CB19" s="84">
        <f>(BW19*'Dane dla CWU'!$AB$53+'Dane dla CWU'!$AD$53)/(BW19*'Dane dla CO'!$P$35+'Dane dla CO'!$Q$35)</f>
        <v>22.145061728395049</v>
      </c>
      <c r="CC19" s="84">
        <f t="shared" si="18"/>
        <v>10.319026666666666</v>
      </c>
      <c r="CD19" s="84">
        <f>IF(BW19&lt;'Dane dla CWU'!$Z$67,0,IF(CB19&gt;1,CC19,CB19*CC19))</f>
        <v>10.319026666666666</v>
      </c>
      <c r="CE19" s="84">
        <f t="shared" si="20"/>
        <v>0</v>
      </c>
      <c r="CG19">
        <v>17</v>
      </c>
      <c r="CH19">
        <v>9</v>
      </c>
      <c r="CI19">
        <f>(CH19*'Dane dla CO'!$AB$53+'Dane dla CO'!$AD$53)/(CH19*'Dane dla CO'!$P$35+'Dane dla CO'!$Q$35)</f>
        <v>2.9886831275720165</v>
      </c>
      <c r="CJ19">
        <f>CH19*'Dane dla CO'!$N$96+'Dane dla CO'!$N$97</f>
        <v>50.400000000000006</v>
      </c>
      <c r="CK19">
        <f>IF(CH19&lt;'Dane dla CO'!$Z$67,0,IF(CI19&gt;1,CJ19,CI19*CJ19))</f>
        <v>50.400000000000006</v>
      </c>
      <c r="CL19">
        <f t="shared" si="21"/>
        <v>0</v>
      </c>
      <c r="CM19" s="84">
        <f>(CH19*'Dane dla CWU'!$AB$53+'Dane dla CWU'!$AD$53)/(CH19*'Dane dla CO'!$P$35+'Dane dla CO'!$Q$35)</f>
        <v>3.3007544581618653</v>
      </c>
      <c r="CN19" s="84">
        <f t="shared" si="0"/>
        <v>10.319026666666666</v>
      </c>
      <c r="CO19" s="84">
        <f>IF(CH19&lt;'Dane dla CWU'!$Z$67,0,IF(CM19&gt;1,CN19,CM19*CN19))</f>
        <v>10.319026666666666</v>
      </c>
      <c r="CP19" s="84">
        <f t="shared" si="1"/>
        <v>0</v>
      </c>
      <c r="CR19">
        <v>17</v>
      </c>
      <c r="CS19">
        <v>0</v>
      </c>
      <c r="CT19">
        <f>(CS19*'Dane dla CO'!$AB$53+'Dane dla CO'!$AD$53)/(CS19*'Dane dla CO'!$P$35+'Dane dla CO'!$Q$35)</f>
        <v>1.1306584362139918</v>
      </c>
      <c r="CU19">
        <f>CS19*'Dane dla CO'!$N$96+'Dane dla CO'!$N$97</f>
        <v>115.20000000000002</v>
      </c>
      <c r="CV19">
        <f>IF(CS19&lt;'Dane dla CO'!$Z$67,0,IF(CT19&gt;1,CU19,CT19*CU19))</f>
        <v>115.20000000000002</v>
      </c>
      <c r="CW19">
        <f t="shared" si="22"/>
        <v>0</v>
      </c>
      <c r="CX19" s="84">
        <f>(CS19*'Dane dla CWU'!$AB$53+'Dane dla CWU'!$AD$53)/(CS19*'Dane dla CO'!$P$35+'Dane dla CO'!$Q$35)</f>
        <v>1.0394375857338818</v>
      </c>
      <c r="CY19" s="84">
        <f t="shared" si="2"/>
        <v>10.319026666666666</v>
      </c>
      <c r="CZ19" s="84">
        <f>IF(CS19&lt;'Dane dla CWU'!$Z$67,0,IF(CX19&gt;1,CY19,CX19*CY19))</f>
        <v>0</v>
      </c>
      <c r="DA19" s="84">
        <f t="shared" si="3"/>
        <v>10.319026666666666</v>
      </c>
      <c r="DC19">
        <v>17</v>
      </c>
      <c r="DD19">
        <v>2</v>
      </c>
      <c r="DE19">
        <f>(DD19*'Dane dla CO'!$AB$53+'Dane dla CO'!$AD$53)/(DD19*'Dane dla CO'!$P$35+'Dane dla CO'!$Q$35)</f>
        <v>1.321225071225071</v>
      </c>
      <c r="DF19">
        <f>DD19*'Dane dla CO'!$N$96+'Dane dla CO'!$N$97</f>
        <v>100.80000000000001</v>
      </c>
      <c r="DG19">
        <f>IF(DD19&lt;'Dane dla CO'!$Z$67,0,IF(DE19&gt;1,DF19,DE19*DF19))</f>
        <v>100.80000000000001</v>
      </c>
      <c r="DH19">
        <f t="shared" si="23"/>
        <v>0</v>
      </c>
      <c r="DI19" s="84">
        <f>(DD19*'Dane dla CWU'!$AB$53+'Dane dla CWU'!$AD$53)/(DD19*'Dane dla CO'!$P$35+'Dane dla CO'!$Q$35)</f>
        <v>1.2713675213675213</v>
      </c>
      <c r="DJ19" s="84">
        <f t="shared" si="4"/>
        <v>10.319026666666666</v>
      </c>
      <c r="DK19" s="84">
        <f>IF(DD19&lt;'Dane dla CWU'!$Z$67,0,IF(DI19&gt;1,DJ19,DI19*DJ19))</f>
        <v>0</v>
      </c>
      <c r="DL19" s="84">
        <f t="shared" si="5"/>
        <v>10.319026666666666</v>
      </c>
      <c r="DM19" s="49">
        <v>-10</v>
      </c>
      <c r="DN19" s="94">
        <f>DO19*'Dane dla CO'!$N$80</f>
        <v>740.57142857142867</v>
      </c>
      <c r="DO19" s="94">
        <f>(15-DS19)/35*'Dane dla CO'!$N$75</f>
        <v>6.48</v>
      </c>
      <c r="DP19" s="94">
        <f t="shared" si="24"/>
        <v>370.28571428571433</v>
      </c>
      <c r="DQ19" s="51">
        <v>-10</v>
      </c>
      <c r="DR19" s="52">
        <v>2</v>
      </c>
      <c r="DS19" s="52">
        <v>-6</v>
      </c>
      <c r="DT19" s="89">
        <f>Wykresy!Y17</f>
        <v>46.6</v>
      </c>
      <c r="DU19" s="90">
        <f>Wykresy!AE17</f>
        <v>29.866666666666667</v>
      </c>
      <c r="DV19" s="92">
        <f>(($DV$27-$DV$18)/9)*1+$DV$18</f>
        <v>5.0333333333333332</v>
      </c>
      <c r="DW19" s="92">
        <f>(($DW$27-$DW$18)/9)*1+$DW$18</f>
        <v>2.4477777777777776</v>
      </c>
      <c r="DX19" s="92">
        <f t="shared" si="29"/>
        <v>2.0562868815251929</v>
      </c>
      <c r="DY19" s="86">
        <f>(($DY$27-$DY$18)/9)*1+$DY$18</f>
        <v>6.3888888888888893</v>
      </c>
      <c r="DZ19" s="86">
        <f>(($DZ$27-$DZ$18)/9)*1+$DZ$18</f>
        <v>2.4377777777777778</v>
      </c>
      <c r="EA19" s="96">
        <f t="shared" si="30"/>
        <v>2.6207839562443027</v>
      </c>
      <c r="EB19" s="85">
        <f t="shared" si="32"/>
        <v>2</v>
      </c>
      <c r="EC19" s="85">
        <f t="shared" si="26"/>
        <v>1.827810561355727E-2</v>
      </c>
      <c r="ED19" s="85">
        <f>(SUM(EC19:$EC$40))*$DT$42/(SUM(EB19:$EB$40))</f>
        <v>3.3092564781772675</v>
      </c>
      <c r="EE19" s="86">
        <f t="shared" si="33"/>
        <v>2</v>
      </c>
      <c r="EF19" s="86">
        <f t="shared" si="27"/>
        <v>2.3295857388838246E-2</v>
      </c>
      <c r="EG19" s="86">
        <f>(SUM(EF19:$EF$40))*$DT$42/(SUM(EE19:$EE$40))</f>
        <v>4.3803894691457304</v>
      </c>
      <c r="EI19" s="52">
        <v>2</v>
      </c>
      <c r="EJ19" s="52">
        <f t="shared" si="25"/>
        <v>22</v>
      </c>
      <c r="EK19" s="52">
        <v>-6</v>
      </c>
      <c r="EL19" s="89">
        <v>55</v>
      </c>
      <c r="EM19" s="92">
        <f>EM18+$ES$18</f>
        <v>3.9444444444444442</v>
      </c>
      <c r="EN19" s="92">
        <f>EN18+$ET$18</f>
        <v>2.4977777777777779</v>
      </c>
      <c r="EO19" s="92">
        <f t="shared" si="31"/>
        <v>1.5791814946619216</v>
      </c>
      <c r="EP19" s="85">
        <f t="shared" si="36"/>
        <v>2</v>
      </c>
      <c r="EQ19" s="85">
        <f t="shared" si="28"/>
        <v>1.4037168841439303E-2</v>
      </c>
      <c r="ER19" s="85">
        <f>(SUM(EQ19:$EQ$53))*$EL$54/(SUM(EP19:$EP$53))</f>
        <v>3.8553468648940887</v>
      </c>
    </row>
    <row r="20" spans="1:165">
      <c r="A20" s="162"/>
      <c r="B20">
        <v>18</v>
      </c>
      <c r="C20">
        <v>-1</v>
      </c>
      <c r="D20" s="84">
        <f>(C20*'Dane dla CO'!$AB$53+'Dane dla CO'!$AD$53)/(C20*'Dane dla CO'!$P$35+'Dane dla CO'!$Q$35)</f>
        <v>1.0532407407407407</v>
      </c>
      <c r="E20" s="84">
        <f>C20*'Dane dla CO'!$N$96+'Dane dla CO'!$N$97</f>
        <v>122.40000000000002</v>
      </c>
      <c r="F20" s="84">
        <f>IF(C20&lt;'Dane dla CO'!$Z$67,0,IF(D20&gt;1,E20,D20*E20))</f>
        <v>122.40000000000002</v>
      </c>
      <c r="G20" s="84">
        <f t="shared" si="6"/>
        <v>0</v>
      </c>
      <c r="H20" s="84">
        <f>(C20*'Dane dla CWU'!$AB$53+'Dane dla CWU'!$AD$53)/(C20*'Dane dla CO'!$P$35+'Dane dla CO'!$Q$35)</f>
        <v>0.94521604938271586</v>
      </c>
      <c r="I20" s="84">
        <f t="shared" si="7"/>
        <v>10.319026666666666</v>
      </c>
      <c r="J20" s="84">
        <f>IF(C20&lt;'Dane dla CWU'!$Z$67,0,IF(H20&gt;1,I20,H20*I20))</f>
        <v>0</v>
      </c>
      <c r="K20" s="84">
        <f t="shared" si="8"/>
        <v>10.319026666666666</v>
      </c>
      <c r="M20">
        <v>18</v>
      </c>
      <c r="N20">
        <v>4</v>
      </c>
      <c r="O20">
        <f>(N20*'Dane dla CO'!$AB$53+'Dane dla CO'!$AD$53)/(N20*'Dane dla CO'!$P$35+'Dane dla CO'!$Q$35)</f>
        <v>1.5810886644219975</v>
      </c>
      <c r="P20">
        <f>N20*'Dane dla CO'!$N$96+'Dane dla CO'!$N$97</f>
        <v>86.4</v>
      </c>
      <c r="Q20">
        <f>IF(N20&lt;'Dane dla CO'!$Z$67,0,IF(O20&gt;1,P20,O20*P20))</f>
        <v>86.4</v>
      </c>
      <c r="R20">
        <f t="shared" si="9"/>
        <v>0</v>
      </c>
      <c r="S20" s="84">
        <f>(N20*'Dane dla CWU'!$AB$53+'Dane dla CWU'!$AD$53)/(N20*'Dane dla CO'!$P$35+'Dane dla CO'!$Q$35)</f>
        <v>1.5876356154133928</v>
      </c>
      <c r="T20" s="84">
        <f t="shared" si="10"/>
        <v>10.319026666666666</v>
      </c>
      <c r="U20" s="84">
        <f>IF(N20&lt;'Dane dla CWU'!$Z$67,0,IF(S20&gt;1,T20,S20*T20))</f>
        <v>0</v>
      </c>
      <c r="V20" s="84">
        <f t="shared" si="11"/>
        <v>10.319026666666666</v>
      </c>
      <c r="X20">
        <v>18</v>
      </c>
      <c r="Y20">
        <v>10</v>
      </c>
      <c r="Z20">
        <f>(Y20*'Dane dla CO'!$AB$53+'Dane dla CO'!$AD$53)/(Y20*'Dane dla CO'!$P$35+'Dane dla CO'!$Q$35)</f>
        <v>3.6080246913580249</v>
      </c>
      <c r="AA20">
        <f>Y20*'Dane dla CO'!$N$96+'Dane dla CO'!$N$97</f>
        <v>43.2</v>
      </c>
      <c r="AB20">
        <f>IF(Y20&lt;'Dane dla CO'!$Z$67,0,IF(Z20&gt;1,AA20,Z20*AA20))</f>
        <v>43.2</v>
      </c>
      <c r="AC20">
        <f t="shared" si="12"/>
        <v>0</v>
      </c>
      <c r="AD20" s="84">
        <f>(Y20*'Dane dla CWU'!$AB$53+'Dane dla CWU'!$AD$53)/(Y20*'Dane dla CO'!$P$35+'Dane dla CO'!$Q$35)</f>
        <v>4.0545267489711936</v>
      </c>
      <c r="AE20" s="84">
        <f t="shared" si="13"/>
        <v>10.319026666666666</v>
      </c>
      <c r="AF20" s="84">
        <f>IF(Y20&lt;'Dane dla CWU'!$Z$67,0,IF(AD20&gt;1,AE20,AD20*AE20))</f>
        <v>10.319026666666666</v>
      </c>
      <c r="AG20" s="84">
        <f t="shared" si="14"/>
        <v>0</v>
      </c>
      <c r="AI20">
        <v>18</v>
      </c>
      <c r="AJ20">
        <v>8</v>
      </c>
      <c r="AK20">
        <f>(AJ20*'Dane dla CO'!$AB$53+'Dane dla CO'!$AD$53)/(AJ20*'Dane dla CO'!$P$35+'Dane dla CO'!$Q$35)</f>
        <v>2.5462962962962963</v>
      </c>
      <c r="AL20">
        <f>AJ20*'Dane dla CO'!$N$96+'Dane dla CO'!$N$97</f>
        <v>57.600000000000009</v>
      </c>
      <c r="AM20">
        <f>IF(AJ20&lt;'Dane dla CO'!$Z$67,0,IF(AK20&gt;1,AL20,AK20*AL20))</f>
        <v>57.600000000000009</v>
      </c>
      <c r="AN20">
        <f t="shared" si="15"/>
        <v>0</v>
      </c>
      <c r="AO20" s="84">
        <f>(AJ20*'Dane dla CWU'!$AB$53+'Dane dla CWU'!$AD$53)/(AJ20*'Dane dla CO'!$P$35+'Dane dla CO'!$Q$35)</f>
        <v>2.7623456790123457</v>
      </c>
      <c r="AP20" s="84">
        <f t="shared" si="16"/>
        <v>10.319026666666666</v>
      </c>
      <c r="AQ20" s="84">
        <f>IF(AJ20&lt;'Dane dla CWU'!$Z$67,0,IF(AO20&gt;1,AP20,AO20*AP20))</f>
        <v>10.319026666666666</v>
      </c>
      <c r="AR20" s="84">
        <f t="shared" si="17"/>
        <v>0</v>
      </c>
      <c r="AT20">
        <v>18</v>
      </c>
      <c r="AU20">
        <v>10</v>
      </c>
      <c r="BA20">
        <v>18</v>
      </c>
      <c r="BB20">
        <v>24</v>
      </c>
      <c r="BH20">
        <v>18</v>
      </c>
      <c r="BI20">
        <v>18</v>
      </c>
      <c r="BO20">
        <v>18</v>
      </c>
      <c r="BP20">
        <v>20</v>
      </c>
      <c r="BV20">
        <v>18</v>
      </c>
      <c r="CB20" s="84">
        <f>(BW20*'Dane dla CWU'!$AB$53+'Dane dla CWU'!$AD$53)/(BW20*'Dane dla CO'!$P$35+'Dane dla CO'!$Q$35)</f>
        <v>1.0394375857338818</v>
      </c>
      <c r="CC20" s="84">
        <f t="shared" si="18"/>
        <v>10.319026666666666</v>
      </c>
      <c r="CD20" s="84">
        <f>IF(BW20&lt;'Dane dla CWU'!$Z$67,0,IF(CB20&gt;1,CC20,CB20*CC20))</f>
        <v>0</v>
      </c>
      <c r="CE20" s="84">
        <f t="shared" si="20"/>
        <v>10.319026666666666</v>
      </c>
      <c r="CG20">
        <v>18</v>
      </c>
      <c r="CH20">
        <v>9</v>
      </c>
      <c r="CI20">
        <f>(CH20*'Dane dla CO'!$AB$53+'Dane dla CO'!$AD$53)/(CH20*'Dane dla CO'!$P$35+'Dane dla CO'!$Q$35)</f>
        <v>2.9886831275720165</v>
      </c>
      <c r="CJ20">
        <f>CH20*'Dane dla CO'!$N$96+'Dane dla CO'!$N$97</f>
        <v>50.400000000000006</v>
      </c>
      <c r="CK20">
        <f>IF(CH20&lt;'Dane dla CO'!$Z$67,0,IF(CI20&gt;1,CJ20,CI20*CJ20))</f>
        <v>50.400000000000006</v>
      </c>
      <c r="CL20">
        <f t="shared" si="21"/>
        <v>0</v>
      </c>
      <c r="CM20" s="84">
        <f>(CH20*'Dane dla CWU'!$AB$53+'Dane dla CWU'!$AD$53)/(CH20*'Dane dla CO'!$P$35+'Dane dla CO'!$Q$35)</f>
        <v>3.3007544581618653</v>
      </c>
      <c r="CN20" s="84">
        <f t="shared" si="0"/>
        <v>10.319026666666666</v>
      </c>
      <c r="CO20" s="84">
        <f>IF(CH20&lt;'Dane dla CWU'!$Z$67,0,IF(CM20&gt;1,CN20,CM20*CN20))</f>
        <v>10.319026666666666</v>
      </c>
      <c r="CP20" s="84">
        <f t="shared" si="1"/>
        <v>0</v>
      </c>
      <c r="CR20">
        <v>18</v>
      </c>
      <c r="CS20">
        <v>2</v>
      </c>
      <c r="CT20">
        <f>(CS20*'Dane dla CO'!$AB$53+'Dane dla CO'!$AD$53)/(CS20*'Dane dla CO'!$P$35+'Dane dla CO'!$Q$35)</f>
        <v>1.321225071225071</v>
      </c>
      <c r="CU20">
        <f>CS20*'Dane dla CO'!$N$96+'Dane dla CO'!$N$97</f>
        <v>100.80000000000001</v>
      </c>
      <c r="CV20">
        <f>IF(CS20&lt;'Dane dla CO'!$Z$67,0,IF(CT20&gt;1,CU20,CT20*CU20))</f>
        <v>100.80000000000001</v>
      </c>
      <c r="CW20">
        <f t="shared" si="22"/>
        <v>0</v>
      </c>
      <c r="CX20" s="84">
        <f>(CS20*'Dane dla CWU'!$AB$53+'Dane dla CWU'!$AD$53)/(CS20*'Dane dla CO'!$P$35+'Dane dla CO'!$Q$35)</f>
        <v>1.2713675213675213</v>
      </c>
      <c r="CY20" s="84">
        <f t="shared" si="2"/>
        <v>10.319026666666666</v>
      </c>
      <c r="CZ20" s="84">
        <f>IF(CS20&lt;'Dane dla CWU'!$Z$67,0,IF(CX20&gt;1,CY20,CX20*CY20))</f>
        <v>0</v>
      </c>
      <c r="DA20" s="84">
        <f t="shared" si="3"/>
        <v>10.319026666666666</v>
      </c>
      <c r="DC20">
        <v>18</v>
      </c>
      <c r="DD20">
        <v>0</v>
      </c>
      <c r="DE20">
        <f>(DD20*'Dane dla CO'!$AB$53+'Dane dla CO'!$AD$53)/(DD20*'Dane dla CO'!$P$35+'Dane dla CO'!$Q$35)</f>
        <v>1.1306584362139918</v>
      </c>
      <c r="DF20">
        <f>DD20*'Dane dla CO'!$N$96+'Dane dla CO'!$N$97</f>
        <v>115.20000000000002</v>
      </c>
      <c r="DG20">
        <f>IF(DD20&lt;'Dane dla CO'!$Z$67,0,IF(DE20&gt;1,DF20,DE20*DF20))</f>
        <v>115.20000000000002</v>
      </c>
      <c r="DH20">
        <f t="shared" si="23"/>
        <v>0</v>
      </c>
      <c r="DI20" s="84">
        <f>(DD20*'Dane dla CWU'!$AB$53+'Dane dla CWU'!$AD$53)/(DD20*'Dane dla CO'!$P$35+'Dane dla CO'!$Q$35)</f>
        <v>1.0394375857338818</v>
      </c>
      <c r="DJ20" s="84">
        <f t="shared" si="4"/>
        <v>10.319026666666666</v>
      </c>
      <c r="DK20" s="84">
        <f>IF(DD20&lt;'Dane dla CWU'!$Z$67,0,IF(DI20&gt;1,DJ20,DI20*DJ20))</f>
        <v>0</v>
      </c>
      <c r="DL20" s="84">
        <f t="shared" si="5"/>
        <v>10.319026666666666</v>
      </c>
      <c r="DM20" s="49">
        <v>-9</v>
      </c>
      <c r="DN20" s="94">
        <f>DO20*'Dane dla CO'!$N$80</f>
        <v>705.30612244897964</v>
      </c>
      <c r="DO20" s="94">
        <f>(15-DS20)/35*'Dane dla CO'!$N$75</f>
        <v>6.1714285714285717</v>
      </c>
      <c r="DP20" s="94">
        <f t="shared" si="24"/>
        <v>235.10204081632654</v>
      </c>
      <c r="DQ20" s="51">
        <v>-9</v>
      </c>
      <c r="DR20" s="52">
        <v>3</v>
      </c>
      <c r="DS20" s="52">
        <v>-5</v>
      </c>
      <c r="DT20" s="89">
        <f>Wykresy!Y18</f>
        <v>46</v>
      </c>
      <c r="DU20" s="90">
        <f>Wykresy!AE18</f>
        <v>29.5</v>
      </c>
      <c r="DV20" s="92">
        <f>(($DV$27-$DV$18)/9)*2+$DV$18</f>
        <v>5.0666666666666664</v>
      </c>
      <c r="DW20" s="92">
        <f>(($DW$27-$DW$18)/9)*2+$DW$18</f>
        <v>2.4155555555555557</v>
      </c>
      <c r="DX20" s="92">
        <f t="shared" si="29"/>
        <v>2.0975160993560253</v>
      </c>
      <c r="DY20" s="86">
        <f>(($DY$27-$DY$18)/9)*2+$DY$18</f>
        <v>6.3777777777777782</v>
      </c>
      <c r="DZ20" s="86">
        <f>(($DZ$27-$DZ$18)/9)*2+$DZ$18</f>
        <v>2.3455555555555554</v>
      </c>
      <c r="EA20" s="96">
        <f t="shared" si="30"/>
        <v>2.7190904784462342</v>
      </c>
      <c r="EB20" s="85">
        <f t="shared" si="32"/>
        <v>3</v>
      </c>
      <c r="EC20" s="85">
        <f t="shared" si="26"/>
        <v>2.7966881324747006E-2</v>
      </c>
      <c r="ED20" s="85">
        <f>(SUM(EC20:$EC$40))*$DT$42/(SUM(EB20:$EB$40))</f>
        <v>3.3216010062231009</v>
      </c>
      <c r="EE20" s="86">
        <f t="shared" si="33"/>
        <v>3</v>
      </c>
      <c r="EF20" s="86">
        <f t="shared" si="27"/>
        <v>3.6254539712616461E-2</v>
      </c>
      <c r="EG20" s="86">
        <f>(SUM(EF20:$EF$40))*$DT$42/(SUM(EE20:$EE$40))</f>
        <v>4.397725484051163</v>
      </c>
      <c r="EI20" s="52">
        <v>3</v>
      </c>
      <c r="EJ20" s="52">
        <f t="shared" si="25"/>
        <v>25</v>
      </c>
      <c r="EK20" s="52">
        <v>-5</v>
      </c>
      <c r="EL20" s="89">
        <v>55</v>
      </c>
      <c r="EM20" s="92">
        <f t="shared" ref="EM20:EM26" si="38">EM19+$ES$18</f>
        <v>4.0888888888888886</v>
      </c>
      <c r="EN20" s="92">
        <f t="shared" ref="EN20:EN26" si="39">EN19+$ET$18</f>
        <v>2.5155555555555558</v>
      </c>
      <c r="EO20" s="92">
        <f t="shared" si="31"/>
        <v>1.625441696113074</v>
      </c>
      <c r="EP20" s="85">
        <f t="shared" si="36"/>
        <v>3</v>
      </c>
      <c r="EQ20" s="85">
        <f t="shared" si="28"/>
        <v>2.167255594817432E-2</v>
      </c>
      <c r="ER20" s="85">
        <f>(SUM(EQ20:$EQ$53))*$EL$54/(SUM(EP20:$EP$53))</f>
        <v>3.862826777492407</v>
      </c>
    </row>
    <row r="21" spans="1:165">
      <c r="A21" s="162"/>
      <c r="B21">
        <v>19</v>
      </c>
      <c r="C21">
        <v>2</v>
      </c>
      <c r="D21" s="84">
        <f>(C21*'Dane dla CO'!$AB$53+'Dane dla CO'!$AD$53)/(C21*'Dane dla CO'!$P$35+'Dane dla CO'!$Q$35)</f>
        <v>1.321225071225071</v>
      </c>
      <c r="E21" s="84">
        <f>C21*'Dane dla CO'!$N$96+'Dane dla CO'!$N$97</f>
        <v>100.80000000000001</v>
      </c>
      <c r="F21" s="84">
        <f>IF(C21&lt;'Dane dla CO'!$Z$67,0,IF(D21&gt;1,E21,D21*E21))</f>
        <v>100.80000000000001</v>
      </c>
      <c r="G21" s="84">
        <f t="shared" si="6"/>
        <v>0</v>
      </c>
      <c r="H21" s="84">
        <f>(C21*'Dane dla CWU'!$AB$53+'Dane dla CWU'!$AD$53)/(C21*'Dane dla CO'!$P$35+'Dane dla CO'!$Q$35)</f>
        <v>1.2713675213675213</v>
      </c>
      <c r="I21" s="84">
        <f t="shared" si="7"/>
        <v>10.319026666666666</v>
      </c>
      <c r="J21" s="84">
        <f>IF(C21&lt;'Dane dla CWU'!$Z$67,0,IF(H21&gt;1,I21,H21*I21))</f>
        <v>0</v>
      </c>
      <c r="K21" s="84">
        <f t="shared" si="8"/>
        <v>10.319026666666666</v>
      </c>
      <c r="M21">
        <v>19</v>
      </c>
      <c r="N21">
        <v>4</v>
      </c>
      <c r="O21">
        <f>(N21*'Dane dla CO'!$AB$53+'Dane dla CO'!$AD$53)/(N21*'Dane dla CO'!$P$35+'Dane dla CO'!$Q$35)</f>
        <v>1.5810886644219975</v>
      </c>
      <c r="P21">
        <f>N21*'Dane dla CO'!$N$96+'Dane dla CO'!$N$97</f>
        <v>86.4</v>
      </c>
      <c r="Q21">
        <f>IF(N21&lt;'Dane dla CO'!$Z$67,0,IF(O21&gt;1,P21,O21*P21))</f>
        <v>86.4</v>
      </c>
      <c r="R21">
        <f t="shared" si="9"/>
        <v>0</v>
      </c>
      <c r="S21" s="84">
        <f>(N21*'Dane dla CWU'!$AB$53+'Dane dla CWU'!$AD$53)/(N21*'Dane dla CO'!$P$35+'Dane dla CO'!$Q$35)</f>
        <v>1.5876356154133928</v>
      </c>
      <c r="T21" s="84">
        <f t="shared" si="10"/>
        <v>10.319026666666666</v>
      </c>
      <c r="U21" s="84">
        <f>IF(N21&lt;'Dane dla CWU'!$Z$67,0,IF(S21&gt;1,T21,S21*T21))</f>
        <v>0</v>
      </c>
      <c r="V21" s="84">
        <f t="shared" si="11"/>
        <v>10.319026666666666</v>
      </c>
      <c r="X21">
        <v>19</v>
      </c>
      <c r="Y21">
        <v>7</v>
      </c>
      <c r="Z21">
        <f>(Y21*'Dane dla CO'!$AB$53+'Dane dla CO'!$AD$53)/(Y21*'Dane dla CO'!$P$35+'Dane dla CO'!$Q$35)</f>
        <v>2.2145061728395059</v>
      </c>
      <c r="AA21">
        <f>Y21*'Dane dla CO'!$N$96+'Dane dla CO'!$N$97</f>
        <v>64.800000000000011</v>
      </c>
      <c r="AB21">
        <f>IF(Y21&lt;'Dane dla CO'!$Z$67,0,IF(Z21&gt;1,AA21,Z21*AA21))</f>
        <v>64.800000000000011</v>
      </c>
      <c r="AC21">
        <f t="shared" si="12"/>
        <v>0</v>
      </c>
      <c r="AD21" s="84">
        <f>(Y21*'Dane dla CWU'!$AB$53+'Dane dla CWU'!$AD$53)/(Y21*'Dane dla CO'!$P$35+'Dane dla CO'!$Q$35)</f>
        <v>2.3585390946502054</v>
      </c>
      <c r="AE21" s="84">
        <f t="shared" si="13"/>
        <v>10.319026666666666</v>
      </c>
      <c r="AF21" s="84">
        <f>IF(Y21&lt;'Dane dla CWU'!$Z$67,0,IF(AD21&gt;1,AE21,AD21*AE21))</f>
        <v>0</v>
      </c>
      <c r="AG21" s="84">
        <f t="shared" si="14"/>
        <v>10.319026666666666</v>
      </c>
      <c r="AI21">
        <v>19</v>
      </c>
      <c r="AJ21">
        <v>10</v>
      </c>
      <c r="AK21">
        <f>(AJ21*'Dane dla CO'!$AB$53+'Dane dla CO'!$AD$53)/(AJ21*'Dane dla CO'!$P$35+'Dane dla CO'!$Q$35)</f>
        <v>3.6080246913580249</v>
      </c>
      <c r="AL21">
        <f>AJ21*'Dane dla CO'!$N$96+'Dane dla CO'!$N$97</f>
        <v>43.2</v>
      </c>
      <c r="AM21">
        <f>IF(AJ21&lt;'Dane dla CO'!$Z$67,0,IF(AK21&gt;1,AL21,AK21*AL21))</f>
        <v>43.2</v>
      </c>
      <c r="AN21">
        <f t="shared" si="15"/>
        <v>0</v>
      </c>
      <c r="AO21" s="84">
        <f>(AJ21*'Dane dla CWU'!$AB$53+'Dane dla CWU'!$AD$53)/(AJ21*'Dane dla CO'!$P$35+'Dane dla CO'!$Q$35)</f>
        <v>4.0545267489711936</v>
      </c>
      <c r="AP21" s="84">
        <f t="shared" si="16"/>
        <v>10.319026666666666</v>
      </c>
      <c r="AQ21" s="84">
        <f>IF(AJ21&lt;'Dane dla CWU'!$Z$67,0,IF(AO21&gt;1,AP21,AO21*AP21))</f>
        <v>10.319026666666666</v>
      </c>
      <c r="AR21" s="84">
        <f t="shared" si="17"/>
        <v>0</v>
      </c>
      <c r="AT21">
        <v>19</v>
      </c>
      <c r="AU21">
        <v>14</v>
      </c>
      <c r="BA21">
        <v>19</v>
      </c>
      <c r="BB21">
        <v>25</v>
      </c>
      <c r="BH21">
        <v>19</v>
      </c>
      <c r="BI21">
        <v>21</v>
      </c>
      <c r="BO21">
        <v>19</v>
      </c>
      <c r="BP21">
        <v>20</v>
      </c>
      <c r="BV21">
        <v>19</v>
      </c>
      <c r="BW21">
        <v>14</v>
      </c>
      <c r="BX21">
        <f>(BW21*'Dane dla CO'!$AB$53+'Dane dla CO'!$AD$53)/(BW21*'Dane dla CO'!$P$35+'Dane dla CO'!$Q$35)</f>
        <v>18.472222222222211</v>
      </c>
      <c r="BY21">
        <f>BW21*'Dane dla CO'!$N$96+'Dane dla CO'!$N$97</f>
        <v>14.400000000000006</v>
      </c>
      <c r="BZ21">
        <f>IF(BW21&lt;'Dane dla CO'!$Z$67,0,IF(BX21&gt;1,BY21,BX21*BY21))</f>
        <v>14.400000000000006</v>
      </c>
      <c r="CA21">
        <f t="shared" si="37"/>
        <v>0</v>
      </c>
      <c r="CB21" s="84">
        <f>(BW21*'Dane dla CWU'!$AB$53+'Dane dla CWU'!$AD$53)/(BW21*'Dane dla CO'!$P$35+'Dane dla CO'!$Q$35)</f>
        <v>22.145061728395049</v>
      </c>
      <c r="CC21" s="84">
        <f t="shared" si="18"/>
        <v>10.319026666666666</v>
      </c>
      <c r="CD21" s="84">
        <f>IF(BW21&lt;'Dane dla CWU'!$Z$67,0,IF(CB21&gt;1,CC21,CB21*CC21))</f>
        <v>10.319026666666666</v>
      </c>
      <c r="CE21" s="84">
        <f t="shared" si="20"/>
        <v>0</v>
      </c>
      <c r="CG21">
        <v>19</v>
      </c>
      <c r="CH21">
        <v>9</v>
      </c>
      <c r="CI21">
        <f>(CH21*'Dane dla CO'!$AB$53+'Dane dla CO'!$AD$53)/(CH21*'Dane dla CO'!$P$35+'Dane dla CO'!$Q$35)</f>
        <v>2.9886831275720165</v>
      </c>
      <c r="CJ21">
        <f>CH21*'Dane dla CO'!$N$96+'Dane dla CO'!$N$97</f>
        <v>50.400000000000006</v>
      </c>
      <c r="CK21">
        <f>IF(CH21&lt;'Dane dla CO'!$Z$67,0,IF(CI21&gt;1,CJ21,CI21*CJ21))</f>
        <v>50.400000000000006</v>
      </c>
      <c r="CL21">
        <f t="shared" si="21"/>
        <v>0</v>
      </c>
      <c r="CM21" s="84">
        <f>(CH21*'Dane dla CWU'!$AB$53+'Dane dla CWU'!$AD$53)/(CH21*'Dane dla CO'!$P$35+'Dane dla CO'!$Q$35)</f>
        <v>3.3007544581618653</v>
      </c>
      <c r="CN21" s="84">
        <f t="shared" si="0"/>
        <v>10.319026666666666</v>
      </c>
      <c r="CO21" s="84">
        <f>IF(CH21&lt;'Dane dla CWU'!$Z$67,0,IF(CM21&gt;1,CN21,CM21*CN21))</f>
        <v>10.319026666666666</v>
      </c>
      <c r="CP21" s="84">
        <f t="shared" si="1"/>
        <v>0</v>
      </c>
      <c r="CR21">
        <v>19</v>
      </c>
      <c r="CS21">
        <v>5</v>
      </c>
      <c r="CT21">
        <f>(CS21*'Dane dla CO'!$AB$53+'Dane dla CO'!$AD$53)/(CS21*'Dane dla CO'!$P$35+'Dane dla CO'!$Q$35)</f>
        <v>1.75</v>
      </c>
      <c r="CU21">
        <f>CS21*'Dane dla CO'!$N$96+'Dane dla CO'!$N$97</f>
        <v>79.200000000000017</v>
      </c>
      <c r="CV21">
        <f>IF(CS21&lt;'Dane dla CO'!$Z$67,0,IF(CT21&gt;1,CU21,CT21*CU21))</f>
        <v>79.200000000000017</v>
      </c>
      <c r="CW21">
        <f t="shared" si="22"/>
        <v>0</v>
      </c>
      <c r="CX21" s="84">
        <f>(CS21*'Dane dla CWU'!$AB$53+'Dane dla CWU'!$AD$53)/(CS21*'Dane dla CO'!$P$35+'Dane dla CO'!$Q$35)</f>
        <v>1.7932098765432098</v>
      </c>
      <c r="CY21" s="84">
        <f t="shared" si="2"/>
        <v>10.319026666666666</v>
      </c>
      <c r="CZ21" s="84">
        <f>IF(CS21&lt;'Dane dla CWU'!$Z$67,0,IF(CX21&gt;1,CY21,CX21*CY21))</f>
        <v>0</v>
      </c>
      <c r="DA21" s="84">
        <f t="shared" si="3"/>
        <v>10.319026666666666</v>
      </c>
      <c r="DC21">
        <v>19</v>
      </c>
      <c r="DD21">
        <v>-1</v>
      </c>
      <c r="DE21">
        <f>(DD21*'Dane dla CO'!$AB$53+'Dane dla CO'!$AD$53)/(DD21*'Dane dla CO'!$P$35+'Dane dla CO'!$Q$35)</f>
        <v>1.0532407407407407</v>
      </c>
      <c r="DF21">
        <f>DD21*'Dane dla CO'!$N$96+'Dane dla CO'!$N$97</f>
        <v>122.40000000000002</v>
      </c>
      <c r="DG21">
        <f>IF(DD21&lt;'Dane dla CO'!$Z$67,0,IF(DE21&gt;1,DF21,DE21*DF21))</f>
        <v>122.40000000000002</v>
      </c>
      <c r="DH21">
        <f t="shared" si="23"/>
        <v>0</v>
      </c>
      <c r="DI21" s="84">
        <f>(DD21*'Dane dla CWU'!$AB$53+'Dane dla CWU'!$AD$53)/(DD21*'Dane dla CO'!$P$35+'Dane dla CO'!$Q$35)</f>
        <v>0.94521604938271586</v>
      </c>
      <c r="DJ21" s="84">
        <f t="shared" si="4"/>
        <v>10.319026666666666</v>
      </c>
      <c r="DK21" s="84">
        <f>IF(DD21&lt;'Dane dla CWU'!$Z$67,0,IF(DI21&gt;1,DJ21,DI21*DJ21))</f>
        <v>0</v>
      </c>
      <c r="DL21" s="84">
        <f t="shared" si="5"/>
        <v>10.319026666666666</v>
      </c>
      <c r="DM21" s="49">
        <v>-7</v>
      </c>
      <c r="DN21" s="94">
        <f>DO21*'Dane dla CO'!$N$80</f>
        <v>670.04081632653072</v>
      </c>
      <c r="DO21" s="94">
        <f>(15-DS21)/35*'Dane dla CO'!$N$75</f>
        <v>5.862857142857143</v>
      </c>
      <c r="DP21" s="94">
        <f t="shared" si="24"/>
        <v>223.34693877551024</v>
      </c>
      <c r="DQ21" s="51">
        <v>-7</v>
      </c>
      <c r="DR21" s="52">
        <v>3</v>
      </c>
      <c r="DS21" s="52">
        <v>-4</v>
      </c>
      <c r="DT21" s="89">
        <f>Wykresy!Y19</f>
        <v>45.4</v>
      </c>
      <c r="DU21" s="90">
        <f>Wykresy!AE19</f>
        <v>29.133333333333333</v>
      </c>
      <c r="DV21" s="92">
        <f>(($DV$27-$DV$18)/9)*3+$DV$18</f>
        <v>5.0999999999999996</v>
      </c>
      <c r="DW21" s="92">
        <f>(($DW$27-$DW$18)/9)*3+$DW$18</f>
        <v>2.3833333333333333</v>
      </c>
      <c r="DX21" s="92">
        <f t="shared" si="29"/>
        <v>2.1398601398601396</v>
      </c>
      <c r="DY21" s="86">
        <f>(($DY$27-$DY$18)/9)*3+$DY$18</f>
        <v>6.3666666666666671</v>
      </c>
      <c r="DZ21" s="86">
        <f>(($DZ$27-$DZ$18)/9)*3+$DZ$18</f>
        <v>2.253333333333333</v>
      </c>
      <c r="EA21" s="96">
        <f t="shared" si="30"/>
        <v>2.8254437869822491</v>
      </c>
      <c r="EB21" s="85">
        <f t="shared" si="32"/>
        <v>3</v>
      </c>
      <c r="EC21" s="85">
        <f t="shared" si="26"/>
        <v>2.8531468531468526E-2</v>
      </c>
      <c r="ED21" s="85">
        <f>(SUM(EC21:$EC$40))*$DT$42/(SUM(EB21:$EB$40))</f>
        <v>3.339962279826107</v>
      </c>
      <c r="EE21" s="86">
        <f t="shared" si="33"/>
        <v>3</v>
      </c>
      <c r="EF21" s="86">
        <f t="shared" si="27"/>
        <v>3.7672583826429989E-2</v>
      </c>
      <c r="EG21" s="86">
        <f>(SUM(EF21:$EF$40))*$DT$42/(SUM(EE21:$EE$40))</f>
        <v>4.4229050091352367</v>
      </c>
      <c r="EI21" s="52">
        <v>3</v>
      </c>
      <c r="EJ21" s="52">
        <f t="shared" si="25"/>
        <v>28</v>
      </c>
      <c r="EK21" s="52">
        <v>-4</v>
      </c>
      <c r="EL21" s="89">
        <v>55</v>
      </c>
      <c r="EM21" s="92">
        <f t="shared" si="38"/>
        <v>4.2333333333333334</v>
      </c>
      <c r="EN21" s="92">
        <f t="shared" si="39"/>
        <v>2.5333333333333337</v>
      </c>
      <c r="EO21" s="92">
        <f t="shared" si="31"/>
        <v>1.6710526315789471</v>
      </c>
      <c r="EP21" s="85">
        <f t="shared" si="36"/>
        <v>3</v>
      </c>
      <c r="EQ21" s="85">
        <f t="shared" si="28"/>
        <v>2.2280701754385963E-2</v>
      </c>
      <c r="ER21" s="85">
        <f>(SUM(EQ21:$EQ$53))*$EL$54/(SUM(EP21:$EP$53))</f>
        <v>3.8735491377723057</v>
      </c>
    </row>
    <row r="22" spans="1:165">
      <c r="A22" s="162"/>
      <c r="B22">
        <v>20</v>
      </c>
      <c r="C22">
        <v>3</v>
      </c>
      <c r="D22" s="84">
        <f>(C22*'Dane dla CO'!$AB$53+'Dane dla CO'!$AD$53)/(C22*'Dane dla CO'!$P$35+'Dane dla CO'!$Q$35)</f>
        <v>1.4403292181069955</v>
      </c>
      <c r="E22" s="84">
        <f>C22*'Dane dla CO'!$N$96+'Dane dla CO'!$N$97</f>
        <v>93.600000000000023</v>
      </c>
      <c r="F22" s="84">
        <f>IF(C22&lt;'Dane dla CO'!$Z$67,0,IF(D22&gt;1,E22,D22*E22))</f>
        <v>93.600000000000023</v>
      </c>
      <c r="G22" s="84">
        <f t="shared" si="6"/>
        <v>0</v>
      </c>
      <c r="H22" s="84">
        <f>(C22*'Dane dla CWU'!$AB$53+'Dane dla CWU'!$AD$53)/(C22*'Dane dla CO'!$P$35+'Dane dla CO'!$Q$35)</f>
        <v>1.4163237311385457</v>
      </c>
      <c r="I22" s="84">
        <f t="shared" si="7"/>
        <v>10.319026666666666</v>
      </c>
      <c r="J22" s="84">
        <f>IF(C22&lt;'Dane dla CWU'!$Z$67,0,IF(H22&gt;1,I22,H22*I22))</f>
        <v>0</v>
      </c>
      <c r="K22" s="84">
        <f t="shared" si="8"/>
        <v>10.319026666666666</v>
      </c>
      <c r="M22">
        <v>20</v>
      </c>
      <c r="N22">
        <v>3</v>
      </c>
      <c r="O22">
        <f>(N22*'Dane dla CO'!$AB$53+'Dane dla CO'!$AD$53)/(N22*'Dane dla CO'!$P$35+'Dane dla CO'!$Q$35)</f>
        <v>1.4403292181069955</v>
      </c>
      <c r="P22">
        <f>N22*'Dane dla CO'!$N$96+'Dane dla CO'!$N$97</f>
        <v>93.600000000000023</v>
      </c>
      <c r="Q22">
        <f>IF(N22&lt;'Dane dla CO'!$Z$67,0,IF(O22&gt;1,P22,O22*P22))</f>
        <v>93.600000000000023</v>
      </c>
      <c r="R22">
        <f t="shared" si="9"/>
        <v>0</v>
      </c>
      <c r="S22" s="84">
        <f>(N22*'Dane dla CWU'!$AB$53+'Dane dla CWU'!$AD$53)/(N22*'Dane dla CO'!$P$35+'Dane dla CO'!$Q$35)</f>
        <v>1.4163237311385457</v>
      </c>
      <c r="T22" s="84">
        <f t="shared" si="10"/>
        <v>10.319026666666666</v>
      </c>
      <c r="U22" s="84">
        <f>IF(N22&lt;'Dane dla CWU'!$Z$67,0,IF(S22&gt;1,T22,S22*T22))</f>
        <v>0</v>
      </c>
      <c r="V22" s="84">
        <f t="shared" si="11"/>
        <v>10.319026666666666</v>
      </c>
      <c r="X22">
        <v>20</v>
      </c>
      <c r="Y22">
        <v>7</v>
      </c>
      <c r="Z22">
        <f>(Y22*'Dane dla CO'!$AB$53+'Dane dla CO'!$AD$53)/(Y22*'Dane dla CO'!$P$35+'Dane dla CO'!$Q$35)</f>
        <v>2.2145061728395059</v>
      </c>
      <c r="AA22">
        <f>Y22*'Dane dla CO'!$N$96+'Dane dla CO'!$N$97</f>
        <v>64.800000000000011</v>
      </c>
      <c r="AB22">
        <f>IF(Y22&lt;'Dane dla CO'!$Z$67,0,IF(Z22&gt;1,AA22,Z22*AA22))</f>
        <v>64.800000000000011</v>
      </c>
      <c r="AC22">
        <f t="shared" si="12"/>
        <v>0</v>
      </c>
      <c r="AD22" s="84">
        <f>(Y22*'Dane dla CWU'!$AB$53+'Dane dla CWU'!$AD$53)/(Y22*'Dane dla CO'!$P$35+'Dane dla CO'!$Q$35)</f>
        <v>2.3585390946502054</v>
      </c>
      <c r="AE22" s="84">
        <f t="shared" si="13"/>
        <v>10.319026666666666</v>
      </c>
      <c r="AF22" s="84">
        <f>IF(Y22&lt;'Dane dla CWU'!$Z$67,0,IF(AD22&gt;1,AE22,AD22*AE22))</f>
        <v>0</v>
      </c>
      <c r="AG22" s="84">
        <f t="shared" si="14"/>
        <v>10.319026666666666</v>
      </c>
      <c r="AI22">
        <v>20</v>
      </c>
      <c r="AJ22">
        <v>14</v>
      </c>
      <c r="AK22">
        <f>(AJ22*'Dane dla CO'!$AB$53+'Dane dla CO'!$AD$53)/(AJ22*'Dane dla CO'!$P$35+'Dane dla CO'!$Q$35)</f>
        <v>18.472222222222211</v>
      </c>
      <c r="AL22">
        <f>AJ22*'Dane dla CO'!$N$96+'Dane dla CO'!$N$97</f>
        <v>14.400000000000006</v>
      </c>
      <c r="AM22">
        <f>IF(AJ22&lt;'Dane dla CO'!$Z$67,0,IF(AK22&gt;1,AL22,AK22*AL22))</f>
        <v>14.400000000000006</v>
      </c>
      <c r="AN22">
        <f t="shared" si="15"/>
        <v>0</v>
      </c>
      <c r="AO22" s="84">
        <f>(AJ22*'Dane dla CWU'!$AB$53+'Dane dla CWU'!$AD$53)/(AJ22*'Dane dla CO'!$P$35+'Dane dla CO'!$Q$35)</f>
        <v>22.145061728395049</v>
      </c>
      <c r="AP22" s="84">
        <f t="shared" si="16"/>
        <v>10.319026666666666</v>
      </c>
      <c r="AQ22" s="84">
        <f>IF(AJ22&lt;'Dane dla CWU'!$Z$67,0,IF(AO22&gt;1,AP22,AO22*AP22))</f>
        <v>10.319026666666666</v>
      </c>
      <c r="AR22" s="84">
        <f t="shared" si="17"/>
        <v>0</v>
      </c>
      <c r="AT22">
        <v>20</v>
      </c>
      <c r="AU22">
        <v>18</v>
      </c>
      <c r="BA22">
        <v>20</v>
      </c>
      <c r="BB22">
        <v>24</v>
      </c>
      <c r="BH22">
        <v>20</v>
      </c>
      <c r="BI22">
        <v>19</v>
      </c>
      <c r="BO22">
        <v>20</v>
      </c>
      <c r="BP22">
        <v>23</v>
      </c>
      <c r="BV22">
        <v>20</v>
      </c>
      <c r="BW22">
        <v>10</v>
      </c>
      <c r="BX22">
        <f>(BW22*'Dane dla CO'!$AB$53+'Dane dla CO'!$AD$53)/(BW22*'Dane dla CO'!$P$35+'Dane dla CO'!$Q$35)</f>
        <v>3.6080246913580249</v>
      </c>
      <c r="BY22">
        <f>BW22*'Dane dla CO'!$N$96+'Dane dla CO'!$N$97</f>
        <v>43.2</v>
      </c>
      <c r="BZ22">
        <f>IF(BW22&lt;'Dane dla CO'!$Z$67,0,IF(BX22&gt;1,BY22,BX22*BY22))</f>
        <v>43.2</v>
      </c>
      <c r="CA22">
        <f t="shared" si="37"/>
        <v>0</v>
      </c>
      <c r="CB22" s="84">
        <f>(BW22*'Dane dla CWU'!$AB$53+'Dane dla CWU'!$AD$53)/(BW22*'Dane dla CO'!$P$35+'Dane dla CO'!$Q$35)</f>
        <v>4.0545267489711936</v>
      </c>
      <c r="CC22" s="84">
        <f t="shared" si="18"/>
        <v>10.319026666666666</v>
      </c>
      <c r="CD22" s="84">
        <f>IF(BW22&lt;'Dane dla CWU'!$Z$67,0,IF(CB22&gt;1,CC22,CB22*CC22))</f>
        <v>10.319026666666666</v>
      </c>
      <c r="CE22" s="84">
        <f t="shared" si="20"/>
        <v>0</v>
      </c>
      <c r="CG22">
        <v>20</v>
      </c>
      <c r="CH22">
        <v>8</v>
      </c>
      <c r="CI22">
        <f>(CH22*'Dane dla CO'!$AB$53+'Dane dla CO'!$AD$53)/(CH22*'Dane dla CO'!$P$35+'Dane dla CO'!$Q$35)</f>
        <v>2.5462962962962963</v>
      </c>
      <c r="CJ22">
        <f>CH22*'Dane dla CO'!$N$96+'Dane dla CO'!$N$97</f>
        <v>57.600000000000009</v>
      </c>
      <c r="CK22">
        <f>IF(CH22&lt;'Dane dla CO'!$Z$67,0,IF(CI22&gt;1,CJ22,CI22*CJ22))</f>
        <v>57.600000000000009</v>
      </c>
      <c r="CL22">
        <f t="shared" si="21"/>
        <v>0</v>
      </c>
      <c r="CM22" s="84">
        <f>(CH22*'Dane dla CWU'!$AB$53+'Dane dla CWU'!$AD$53)/(CH22*'Dane dla CO'!$P$35+'Dane dla CO'!$Q$35)</f>
        <v>2.7623456790123457</v>
      </c>
      <c r="CN22" s="84">
        <f t="shared" si="0"/>
        <v>10.319026666666666</v>
      </c>
      <c r="CO22" s="84">
        <f>IF(CH22&lt;'Dane dla CWU'!$Z$67,0,IF(CM22&gt;1,CN22,CM22*CN22))</f>
        <v>10.319026666666666</v>
      </c>
      <c r="CP22" s="84">
        <f t="shared" si="1"/>
        <v>0</v>
      </c>
      <c r="CR22">
        <v>20</v>
      </c>
      <c r="CS22">
        <v>5</v>
      </c>
      <c r="CT22">
        <f>(CS22*'Dane dla CO'!$AB$53+'Dane dla CO'!$AD$53)/(CS22*'Dane dla CO'!$P$35+'Dane dla CO'!$Q$35)</f>
        <v>1.75</v>
      </c>
      <c r="CU22">
        <f>CS22*'Dane dla CO'!$N$96+'Dane dla CO'!$N$97</f>
        <v>79.200000000000017</v>
      </c>
      <c r="CV22">
        <f>IF(CS22&lt;'Dane dla CO'!$Z$67,0,IF(CT22&gt;1,CU22,CT22*CU22))</f>
        <v>79.200000000000017</v>
      </c>
      <c r="CW22">
        <f t="shared" si="22"/>
        <v>0</v>
      </c>
      <c r="CX22" s="84">
        <f>(CS22*'Dane dla CWU'!$AB$53+'Dane dla CWU'!$AD$53)/(CS22*'Dane dla CO'!$P$35+'Dane dla CO'!$Q$35)</f>
        <v>1.7932098765432098</v>
      </c>
      <c r="CY22" s="84">
        <f t="shared" si="2"/>
        <v>10.319026666666666</v>
      </c>
      <c r="CZ22" s="84">
        <f>IF(CS22&lt;'Dane dla CWU'!$Z$67,0,IF(CX22&gt;1,CY22,CX22*CY22))</f>
        <v>0</v>
      </c>
      <c r="DA22" s="84">
        <f t="shared" si="3"/>
        <v>10.319026666666666</v>
      </c>
      <c r="DC22">
        <v>20</v>
      </c>
      <c r="DD22">
        <v>-5</v>
      </c>
      <c r="DE22">
        <f>(DD22*'Dane dla CO'!$AB$53+'Dane dla CO'!$AD$53)/(DD22*'Dane dla CO'!$P$35+'Dane dla CO'!$Q$35)</f>
        <v>0.82098765432098741</v>
      </c>
      <c r="DF22">
        <f>DD22*'Dane dla CO'!$N$96+'Dane dla CO'!$N$97</f>
        <v>151.20000000000002</v>
      </c>
      <c r="DG22">
        <f>IF(DD22&lt;'Dane dla CO'!$Z$67,0,IF(DE22&gt;1,DF22,DE22*DF22))</f>
        <v>0</v>
      </c>
      <c r="DH22">
        <f t="shared" si="23"/>
        <v>151.20000000000002</v>
      </c>
      <c r="DI22" s="84">
        <f>(DD22*'Dane dla CWU'!$AB$53+'Dane dla CWU'!$AD$53)/(DD22*'Dane dla CO'!$P$35+'Dane dla CO'!$Q$35)</f>
        <v>0.66255144032921798</v>
      </c>
      <c r="DJ22" s="84">
        <f t="shared" si="4"/>
        <v>10.319026666666666</v>
      </c>
      <c r="DK22" s="84">
        <f>IF(DD22&lt;'Dane dla CWU'!$Z$67,0,IF(DI22&gt;1,DJ22,DI22*DJ22))</f>
        <v>0</v>
      </c>
      <c r="DL22" s="84">
        <f t="shared" si="5"/>
        <v>10.319026666666666</v>
      </c>
      <c r="DM22" s="49">
        <v>-6</v>
      </c>
      <c r="DN22" s="94">
        <f>DO22*'Dane dla CO'!$N$80</f>
        <v>634.77551020408168</v>
      </c>
      <c r="DO22" s="94">
        <f>(15-DS22)/35*'Dane dla CO'!$N$75</f>
        <v>5.5542857142857143</v>
      </c>
      <c r="DP22" s="94">
        <f t="shared" si="24"/>
        <v>158.69387755102042</v>
      </c>
      <c r="DQ22" s="51">
        <v>-6</v>
      </c>
      <c r="DR22" s="52">
        <v>4</v>
      </c>
      <c r="DS22" s="52">
        <v>-3</v>
      </c>
      <c r="DT22" s="89">
        <f>Wykresy!Y20</f>
        <v>44.8</v>
      </c>
      <c r="DU22" s="90">
        <f>Wykresy!AE20</f>
        <v>28.766666666666669</v>
      </c>
      <c r="DV22" s="92">
        <f>(($DV$27-$DV$18)/9)*4+$DV$18</f>
        <v>5.1333333333333329</v>
      </c>
      <c r="DW22" s="92">
        <f>(($DW$27-$DW$18)/9)*4+$DW$18</f>
        <v>2.3511111111111109</v>
      </c>
      <c r="DX22" s="92">
        <f t="shared" si="29"/>
        <v>2.1833648393194705</v>
      </c>
      <c r="DY22" s="86">
        <f>(($DY$27-$DY$18)/9)*4+$DY$18</f>
        <v>6.3555555555555561</v>
      </c>
      <c r="DZ22" s="86">
        <f>(($DZ$27-$DZ$18)/9)*4+$DZ$18</f>
        <v>2.161111111111111</v>
      </c>
      <c r="EA22" s="96">
        <f t="shared" si="30"/>
        <v>2.9408740359897174</v>
      </c>
      <c r="EB22" s="85">
        <f t="shared" si="32"/>
        <v>4</v>
      </c>
      <c r="EC22" s="85">
        <f t="shared" si="26"/>
        <v>3.8815374921235032E-2</v>
      </c>
      <c r="ED22" s="85">
        <f>(SUM(EC22:$EC$40))*$DT$42/(SUM(EB22:$EB$40))</f>
        <v>3.3582379469321877</v>
      </c>
      <c r="EE22" s="86">
        <f t="shared" si="33"/>
        <v>4</v>
      </c>
      <c r="EF22" s="86">
        <f t="shared" si="27"/>
        <v>5.2282205084261645E-2</v>
      </c>
      <c r="EG22" s="86">
        <f>(SUM(EF22:$EF$40))*$DT$42/(SUM(EE22:$EE$40))</f>
        <v>4.4472318297771603</v>
      </c>
      <c r="EI22" s="52">
        <v>4</v>
      </c>
      <c r="EJ22" s="52">
        <f t="shared" si="25"/>
        <v>32</v>
      </c>
      <c r="EK22" s="52">
        <v>-3</v>
      </c>
      <c r="EL22" s="89">
        <v>55</v>
      </c>
      <c r="EM22" s="92">
        <f t="shared" si="38"/>
        <v>4.3777777777777782</v>
      </c>
      <c r="EN22" s="92">
        <f t="shared" si="39"/>
        <v>2.5511111111111116</v>
      </c>
      <c r="EO22" s="92">
        <f t="shared" si="31"/>
        <v>1.7160278745644597</v>
      </c>
      <c r="EP22" s="85">
        <f t="shared" si="36"/>
        <v>4</v>
      </c>
      <c r="EQ22" s="85">
        <f t="shared" si="28"/>
        <v>3.0507162214479282E-2</v>
      </c>
      <c r="ER22" s="85">
        <f>(SUM(EQ22:$EQ$53))*$EL$54/(SUM(EP22:$EP$53))</f>
        <v>3.8838033110599137</v>
      </c>
    </row>
    <row r="23" spans="1:165">
      <c r="A23" s="162"/>
      <c r="B23">
        <v>21</v>
      </c>
      <c r="C23">
        <v>2</v>
      </c>
      <c r="D23" s="84">
        <f>(C23*'Dane dla CO'!$AB$53+'Dane dla CO'!$AD$53)/(C23*'Dane dla CO'!$P$35+'Dane dla CO'!$Q$35)</f>
        <v>1.321225071225071</v>
      </c>
      <c r="E23" s="84">
        <f>C23*'Dane dla CO'!$N$96+'Dane dla CO'!$N$97</f>
        <v>100.80000000000001</v>
      </c>
      <c r="F23" s="84">
        <f>IF(C23&lt;'Dane dla CO'!$Z$67,0,IF(D23&gt;1,E23,D23*E23))</f>
        <v>100.80000000000001</v>
      </c>
      <c r="G23" s="84">
        <f t="shared" si="6"/>
        <v>0</v>
      </c>
      <c r="H23" s="84">
        <f>(C23*'Dane dla CWU'!$AB$53+'Dane dla CWU'!$AD$53)/(C23*'Dane dla CO'!$P$35+'Dane dla CO'!$Q$35)</f>
        <v>1.2713675213675213</v>
      </c>
      <c r="I23" s="84">
        <f t="shared" si="7"/>
        <v>10.319026666666666</v>
      </c>
      <c r="J23" s="84">
        <f>IF(C23&lt;'Dane dla CWU'!$Z$67,0,IF(H23&gt;1,I23,H23*I23))</f>
        <v>0</v>
      </c>
      <c r="K23" s="84">
        <f t="shared" si="8"/>
        <v>10.319026666666666</v>
      </c>
      <c r="M23">
        <v>21</v>
      </c>
      <c r="N23">
        <v>1</v>
      </c>
      <c r="O23">
        <f>(N23*'Dane dla CO'!$AB$53+'Dane dla CO'!$AD$53)/(N23*'Dane dla CO'!$P$35+'Dane dla CO'!$Q$35)</f>
        <v>1.2191358024691357</v>
      </c>
      <c r="P23">
        <f>N23*'Dane dla CO'!$N$96+'Dane dla CO'!$N$97</f>
        <v>108.00000000000001</v>
      </c>
      <c r="Q23">
        <f>IF(N23&lt;'Dane dla CO'!$Z$67,0,IF(O23&gt;1,P23,O23*P23))</f>
        <v>108.00000000000001</v>
      </c>
      <c r="R23">
        <f t="shared" si="9"/>
        <v>0</v>
      </c>
      <c r="S23" s="84">
        <f>(N23*'Dane dla CWU'!$AB$53+'Dane dla CWU'!$AD$53)/(N23*'Dane dla CO'!$P$35+'Dane dla CO'!$Q$35)</f>
        <v>1.1471193415637859</v>
      </c>
      <c r="T23" s="84">
        <f t="shared" si="10"/>
        <v>10.319026666666666</v>
      </c>
      <c r="U23" s="84">
        <f>IF(N23&lt;'Dane dla CWU'!$Z$67,0,IF(S23&gt;1,T23,S23*T23))</f>
        <v>0</v>
      </c>
      <c r="V23" s="84">
        <f t="shared" si="11"/>
        <v>10.319026666666666</v>
      </c>
      <c r="X23">
        <v>21</v>
      </c>
      <c r="Y23">
        <v>10</v>
      </c>
      <c r="Z23">
        <f>(Y23*'Dane dla CO'!$AB$53+'Dane dla CO'!$AD$53)/(Y23*'Dane dla CO'!$P$35+'Dane dla CO'!$Q$35)</f>
        <v>3.6080246913580249</v>
      </c>
      <c r="AA23">
        <f>Y23*'Dane dla CO'!$N$96+'Dane dla CO'!$N$97</f>
        <v>43.2</v>
      </c>
      <c r="AB23">
        <f>IF(Y23&lt;'Dane dla CO'!$Z$67,0,IF(Z23&gt;1,AA23,Z23*AA23))</f>
        <v>43.2</v>
      </c>
      <c r="AC23">
        <f t="shared" si="12"/>
        <v>0</v>
      </c>
      <c r="AD23" s="84">
        <f>(Y23*'Dane dla CWU'!$AB$53+'Dane dla CWU'!$AD$53)/(Y23*'Dane dla CO'!$P$35+'Dane dla CO'!$Q$35)</f>
        <v>4.0545267489711936</v>
      </c>
      <c r="AE23" s="84">
        <f t="shared" si="13"/>
        <v>10.319026666666666</v>
      </c>
      <c r="AF23" s="84">
        <f>IF(Y23&lt;'Dane dla CWU'!$Z$67,0,IF(AD23&gt;1,AE23,AD23*AE23))</f>
        <v>10.319026666666666</v>
      </c>
      <c r="AG23" s="84">
        <f t="shared" si="14"/>
        <v>0</v>
      </c>
      <c r="AI23">
        <v>21</v>
      </c>
      <c r="AJ23">
        <v>12</v>
      </c>
      <c r="AK23">
        <f>(AJ23*'Dane dla CO'!$AB$53+'Dane dla CO'!$AD$53)/(AJ23*'Dane dla CO'!$P$35+'Dane dla CO'!$Q$35)</f>
        <v>6.0853909465020575</v>
      </c>
      <c r="AL23">
        <f>AJ23*'Dane dla CO'!$N$96+'Dane dla CO'!$N$97</f>
        <v>28.800000000000011</v>
      </c>
      <c r="AM23">
        <f>IF(AJ23&lt;'Dane dla CO'!$Z$67,0,IF(AK23&gt;1,AL23,AK23*AL23))</f>
        <v>28.800000000000011</v>
      </c>
      <c r="AN23">
        <f t="shared" si="15"/>
        <v>0</v>
      </c>
      <c r="AO23" s="84">
        <f>(AJ23*'Dane dla CWU'!$AB$53+'Dane dla CWU'!$AD$53)/(AJ23*'Dane dla CO'!$P$35+'Dane dla CO'!$Q$35)</f>
        <v>7.0696159122085049</v>
      </c>
      <c r="AP23" s="84">
        <f t="shared" si="16"/>
        <v>10.319026666666666</v>
      </c>
      <c r="AQ23" s="84">
        <f>IF(AJ23&lt;'Dane dla CWU'!$Z$67,0,IF(AO23&gt;1,AP23,AO23*AP23))</f>
        <v>10.319026666666666</v>
      </c>
      <c r="AR23" s="84">
        <f t="shared" si="17"/>
        <v>0</v>
      </c>
      <c r="AT23">
        <v>21</v>
      </c>
      <c r="AU23">
        <v>20</v>
      </c>
      <c r="BA23">
        <v>21</v>
      </c>
      <c r="BB23">
        <v>23</v>
      </c>
      <c r="BH23">
        <v>21</v>
      </c>
      <c r="BI23">
        <v>16</v>
      </c>
      <c r="BO23">
        <v>21</v>
      </c>
      <c r="BP23">
        <v>23</v>
      </c>
      <c r="BV23">
        <v>21</v>
      </c>
      <c r="BW23">
        <v>8</v>
      </c>
      <c r="BX23">
        <f>(BW23*'Dane dla CO'!$AB$53+'Dane dla CO'!$AD$53)/(BW23*'Dane dla CO'!$P$35+'Dane dla CO'!$Q$35)</f>
        <v>2.5462962962962963</v>
      </c>
      <c r="BY23">
        <f>BW23*'Dane dla CO'!$N$96+'Dane dla CO'!$N$97</f>
        <v>57.600000000000009</v>
      </c>
      <c r="BZ23">
        <f>IF(BW23&lt;'Dane dla CO'!$Z$67,0,IF(BX23&gt;1,BY23,BX23*BY23))</f>
        <v>57.600000000000009</v>
      </c>
      <c r="CA23">
        <f t="shared" si="37"/>
        <v>0</v>
      </c>
      <c r="CB23" s="84">
        <f>(BW23*'Dane dla CWU'!$AB$53+'Dane dla CWU'!$AD$53)/(BW23*'Dane dla CO'!$P$35+'Dane dla CO'!$Q$35)</f>
        <v>2.7623456790123457</v>
      </c>
      <c r="CC23" s="84">
        <f t="shared" si="18"/>
        <v>10.319026666666666</v>
      </c>
      <c r="CD23" s="84">
        <f>IF(BW23&lt;'Dane dla CWU'!$Z$67,0,IF(CB23&gt;1,CC23,CB23*CC23))</f>
        <v>10.319026666666666</v>
      </c>
      <c r="CE23" s="84">
        <f t="shared" si="20"/>
        <v>0</v>
      </c>
      <c r="CG23">
        <v>21</v>
      </c>
      <c r="CH23">
        <v>8</v>
      </c>
      <c r="CI23">
        <f>(CH23*'Dane dla CO'!$AB$53+'Dane dla CO'!$AD$53)/(CH23*'Dane dla CO'!$P$35+'Dane dla CO'!$Q$35)</f>
        <v>2.5462962962962963</v>
      </c>
      <c r="CJ23">
        <f>CH23*'Dane dla CO'!$N$96+'Dane dla CO'!$N$97</f>
        <v>57.600000000000009</v>
      </c>
      <c r="CK23">
        <f>IF(CH23&lt;'Dane dla CO'!$Z$67,0,IF(CI23&gt;1,CJ23,CI23*CJ23))</f>
        <v>57.600000000000009</v>
      </c>
      <c r="CL23">
        <f t="shared" si="21"/>
        <v>0</v>
      </c>
      <c r="CM23" s="84">
        <f>(CH23*'Dane dla CWU'!$AB$53+'Dane dla CWU'!$AD$53)/(CH23*'Dane dla CO'!$P$35+'Dane dla CO'!$Q$35)</f>
        <v>2.7623456790123457</v>
      </c>
      <c r="CN23" s="84">
        <f t="shared" si="0"/>
        <v>10.319026666666666</v>
      </c>
      <c r="CO23" s="84">
        <f>IF(CH23&lt;'Dane dla CWU'!$Z$67,0,IF(CM23&gt;1,CN23,CM23*CN23))</f>
        <v>10.319026666666666</v>
      </c>
      <c r="CP23" s="84">
        <f t="shared" si="1"/>
        <v>0</v>
      </c>
      <c r="CR23">
        <v>21</v>
      </c>
      <c r="CS23">
        <v>4</v>
      </c>
      <c r="CT23">
        <f>(CS23*'Dane dla CO'!$AB$53+'Dane dla CO'!$AD$53)/(CS23*'Dane dla CO'!$P$35+'Dane dla CO'!$Q$35)</f>
        <v>1.5810886644219975</v>
      </c>
      <c r="CU23">
        <f>CS23*'Dane dla CO'!$N$96+'Dane dla CO'!$N$97</f>
        <v>86.4</v>
      </c>
      <c r="CV23">
        <f>IF(CS23&lt;'Dane dla CO'!$Z$67,0,IF(CT23&gt;1,CU23,CT23*CU23))</f>
        <v>86.4</v>
      </c>
      <c r="CW23">
        <f t="shared" si="22"/>
        <v>0</v>
      </c>
      <c r="CX23" s="84">
        <f>(CS23*'Dane dla CWU'!$AB$53+'Dane dla CWU'!$AD$53)/(CS23*'Dane dla CO'!$P$35+'Dane dla CO'!$Q$35)</f>
        <v>1.5876356154133928</v>
      </c>
      <c r="CY23" s="84">
        <f t="shared" si="2"/>
        <v>10.319026666666666</v>
      </c>
      <c r="CZ23" s="84">
        <f>IF(CS23&lt;'Dane dla CWU'!$Z$67,0,IF(CX23&gt;1,CY23,CX23*CY23))</f>
        <v>0</v>
      </c>
      <c r="DA23" s="84">
        <f t="shared" si="3"/>
        <v>10.319026666666666</v>
      </c>
      <c r="DC23">
        <v>21</v>
      </c>
      <c r="DD23">
        <v>-5</v>
      </c>
      <c r="DE23">
        <f>(DD23*'Dane dla CO'!$AB$53+'Dane dla CO'!$AD$53)/(DD23*'Dane dla CO'!$P$35+'Dane dla CO'!$Q$35)</f>
        <v>0.82098765432098741</v>
      </c>
      <c r="DF23">
        <f>DD23*'Dane dla CO'!$N$96+'Dane dla CO'!$N$97</f>
        <v>151.20000000000002</v>
      </c>
      <c r="DG23">
        <f>IF(DD23&lt;'Dane dla CO'!$Z$67,0,IF(DE23&gt;1,DF23,DE23*DF23))</f>
        <v>0</v>
      </c>
      <c r="DH23">
        <f t="shared" si="23"/>
        <v>151.20000000000002</v>
      </c>
      <c r="DI23" s="84">
        <f>(DD23*'Dane dla CWU'!$AB$53+'Dane dla CWU'!$AD$53)/(DD23*'Dane dla CO'!$P$35+'Dane dla CO'!$Q$35)</f>
        <v>0.66255144032921798</v>
      </c>
      <c r="DJ23" s="84">
        <f t="shared" si="4"/>
        <v>10.319026666666666</v>
      </c>
      <c r="DK23" s="84">
        <f>IF(DD23&lt;'Dane dla CWU'!$Z$67,0,IF(DI23&gt;1,DJ23,DI23*DJ23))</f>
        <v>0</v>
      </c>
      <c r="DL23" s="84">
        <f t="shared" si="5"/>
        <v>10.319026666666666</v>
      </c>
      <c r="DM23" s="49">
        <v>-6</v>
      </c>
      <c r="DN23" s="94">
        <f>DO23*'Dane dla CO'!$N$80</f>
        <v>599.51020408163276</v>
      </c>
      <c r="DO23" s="94">
        <f>(15-DS23)/35*'Dane dla CO'!$N$75</f>
        <v>5.2457142857142864</v>
      </c>
      <c r="DP23" s="94">
        <f t="shared" si="24"/>
        <v>149.87755102040819</v>
      </c>
      <c r="DQ23" s="51">
        <v>-6</v>
      </c>
      <c r="DR23" s="52">
        <v>4</v>
      </c>
      <c r="DS23" s="52">
        <v>-2</v>
      </c>
      <c r="DT23" s="89">
        <f>Wykresy!Y21</f>
        <v>44.2</v>
      </c>
      <c r="DU23" s="90">
        <f>Wykresy!AE21</f>
        <v>28.400000000000002</v>
      </c>
      <c r="DV23" s="92">
        <f>(($DV$27-$DV$18)/9)*5+$DV$18</f>
        <v>5.166666666666667</v>
      </c>
      <c r="DW23" s="92">
        <f>(($DW$27-$DW$18)/9)*5+$DW$18</f>
        <v>2.318888888888889</v>
      </c>
      <c r="DX23" s="92">
        <f t="shared" si="29"/>
        <v>2.2280785816962148</v>
      </c>
      <c r="DY23" s="86">
        <f>(($DY$27-$DY$18)/9)*5+$DY$18</f>
        <v>6.3444444444444441</v>
      </c>
      <c r="DZ23" s="86">
        <f>(($DZ$27-$DZ$18)/9)*5+$DZ$18</f>
        <v>2.068888888888889</v>
      </c>
      <c r="EA23" s="96">
        <f t="shared" si="30"/>
        <v>3.0665950590762616</v>
      </c>
      <c r="EB23" s="85">
        <f t="shared" si="32"/>
        <v>4</v>
      </c>
      <c r="EC23" s="85">
        <f t="shared" si="26"/>
        <v>3.9610285896821598E-2</v>
      </c>
      <c r="ED23" s="85">
        <f>(SUM(EC23:$EC$40))*$DT$42/(SUM(EB23:$EB$40))</f>
        <v>3.3825876486443684</v>
      </c>
      <c r="EE23" s="86">
        <f t="shared" si="33"/>
        <v>4</v>
      </c>
      <c r="EF23" s="86">
        <f t="shared" si="27"/>
        <v>5.4517245494689094E-2</v>
      </c>
      <c r="EG23" s="86">
        <f>(SUM(EF23:$EF$40))*$DT$42/(SUM(EE23:$EE$40))</f>
        <v>4.4784516804256045</v>
      </c>
      <c r="EI23" s="52">
        <v>4</v>
      </c>
      <c r="EJ23" s="52">
        <f t="shared" si="25"/>
        <v>36</v>
      </c>
      <c r="EK23" s="52">
        <v>-2</v>
      </c>
      <c r="EL23" s="89">
        <v>55</v>
      </c>
      <c r="EM23" s="92">
        <f t="shared" si="38"/>
        <v>4.522222222222223</v>
      </c>
      <c r="EN23" s="92">
        <f t="shared" si="39"/>
        <v>2.5688888888888894</v>
      </c>
      <c r="EO23" s="92">
        <f t="shared" si="31"/>
        <v>1.7603806228373702</v>
      </c>
      <c r="EP23" s="85">
        <f t="shared" si="36"/>
        <v>4</v>
      </c>
      <c r="EQ23" s="85">
        <f t="shared" si="28"/>
        <v>3.1295655517108806E-2</v>
      </c>
      <c r="ER23" s="85">
        <f>(SUM(EQ23:$EQ$53))*$EL$54/(SUM(EP23:$EP$53))</f>
        <v>3.8968859214603335</v>
      </c>
    </row>
    <row r="24" spans="1:165">
      <c r="A24" s="162"/>
      <c r="B24">
        <v>22</v>
      </c>
      <c r="C24">
        <v>3</v>
      </c>
      <c r="D24" s="84">
        <f>(C24*'Dane dla CO'!$AB$53+'Dane dla CO'!$AD$53)/(C24*'Dane dla CO'!$P$35+'Dane dla CO'!$Q$35)</f>
        <v>1.4403292181069955</v>
      </c>
      <c r="E24" s="84">
        <f>C24*'Dane dla CO'!$N$96+'Dane dla CO'!$N$97</f>
        <v>93.600000000000023</v>
      </c>
      <c r="F24" s="84">
        <f>IF(C24&lt;'Dane dla CO'!$Z$67,0,IF(D24&gt;1,E24,D24*E24))</f>
        <v>93.600000000000023</v>
      </c>
      <c r="G24" s="84">
        <f t="shared" si="6"/>
        <v>0</v>
      </c>
      <c r="H24" s="84">
        <f>(C24*'Dane dla CWU'!$AB$53+'Dane dla CWU'!$AD$53)/(C24*'Dane dla CO'!$P$35+'Dane dla CO'!$Q$35)</f>
        <v>1.4163237311385457</v>
      </c>
      <c r="I24" s="84">
        <f t="shared" si="7"/>
        <v>10.319026666666666</v>
      </c>
      <c r="J24" s="84">
        <f>IF(C24&lt;'Dane dla CWU'!$Z$67,0,IF(H24&gt;1,I24,H24*I24))</f>
        <v>0</v>
      </c>
      <c r="K24" s="84">
        <f t="shared" si="8"/>
        <v>10.319026666666666</v>
      </c>
      <c r="M24">
        <v>22</v>
      </c>
      <c r="N24">
        <v>5</v>
      </c>
      <c r="O24">
        <f>(N24*'Dane dla CO'!$AB$53+'Dane dla CO'!$AD$53)/(N24*'Dane dla CO'!$P$35+'Dane dla CO'!$Q$35)</f>
        <v>1.75</v>
      </c>
      <c r="P24">
        <f>N24*'Dane dla CO'!$N$96+'Dane dla CO'!$N$97</f>
        <v>79.200000000000017</v>
      </c>
      <c r="Q24">
        <f>IF(N24&lt;'Dane dla CO'!$Z$67,0,IF(O24&gt;1,P24,O24*P24))</f>
        <v>79.200000000000017</v>
      </c>
      <c r="R24">
        <f t="shared" si="9"/>
        <v>0</v>
      </c>
      <c r="S24" s="84">
        <f>(N24*'Dane dla CWU'!$AB$53+'Dane dla CWU'!$AD$53)/(N24*'Dane dla CO'!$P$35+'Dane dla CO'!$Q$35)</f>
        <v>1.7932098765432098</v>
      </c>
      <c r="T24" s="84">
        <f t="shared" si="10"/>
        <v>10.319026666666666</v>
      </c>
      <c r="U24" s="84">
        <f>IF(N24&lt;'Dane dla CWU'!$Z$67,0,IF(S24&gt;1,T24,S24*T24))</f>
        <v>0</v>
      </c>
      <c r="V24" s="84">
        <f t="shared" si="11"/>
        <v>10.319026666666666</v>
      </c>
      <c r="X24">
        <v>22</v>
      </c>
      <c r="Y24">
        <v>10</v>
      </c>
      <c r="Z24">
        <f>(Y24*'Dane dla CO'!$AB$53+'Dane dla CO'!$AD$53)/(Y24*'Dane dla CO'!$P$35+'Dane dla CO'!$Q$35)</f>
        <v>3.6080246913580249</v>
      </c>
      <c r="AA24">
        <f>Y24*'Dane dla CO'!$N$96+'Dane dla CO'!$N$97</f>
        <v>43.2</v>
      </c>
      <c r="AB24">
        <f>IF(Y24&lt;'Dane dla CO'!$Z$67,0,IF(Z24&gt;1,AA24,Z24*AA24))</f>
        <v>43.2</v>
      </c>
      <c r="AC24">
        <f t="shared" si="12"/>
        <v>0</v>
      </c>
      <c r="AD24" s="84">
        <f>(Y24*'Dane dla CWU'!$AB$53+'Dane dla CWU'!$AD$53)/(Y24*'Dane dla CO'!$P$35+'Dane dla CO'!$Q$35)</f>
        <v>4.0545267489711936</v>
      </c>
      <c r="AE24" s="84">
        <f t="shared" si="13"/>
        <v>10.319026666666666</v>
      </c>
      <c r="AF24" s="84">
        <f>IF(Y24&lt;'Dane dla CWU'!$Z$67,0,IF(AD24&gt;1,AE24,AD24*AE24))</f>
        <v>10.319026666666666</v>
      </c>
      <c r="AG24" s="84">
        <f t="shared" si="14"/>
        <v>0</v>
      </c>
      <c r="AI24">
        <v>22</v>
      </c>
      <c r="AJ24">
        <v>12</v>
      </c>
      <c r="AK24">
        <f>(AJ24*'Dane dla CO'!$AB$53+'Dane dla CO'!$AD$53)/(AJ24*'Dane dla CO'!$P$35+'Dane dla CO'!$Q$35)</f>
        <v>6.0853909465020575</v>
      </c>
      <c r="AL24">
        <f>AJ24*'Dane dla CO'!$N$96+'Dane dla CO'!$N$97</f>
        <v>28.800000000000011</v>
      </c>
      <c r="AM24">
        <f>IF(AJ24&lt;'Dane dla CO'!$Z$67,0,IF(AK24&gt;1,AL24,AK24*AL24))</f>
        <v>28.800000000000011</v>
      </c>
      <c r="AN24">
        <f t="shared" si="15"/>
        <v>0</v>
      </c>
      <c r="AO24" s="84">
        <f>(AJ24*'Dane dla CWU'!$AB$53+'Dane dla CWU'!$AD$53)/(AJ24*'Dane dla CO'!$P$35+'Dane dla CO'!$Q$35)</f>
        <v>7.0696159122085049</v>
      </c>
      <c r="AP24" s="84">
        <f t="shared" si="16"/>
        <v>10.319026666666666</v>
      </c>
      <c r="AQ24" s="84">
        <f>IF(AJ24&lt;'Dane dla CWU'!$Z$67,0,IF(AO24&gt;1,AP24,AO24*AP24))</f>
        <v>10.319026666666666</v>
      </c>
      <c r="AR24" s="84">
        <f t="shared" si="17"/>
        <v>0</v>
      </c>
      <c r="AT24">
        <v>22</v>
      </c>
      <c r="AU24">
        <v>21</v>
      </c>
      <c r="BA24">
        <v>22</v>
      </c>
      <c r="BB24">
        <v>20</v>
      </c>
      <c r="BH24">
        <v>22</v>
      </c>
      <c r="BI24">
        <v>16</v>
      </c>
      <c r="BO24">
        <v>22</v>
      </c>
      <c r="BP24">
        <v>23</v>
      </c>
      <c r="BV24">
        <v>22</v>
      </c>
      <c r="BW24">
        <v>9</v>
      </c>
      <c r="BX24">
        <f>(BW24*'Dane dla CO'!$AB$53+'Dane dla CO'!$AD$53)/(BW24*'Dane dla CO'!$P$35+'Dane dla CO'!$Q$35)</f>
        <v>2.9886831275720165</v>
      </c>
      <c r="BY24">
        <f>BW24*'Dane dla CO'!$N$96+'Dane dla CO'!$N$97</f>
        <v>50.400000000000006</v>
      </c>
      <c r="BZ24">
        <f>IF(BW24&lt;'Dane dla CO'!$Z$67,0,IF(BX24&gt;1,BY24,BX24*BY24))</f>
        <v>50.400000000000006</v>
      </c>
      <c r="CA24">
        <f t="shared" si="37"/>
        <v>0</v>
      </c>
      <c r="CB24" s="84">
        <f>(BW24*'Dane dla CWU'!$AB$53+'Dane dla CWU'!$AD$53)/(BW24*'Dane dla CO'!$P$35+'Dane dla CO'!$Q$35)</f>
        <v>3.3007544581618653</v>
      </c>
      <c r="CC24" s="84">
        <f t="shared" si="18"/>
        <v>10.319026666666666</v>
      </c>
      <c r="CD24" s="84">
        <f>IF(BW24&lt;'Dane dla CWU'!$Z$67,0,IF(CB24&gt;1,CC24,CB24*CC24))</f>
        <v>10.319026666666666</v>
      </c>
      <c r="CE24" s="84">
        <f t="shared" si="20"/>
        <v>0</v>
      </c>
      <c r="CG24">
        <v>22</v>
      </c>
      <c r="CH24">
        <v>9</v>
      </c>
      <c r="CI24">
        <f>(CH24*'Dane dla CO'!$AB$53+'Dane dla CO'!$AD$53)/(CH24*'Dane dla CO'!$P$35+'Dane dla CO'!$Q$35)</f>
        <v>2.9886831275720165</v>
      </c>
      <c r="CJ24">
        <f>CH24*'Dane dla CO'!$N$96+'Dane dla CO'!$N$97</f>
        <v>50.400000000000006</v>
      </c>
      <c r="CK24">
        <f>IF(CH24&lt;'Dane dla CO'!$Z$67,0,IF(CI24&gt;1,CJ24,CI24*CJ24))</f>
        <v>50.400000000000006</v>
      </c>
      <c r="CL24">
        <f t="shared" si="21"/>
        <v>0</v>
      </c>
      <c r="CM24" s="84">
        <f>(CH24*'Dane dla CWU'!$AB$53+'Dane dla CWU'!$AD$53)/(CH24*'Dane dla CO'!$P$35+'Dane dla CO'!$Q$35)</f>
        <v>3.3007544581618653</v>
      </c>
      <c r="CN24" s="84">
        <f t="shared" si="0"/>
        <v>10.319026666666666</v>
      </c>
      <c r="CO24" s="84">
        <f>IF(CH24&lt;'Dane dla CWU'!$Z$67,0,IF(CM24&gt;1,CN24,CM24*CN24))</f>
        <v>10.319026666666666</v>
      </c>
      <c r="CP24" s="84">
        <f t="shared" si="1"/>
        <v>0</v>
      </c>
      <c r="CR24">
        <v>22</v>
      </c>
      <c r="CS24">
        <v>5</v>
      </c>
      <c r="CT24">
        <f>(CS24*'Dane dla CO'!$AB$53+'Dane dla CO'!$AD$53)/(CS24*'Dane dla CO'!$P$35+'Dane dla CO'!$Q$35)</f>
        <v>1.75</v>
      </c>
      <c r="CU24">
        <f>CS24*'Dane dla CO'!$N$96+'Dane dla CO'!$N$97</f>
        <v>79.200000000000017</v>
      </c>
      <c r="CV24">
        <f>IF(CS24&lt;'Dane dla CO'!$Z$67,0,IF(CT24&gt;1,CU24,CT24*CU24))</f>
        <v>79.200000000000017</v>
      </c>
      <c r="CW24">
        <f t="shared" si="22"/>
        <v>0</v>
      </c>
      <c r="CX24" s="84">
        <f>(CS24*'Dane dla CWU'!$AB$53+'Dane dla CWU'!$AD$53)/(CS24*'Dane dla CO'!$P$35+'Dane dla CO'!$Q$35)</f>
        <v>1.7932098765432098</v>
      </c>
      <c r="CY24" s="84">
        <f t="shared" si="2"/>
        <v>10.319026666666666</v>
      </c>
      <c r="CZ24" s="84">
        <f>IF(CS24&lt;'Dane dla CWU'!$Z$67,0,IF(CX24&gt;1,CY24,CX24*CY24))</f>
        <v>0</v>
      </c>
      <c r="DA24" s="84">
        <f t="shared" si="3"/>
        <v>10.319026666666666</v>
      </c>
      <c r="DC24">
        <v>22</v>
      </c>
      <c r="DD24">
        <v>-4</v>
      </c>
      <c r="DE24">
        <f>(DD24*'Dane dla CO'!$AB$53+'Dane dla CO'!$AD$53)/(DD24*'Dane dla CO'!$P$35+'Dane dla CO'!$Q$35)</f>
        <v>0.86988304093567259</v>
      </c>
      <c r="DF24">
        <f>DD24*'Dane dla CO'!$N$96+'Dane dla CO'!$N$97</f>
        <v>144.00000000000003</v>
      </c>
      <c r="DG24">
        <f>IF(DD24&lt;'Dane dla CO'!$Z$67,0,IF(DE24&gt;1,DF24,DE24*DF24))</f>
        <v>0</v>
      </c>
      <c r="DH24">
        <f t="shared" si="23"/>
        <v>144.00000000000003</v>
      </c>
      <c r="DI24" s="84">
        <f>(DD24*'Dane dla CWU'!$AB$53+'Dane dla CWU'!$AD$53)/(DD24*'Dane dla CO'!$P$35+'Dane dla CO'!$Q$35)</f>
        <v>0.72205977907732288</v>
      </c>
      <c r="DJ24" s="84">
        <f t="shared" si="4"/>
        <v>10.319026666666666</v>
      </c>
      <c r="DK24" s="84">
        <f>IF(DD24&lt;'Dane dla CWU'!$Z$67,0,IF(DI24&gt;1,DJ24,DI24*DJ24))</f>
        <v>0</v>
      </c>
      <c r="DL24" s="84">
        <f t="shared" si="5"/>
        <v>10.319026666666666</v>
      </c>
      <c r="DM24" s="49">
        <v>-5</v>
      </c>
      <c r="DN24" s="94">
        <f>DO24*'Dane dla CO'!$N$80</f>
        <v>564.24489795918373</v>
      </c>
      <c r="DO24" s="94">
        <f>(15-DS24)/35*'Dane dla CO'!$N$75</f>
        <v>4.9371428571428577</v>
      </c>
      <c r="DP24" s="94">
        <f t="shared" si="24"/>
        <v>70.530612244897966</v>
      </c>
      <c r="DQ24" s="51">
        <v>-5</v>
      </c>
      <c r="DR24" s="52">
        <v>8</v>
      </c>
      <c r="DS24" s="52">
        <v>-1</v>
      </c>
      <c r="DT24" s="89">
        <f>Wykresy!Y22</f>
        <v>43.6</v>
      </c>
      <c r="DU24" s="90">
        <f>Wykresy!AE22</f>
        <v>28.033333333333335</v>
      </c>
      <c r="DV24" s="92">
        <f>(($DV$27-$DV$18)/9)*6+$DV$18</f>
        <v>5.2</v>
      </c>
      <c r="DW24" s="92">
        <f>(($DW$27-$DW$18)/9)*6+$DW$18</f>
        <v>2.2866666666666666</v>
      </c>
      <c r="DX24" s="92">
        <f t="shared" si="29"/>
        <v>2.2740524781341107</v>
      </c>
      <c r="DY24" s="86">
        <f>(($DY$27-$DY$18)/9)*6+$DY$18</f>
        <v>6.333333333333333</v>
      </c>
      <c r="DZ24" s="86">
        <f>(($DZ$27-$DZ$18)/9)*6+$DZ$18</f>
        <v>1.9766666666666666</v>
      </c>
      <c r="EA24" s="96">
        <f t="shared" si="30"/>
        <v>3.2040472175379429</v>
      </c>
      <c r="EB24" s="85">
        <f t="shared" si="32"/>
        <v>8</v>
      </c>
      <c r="EC24" s="85">
        <f t="shared" si="26"/>
        <v>8.0855199222546165E-2</v>
      </c>
      <c r="ED24" s="85">
        <f>(SUM(EC24:$EC$40))*$DT$42/(SUM(EB24:$EB$40))</f>
        <v>3.4070217029713126</v>
      </c>
      <c r="EE24" s="86">
        <f t="shared" si="33"/>
        <v>8</v>
      </c>
      <c r="EF24" s="86">
        <f t="shared" si="27"/>
        <v>0.11392167884579352</v>
      </c>
      <c r="EG24" s="86">
        <f>(SUM(EF24:$EF$40))*$DT$42/(SUM(EE24:$EE$40))</f>
        <v>4.5083322438404059</v>
      </c>
      <c r="EI24" s="52">
        <v>8</v>
      </c>
      <c r="EJ24" s="52">
        <f t="shared" si="25"/>
        <v>44</v>
      </c>
      <c r="EK24" s="52">
        <v>-1</v>
      </c>
      <c r="EL24" s="89">
        <v>55</v>
      </c>
      <c r="EM24" s="92">
        <f t="shared" si="38"/>
        <v>4.6666666666666679</v>
      </c>
      <c r="EN24" s="92">
        <f t="shared" si="39"/>
        <v>2.5866666666666673</v>
      </c>
      <c r="EO24" s="92">
        <f t="shared" si="31"/>
        <v>1.8041237113402062</v>
      </c>
      <c r="EP24" s="85">
        <f t="shared" si="36"/>
        <v>8</v>
      </c>
      <c r="EQ24" s="85">
        <f t="shared" si="28"/>
        <v>6.414662084765177E-2</v>
      </c>
      <c r="ER24" s="85">
        <f>(SUM(EQ24:$EQ$53))*$EL$54/(SUM(EP24:$EP$53))</f>
        <v>3.9094111752984535</v>
      </c>
    </row>
    <row r="25" spans="1:165">
      <c r="A25" s="162"/>
      <c r="B25">
        <v>23</v>
      </c>
      <c r="C25">
        <v>3</v>
      </c>
      <c r="D25" s="84">
        <f>(C25*'Dane dla CO'!$AB$53+'Dane dla CO'!$AD$53)/(C25*'Dane dla CO'!$P$35+'Dane dla CO'!$Q$35)</f>
        <v>1.4403292181069955</v>
      </c>
      <c r="E25" s="84">
        <f>C25*'Dane dla CO'!$N$96+'Dane dla CO'!$N$97</f>
        <v>93.600000000000023</v>
      </c>
      <c r="F25" s="84">
        <f>IF(C25&lt;'Dane dla CO'!$Z$67,0,IF(D25&gt;1,E25,D25*E25))</f>
        <v>93.600000000000023</v>
      </c>
      <c r="G25" s="84">
        <f t="shared" si="6"/>
        <v>0</v>
      </c>
      <c r="H25" s="84">
        <f>(C25*'Dane dla CWU'!$AB$53+'Dane dla CWU'!$AD$53)/(C25*'Dane dla CO'!$P$35+'Dane dla CO'!$Q$35)</f>
        <v>1.4163237311385457</v>
      </c>
      <c r="I25" s="84">
        <f t="shared" si="7"/>
        <v>10.319026666666666</v>
      </c>
      <c r="J25" s="84">
        <f>IF(C25&lt;'Dane dla CWU'!$Z$67,0,IF(H25&gt;1,I25,H25*I25))</f>
        <v>0</v>
      </c>
      <c r="K25" s="84">
        <f t="shared" si="8"/>
        <v>10.319026666666666</v>
      </c>
      <c r="M25">
        <v>23</v>
      </c>
      <c r="N25">
        <v>5</v>
      </c>
      <c r="O25">
        <f>(N25*'Dane dla CO'!$AB$53+'Dane dla CO'!$AD$53)/(N25*'Dane dla CO'!$P$35+'Dane dla CO'!$Q$35)</f>
        <v>1.75</v>
      </c>
      <c r="P25">
        <f>N25*'Dane dla CO'!$N$96+'Dane dla CO'!$N$97</f>
        <v>79.200000000000017</v>
      </c>
      <c r="Q25">
        <f>IF(N25&lt;'Dane dla CO'!$Z$67,0,IF(O25&gt;1,P25,O25*P25))</f>
        <v>79.200000000000017</v>
      </c>
      <c r="R25">
        <f t="shared" si="9"/>
        <v>0</v>
      </c>
      <c r="S25" s="84">
        <f>(N25*'Dane dla CWU'!$AB$53+'Dane dla CWU'!$AD$53)/(N25*'Dane dla CO'!$P$35+'Dane dla CO'!$Q$35)</f>
        <v>1.7932098765432098</v>
      </c>
      <c r="T25" s="84">
        <f t="shared" si="10"/>
        <v>10.319026666666666</v>
      </c>
      <c r="U25" s="84">
        <f>IF(N25&lt;'Dane dla CWU'!$Z$67,0,IF(S25&gt;1,T25,S25*T25))</f>
        <v>0</v>
      </c>
      <c r="V25" s="84">
        <f t="shared" si="11"/>
        <v>10.319026666666666</v>
      </c>
      <c r="X25">
        <v>23</v>
      </c>
      <c r="Y25">
        <v>8</v>
      </c>
      <c r="Z25">
        <f>(Y25*'Dane dla CO'!$AB$53+'Dane dla CO'!$AD$53)/(Y25*'Dane dla CO'!$P$35+'Dane dla CO'!$Q$35)</f>
        <v>2.5462962962962963</v>
      </c>
      <c r="AA25">
        <f>Y25*'Dane dla CO'!$N$96+'Dane dla CO'!$N$97</f>
        <v>57.600000000000009</v>
      </c>
      <c r="AB25">
        <f>IF(Y25&lt;'Dane dla CO'!$Z$67,0,IF(Z25&gt;1,AA25,Z25*AA25))</f>
        <v>57.600000000000009</v>
      </c>
      <c r="AC25">
        <f t="shared" si="12"/>
        <v>0</v>
      </c>
      <c r="AD25" s="84">
        <f>(Y25*'Dane dla CWU'!$AB$53+'Dane dla CWU'!$AD$53)/(Y25*'Dane dla CO'!$P$35+'Dane dla CO'!$Q$35)</f>
        <v>2.7623456790123457</v>
      </c>
      <c r="AE25" s="84">
        <f t="shared" si="13"/>
        <v>10.319026666666666</v>
      </c>
      <c r="AF25" s="84">
        <f>IF(Y25&lt;'Dane dla CWU'!$Z$67,0,IF(AD25&gt;1,AE25,AD25*AE25))</f>
        <v>10.319026666666666</v>
      </c>
      <c r="AG25" s="84">
        <f t="shared" si="14"/>
        <v>0</v>
      </c>
      <c r="AI25">
        <v>23</v>
      </c>
      <c r="AJ25">
        <v>13</v>
      </c>
      <c r="AK25">
        <f>(AJ25*'Dane dla CO'!$AB$53+'Dane dla CO'!$AD$53)/(AJ25*'Dane dla CO'!$P$35+'Dane dla CO'!$Q$35)</f>
        <v>9.1820987654320927</v>
      </c>
      <c r="AL25">
        <f>AJ25*'Dane dla CO'!$N$96+'Dane dla CO'!$N$97</f>
        <v>21.600000000000009</v>
      </c>
      <c r="AM25">
        <f>IF(AJ25&lt;'Dane dla CO'!$Z$67,0,IF(AK25&gt;1,AL25,AK25*AL25))</f>
        <v>21.600000000000009</v>
      </c>
      <c r="AN25">
        <f t="shared" si="15"/>
        <v>0</v>
      </c>
      <c r="AO25" s="84">
        <f>(AJ25*'Dane dla CWU'!$AB$53+'Dane dla CWU'!$AD$53)/(AJ25*'Dane dla CO'!$P$35+'Dane dla CO'!$Q$35)</f>
        <v>10.838477366255137</v>
      </c>
      <c r="AP25" s="84">
        <f t="shared" si="16"/>
        <v>10.319026666666666</v>
      </c>
      <c r="AQ25" s="84">
        <f>IF(AJ25&lt;'Dane dla CWU'!$Z$67,0,IF(AO25&gt;1,AP25,AO25*AP25))</f>
        <v>10.319026666666666</v>
      </c>
      <c r="AR25" s="84">
        <f t="shared" si="17"/>
        <v>0</v>
      </c>
      <c r="AT25">
        <v>23</v>
      </c>
      <c r="AU25">
        <v>21</v>
      </c>
      <c r="BA25">
        <v>23</v>
      </c>
      <c r="BB25">
        <v>20</v>
      </c>
      <c r="BH25">
        <v>23</v>
      </c>
      <c r="BI25">
        <v>17</v>
      </c>
      <c r="BO25">
        <v>23</v>
      </c>
      <c r="BP25">
        <v>22</v>
      </c>
      <c r="BV25">
        <v>23</v>
      </c>
      <c r="BW25">
        <v>10</v>
      </c>
      <c r="BX25">
        <f>(BW25*'Dane dla CO'!$AB$53+'Dane dla CO'!$AD$53)/(BW25*'Dane dla CO'!$P$35+'Dane dla CO'!$Q$35)</f>
        <v>3.6080246913580249</v>
      </c>
      <c r="BY25">
        <f>BW25*'Dane dla CO'!$N$96+'Dane dla CO'!$N$97</f>
        <v>43.2</v>
      </c>
      <c r="BZ25">
        <f>IF(BW25&lt;'Dane dla CO'!$Z$67,0,IF(BX25&gt;1,BY25,BX25*BY25))</f>
        <v>43.2</v>
      </c>
      <c r="CA25">
        <f t="shared" si="37"/>
        <v>0</v>
      </c>
      <c r="CB25" s="84">
        <f>(BW25*'Dane dla CWU'!$AB$53+'Dane dla CWU'!$AD$53)/(BW25*'Dane dla CO'!$P$35+'Dane dla CO'!$Q$35)</f>
        <v>4.0545267489711936</v>
      </c>
      <c r="CC25" s="84">
        <f t="shared" si="18"/>
        <v>10.319026666666666</v>
      </c>
      <c r="CD25" s="84">
        <f>IF(BW25&lt;'Dane dla CWU'!$Z$67,0,IF(CB25&gt;1,CC25,CB25*CC25))</f>
        <v>10.319026666666666</v>
      </c>
      <c r="CE25" s="84">
        <f t="shared" si="20"/>
        <v>0</v>
      </c>
      <c r="CG25">
        <v>23</v>
      </c>
      <c r="CH25">
        <v>9</v>
      </c>
      <c r="CI25">
        <f>(CH25*'Dane dla CO'!$AB$53+'Dane dla CO'!$AD$53)/(CH25*'Dane dla CO'!$P$35+'Dane dla CO'!$Q$35)</f>
        <v>2.9886831275720165</v>
      </c>
      <c r="CJ25">
        <f>CH25*'Dane dla CO'!$N$96+'Dane dla CO'!$N$97</f>
        <v>50.400000000000006</v>
      </c>
      <c r="CK25">
        <f>IF(CH25&lt;'Dane dla CO'!$Z$67,0,IF(CI25&gt;1,CJ25,CI25*CJ25))</f>
        <v>50.400000000000006</v>
      </c>
      <c r="CL25">
        <f t="shared" si="21"/>
        <v>0</v>
      </c>
      <c r="CM25" s="84">
        <f>(CH25*'Dane dla CWU'!$AB$53+'Dane dla CWU'!$AD$53)/(CH25*'Dane dla CO'!$P$35+'Dane dla CO'!$Q$35)</f>
        <v>3.3007544581618653</v>
      </c>
      <c r="CN25" s="84">
        <f t="shared" si="0"/>
        <v>10.319026666666666</v>
      </c>
      <c r="CO25" s="84">
        <f>IF(CH25&lt;'Dane dla CWU'!$Z$67,0,IF(CM25&gt;1,CN25,CM25*CN25))</f>
        <v>10.319026666666666</v>
      </c>
      <c r="CP25" s="84">
        <f t="shared" si="1"/>
        <v>0</v>
      </c>
      <c r="CR25">
        <v>23</v>
      </c>
      <c r="CS25">
        <v>6</v>
      </c>
      <c r="CT25">
        <f>(CS25*'Dane dla CO'!$AB$53+'Dane dla CO'!$AD$53)/(CS25*'Dane dla CO'!$P$35+'Dane dla CO'!$Q$35)</f>
        <v>1.9564471879286691</v>
      </c>
      <c r="CU25">
        <f>CS25*'Dane dla CO'!$N$96+'Dane dla CO'!$N$97</f>
        <v>72.000000000000014</v>
      </c>
      <c r="CV25">
        <f>IF(CS25&lt;'Dane dla CO'!$Z$67,0,IF(CT25&gt;1,CU25,CT25*CU25))</f>
        <v>72.000000000000014</v>
      </c>
      <c r="CW25">
        <f t="shared" si="22"/>
        <v>0</v>
      </c>
      <c r="CX25" s="84">
        <f>(CS25*'Dane dla CWU'!$AB$53+'Dane dla CWU'!$AD$53)/(CS25*'Dane dla CO'!$P$35+'Dane dla CO'!$Q$35)</f>
        <v>2.0444673068129853</v>
      </c>
      <c r="CY25" s="84">
        <f t="shared" si="2"/>
        <v>10.319026666666666</v>
      </c>
      <c r="CZ25" s="84">
        <f>IF(CS25&lt;'Dane dla CWU'!$Z$67,0,IF(CX25&gt;1,CY25,CX25*CY25))</f>
        <v>0</v>
      </c>
      <c r="DA25" s="84">
        <f t="shared" si="3"/>
        <v>10.319026666666666</v>
      </c>
      <c r="DC25">
        <v>23</v>
      </c>
      <c r="DD25">
        <v>-2</v>
      </c>
      <c r="DE25">
        <f>(DD25*'Dane dla CO'!$AB$53+'Dane dla CO'!$AD$53)/(DD25*'Dane dla CO'!$P$35+'Dane dla CO'!$Q$35)</f>
        <v>0.98493100944081324</v>
      </c>
      <c r="DF25">
        <f>DD25*'Dane dla CO'!$N$96+'Dane dla CO'!$N$97</f>
        <v>129.60000000000002</v>
      </c>
      <c r="DG25">
        <f>IF(DD25&lt;'Dane dla CO'!$Z$67,0,IF(DE25&gt;1,DF25,DE25*DF25))</f>
        <v>127.64705882352942</v>
      </c>
      <c r="DH25">
        <f t="shared" si="23"/>
        <v>1.9529411764706026</v>
      </c>
      <c r="DI25" s="84">
        <f>(DD25*'Dane dla CWU'!$AB$53+'Dane dla CWU'!$AD$53)/(DD25*'Dane dla CO'!$P$35+'Dane dla CO'!$Q$35)</f>
        <v>0.86207939966109892</v>
      </c>
      <c r="DJ25" s="84">
        <f t="shared" si="4"/>
        <v>10.319026666666666</v>
      </c>
      <c r="DK25" s="84">
        <f>IF(DD25&lt;'Dane dla CWU'!$Z$67,0,IF(DI25&gt;1,DJ25,DI25*DJ25))</f>
        <v>0</v>
      </c>
      <c r="DL25" s="84">
        <f t="shared" si="5"/>
        <v>10.319026666666666</v>
      </c>
      <c r="DM25" s="49">
        <v>-5</v>
      </c>
      <c r="DN25" s="94">
        <f>DO25*'Dane dla CO'!$N$80</f>
        <v>528.97959183673481</v>
      </c>
      <c r="DO25" s="94">
        <f>(15-DS25)/35*'Dane dla CO'!$N$75</f>
        <v>4.628571428571429</v>
      </c>
      <c r="DP25" s="94">
        <f t="shared" si="24"/>
        <v>31.116446578631461</v>
      </c>
      <c r="DQ25" s="51">
        <v>-5</v>
      </c>
      <c r="DR25" s="52">
        <v>17</v>
      </c>
      <c r="DS25" s="52">
        <v>0</v>
      </c>
      <c r="DT25" s="89">
        <f>Wykresy!Y23</f>
        <v>43</v>
      </c>
      <c r="DU25" s="90">
        <f>Wykresy!AE23</f>
        <v>27.666666666666668</v>
      </c>
      <c r="DV25" s="92">
        <f>(($DV$27-$DV$18)/9)*7+$DV$18</f>
        <v>5.2333333333333334</v>
      </c>
      <c r="DW25" s="92">
        <f>(($DW$27-$DW$18)/9)*7+$DW$18</f>
        <v>2.2544444444444443</v>
      </c>
      <c r="DX25" s="92">
        <f t="shared" si="29"/>
        <v>2.32134056185313</v>
      </c>
      <c r="DY25" s="86">
        <f>(($DY$27-$DY$18)/9)*7+$DY$18</f>
        <v>6.322222222222222</v>
      </c>
      <c r="DZ25" s="86">
        <f>(($DZ$27-$DZ$18)/9)*7+$DZ$18</f>
        <v>1.8844444444444444</v>
      </c>
      <c r="EA25" s="96">
        <f t="shared" si="30"/>
        <v>3.3549528301886791</v>
      </c>
      <c r="EB25" s="85">
        <f t="shared" si="32"/>
        <v>17</v>
      </c>
      <c r="EC25" s="85">
        <f t="shared" si="26"/>
        <v>0.1753901757844587</v>
      </c>
      <c r="ED25" s="85">
        <f>(SUM(EC25:$EC$40))*$DT$42/(SUM(EB25:$EB$40))</f>
        <v>3.4570976908094218</v>
      </c>
      <c r="EE25" s="86">
        <f t="shared" si="33"/>
        <v>17</v>
      </c>
      <c r="EF25" s="86">
        <f t="shared" si="27"/>
        <v>0.25348532494758907</v>
      </c>
      <c r="EG25" s="86">
        <f>(SUM(EF25:$EF$40))*$DT$42/(SUM(EE25:$EE$40))</f>
        <v>4.5659802008040504</v>
      </c>
      <c r="EI25" s="52">
        <v>17</v>
      </c>
      <c r="EJ25" s="52">
        <f t="shared" si="25"/>
        <v>61</v>
      </c>
      <c r="EK25" s="52">
        <v>0</v>
      </c>
      <c r="EL25" s="89">
        <v>55</v>
      </c>
      <c r="EM25" s="92">
        <f t="shared" si="38"/>
        <v>4.8111111111111127</v>
      </c>
      <c r="EN25" s="92">
        <f t="shared" si="39"/>
        <v>2.6044444444444452</v>
      </c>
      <c r="EO25" s="92">
        <f t="shared" si="31"/>
        <v>1.8472696245733788</v>
      </c>
      <c r="EP25" s="85">
        <f t="shared" si="36"/>
        <v>17</v>
      </c>
      <c r="EQ25" s="85">
        <f t="shared" si="28"/>
        <v>0.13957148274554418</v>
      </c>
      <c r="ER25" s="85">
        <f>(SUM(EQ25:$EQ$53))*$EL$54/(SUM(EP25:$EP$53))</f>
        <v>3.9336274056467366</v>
      </c>
    </row>
    <row r="26" spans="1:165">
      <c r="A26" s="162"/>
      <c r="B26">
        <v>24</v>
      </c>
      <c r="C26">
        <v>1</v>
      </c>
      <c r="D26" s="84">
        <f>(C26*'Dane dla CO'!$AB$53+'Dane dla CO'!$AD$53)/(C26*'Dane dla CO'!$P$35+'Dane dla CO'!$Q$35)</f>
        <v>1.2191358024691357</v>
      </c>
      <c r="E26" s="84">
        <f>C26*'Dane dla CO'!$N$96+'Dane dla CO'!$N$97</f>
        <v>108.00000000000001</v>
      </c>
      <c r="F26" s="84">
        <f>IF(C26&lt;'Dane dla CO'!$Z$67,0,IF(D26&gt;1,E26,D26*E26))</f>
        <v>108.00000000000001</v>
      </c>
      <c r="G26" s="84">
        <f t="shared" si="6"/>
        <v>0</v>
      </c>
      <c r="H26" s="84">
        <f>(C26*'Dane dla CWU'!$AB$53+'Dane dla CWU'!$AD$53)/(C26*'Dane dla CO'!$P$35+'Dane dla CO'!$Q$35)</f>
        <v>1.1471193415637859</v>
      </c>
      <c r="I26" s="84">
        <f t="shared" si="7"/>
        <v>10.319026666666666</v>
      </c>
      <c r="J26" s="84">
        <f>IF(C26&lt;'Dane dla CWU'!$Z$67,0,IF(H26&gt;1,I26,H26*I26))</f>
        <v>0</v>
      </c>
      <c r="K26" s="84">
        <f t="shared" si="8"/>
        <v>10.319026666666666</v>
      </c>
      <c r="M26">
        <v>24</v>
      </c>
      <c r="N26">
        <v>8</v>
      </c>
      <c r="O26">
        <f>(N26*'Dane dla CO'!$AB$53+'Dane dla CO'!$AD$53)/(N26*'Dane dla CO'!$P$35+'Dane dla CO'!$Q$35)</f>
        <v>2.5462962962962963</v>
      </c>
      <c r="P26">
        <f>N26*'Dane dla CO'!$N$96+'Dane dla CO'!$N$97</f>
        <v>57.600000000000009</v>
      </c>
      <c r="Q26">
        <f>IF(N26&lt;'Dane dla CO'!$Z$67,0,IF(O26&gt;1,P26,O26*P26))</f>
        <v>57.600000000000009</v>
      </c>
      <c r="R26">
        <f t="shared" si="9"/>
        <v>0</v>
      </c>
      <c r="S26" s="84">
        <f>(N26*'Dane dla CWU'!$AB$53+'Dane dla CWU'!$AD$53)/(N26*'Dane dla CO'!$P$35+'Dane dla CO'!$Q$35)</f>
        <v>2.7623456790123457</v>
      </c>
      <c r="T26" s="84">
        <f t="shared" si="10"/>
        <v>10.319026666666666</v>
      </c>
      <c r="U26" s="84">
        <f>IF(N26&lt;'Dane dla CWU'!$Z$67,0,IF(S26&gt;1,T26,S26*T26))</f>
        <v>10.319026666666666</v>
      </c>
      <c r="V26" s="84">
        <f t="shared" si="11"/>
        <v>0</v>
      </c>
      <c r="X26">
        <v>24</v>
      </c>
      <c r="Y26">
        <v>9</v>
      </c>
      <c r="Z26">
        <f>(Y26*'Dane dla CO'!$AB$53+'Dane dla CO'!$AD$53)/(Y26*'Dane dla CO'!$P$35+'Dane dla CO'!$Q$35)</f>
        <v>2.9886831275720165</v>
      </c>
      <c r="AA26">
        <f>Y26*'Dane dla CO'!$N$96+'Dane dla CO'!$N$97</f>
        <v>50.400000000000006</v>
      </c>
      <c r="AB26">
        <f>IF(Y26&lt;'Dane dla CO'!$Z$67,0,IF(Z26&gt;1,AA26,Z26*AA26))</f>
        <v>50.400000000000006</v>
      </c>
      <c r="AC26">
        <f t="shared" si="12"/>
        <v>0</v>
      </c>
      <c r="AD26" s="84">
        <f>(Y26*'Dane dla CWU'!$AB$53+'Dane dla CWU'!$AD$53)/(Y26*'Dane dla CO'!$P$35+'Dane dla CO'!$Q$35)</f>
        <v>3.3007544581618653</v>
      </c>
      <c r="AE26" s="84">
        <f t="shared" si="13"/>
        <v>10.319026666666666</v>
      </c>
      <c r="AF26" s="84">
        <f>IF(Y26&lt;'Dane dla CWU'!$Z$67,0,IF(AD26&gt;1,AE26,AD26*AE26))</f>
        <v>10.319026666666666</v>
      </c>
      <c r="AG26" s="84">
        <f t="shared" si="14"/>
        <v>0</v>
      </c>
      <c r="AI26">
        <v>24</v>
      </c>
      <c r="AJ26">
        <v>13</v>
      </c>
      <c r="AK26">
        <f>(AJ26*'Dane dla CO'!$AB$53+'Dane dla CO'!$AD$53)/(AJ26*'Dane dla CO'!$P$35+'Dane dla CO'!$Q$35)</f>
        <v>9.1820987654320927</v>
      </c>
      <c r="AL26">
        <f>AJ26*'Dane dla CO'!$N$96+'Dane dla CO'!$N$97</f>
        <v>21.600000000000009</v>
      </c>
      <c r="AM26">
        <f>IF(AJ26&lt;'Dane dla CO'!$Z$67,0,IF(AK26&gt;1,AL26,AK26*AL26))</f>
        <v>21.600000000000009</v>
      </c>
      <c r="AN26">
        <f t="shared" si="15"/>
        <v>0</v>
      </c>
      <c r="AO26" s="84">
        <f>(AJ26*'Dane dla CWU'!$AB$53+'Dane dla CWU'!$AD$53)/(AJ26*'Dane dla CO'!$P$35+'Dane dla CO'!$Q$35)</f>
        <v>10.838477366255137</v>
      </c>
      <c r="AP26" s="84">
        <f t="shared" si="16"/>
        <v>10.319026666666666</v>
      </c>
      <c r="AQ26" s="84">
        <f>IF(AJ26&lt;'Dane dla CWU'!$Z$67,0,IF(AO26&gt;1,AP26,AO26*AP26))</f>
        <v>10.319026666666666</v>
      </c>
      <c r="AR26" s="84">
        <f t="shared" si="17"/>
        <v>0</v>
      </c>
      <c r="AT26">
        <v>24</v>
      </c>
      <c r="AU26">
        <v>20</v>
      </c>
      <c r="BA26">
        <v>24</v>
      </c>
      <c r="BB26">
        <v>21</v>
      </c>
      <c r="BH26">
        <v>24</v>
      </c>
      <c r="BI26">
        <v>19</v>
      </c>
      <c r="BO26">
        <v>24</v>
      </c>
      <c r="BP26">
        <v>22</v>
      </c>
      <c r="BV26">
        <v>24</v>
      </c>
      <c r="BW26">
        <v>13</v>
      </c>
      <c r="BX26">
        <f>(BW26*'Dane dla CO'!$AB$53+'Dane dla CO'!$AD$53)/(BW26*'Dane dla CO'!$P$35+'Dane dla CO'!$Q$35)</f>
        <v>9.1820987654320927</v>
      </c>
      <c r="BY26">
        <f>BW26*'Dane dla CO'!$N$96+'Dane dla CO'!$N$97</f>
        <v>21.600000000000009</v>
      </c>
      <c r="BZ26">
        <f>IF(BW26&lt;'Dane dla CO'!$Z$67,0,IF(BX26&gt;1,BY26,BX26*BY26))</f>
        <v>21.600000000000009</v>
      </c>
      <c r="CA26">
        <f t="shared" si="37"/>
        <v>0</v>
      </c>
      <c r="CB26" s="84">
        <f>(BW26*'Dane dla CWU'!$AB$53+'Dane dla CWU'!$AD$53)/(BW26*'Dane dla CO'!$P$35+'Dane dla CO'!$Q$35)</f>
        <v>10.838477366255137</v>
      </c>
      <c r="CC26" s="84">
        <f t="shared" si="18"/>
        <v>10.319026666666666</v>
      </c>
      <c r="CD26" s="84">
        <f>IF(BW26&lt;'Dane dla CWU'!$Z$67,0,IF(CB26&gt;1,CC26,CB26*CC26))</f>
        <v>10.319026666666666</v>
      </c>
      <c r="CE26" s="84">
        <f t="shared" si="20"/>
        <v>0</v>
      </c>
      <c r="CG26">
        <v>24</v>
      </c>
      <c r="CH26">
        <v>8</v>
      </c>
      <c r="CI26">
        <f>(CH26*'Dane dla CO'!$AB$53+'Dane dla CO'!$AD$53)/(CH26*'Dane dla CO'!$P$35+'Dane dla CO'!$Q$35)</f>
        <v>2.5462962962962963</v>
      </c>
      <c r="CJ26">
        <f>CH26*'Dane dla CO'!$N$96+'Dane dla CO'!$N$97</f>
        <v>57.600000000000009</v>
      </c>
      <c r="CK26">
        <f>IF(CH26&lt;'Dane dla CO'!$Z$67,0,IF(CI26&gt;1,CJ26,CI26*CJ26))</f>
        <v>57.600000000000009</v>
      </c>
      <c r="CL26">
        <f t="shared" si="21"/>
        <v>0</v>
      </c>
      <c r="CM26" s="84">
        <f>(CH26*'Dane dla CWU'!$AB$53+'Dane dla CWU'!$AD$53)/(CH26*'Dane dla CO'!$P$35+'Dane dla CO'!$Q$35)</f>
        <v>2.7623456790123457</v>
      </c>
      <c r="CN26" s="84">
        <f t="shared" si="0"/>
        <v>10.319026666666666</v>
      </c>
      <c r="CO26" s="84">
        <f>IF(CH26&lt;'Dane dla CWU'!$Z$67,0,IF(CM26&gt;1,CN26,CM26*CN26))</f>
        <v>10.319026666666666</v>
      </c>
      <c r="CP26" s="84">
        <f t="shared" si="1"/>
        <v>0</v>
      </c>
      <c r="CR26">
        <v>24</v>
      </c>
      <c r="CS26">
        <v>6</v>
      </c>
      <c r="CT26">
        <f>(CS26*'Dane dla CO'!$AB$53+'Dane dla CO'!$AD$53)/(CS26*'Dane dla CO'!$P$35+'Dane dla CO'!$Q$35)</f>
        <v>1.9564471879286691</v>
      </c>
      <c r="CU26">
        <f>CS26*'Dane dla CO'!$N$96+'Dane dla CO'!$N$97</f>
        <v>72.000000000000014</v>
      </c>
      <c r="CV26">
        <f>IF(CS26&lt;'Dane dla CO'!$Z$67,0,IF(CT26&gt;1,CU26,CT26*CU26))</f>
        <v>72.000000000000014</v>
      </c>
      <c r="CW26">
        <f t="shared" si="22"/>
        <v>0</v>
      </c>
      <c r="CX26" s="84">
        <f>(CS26*'Dane dla CWU'!$AB$53+'Dane dla CWU'!$AD$53)/(CS26*'Dane dla CO'!$P$35+'Dane dla CO'!$Q$35)</f>
        <v>2.0444673068129853</v>
      </c>
      <c r="CY26" s="84">
        <f t="shared" si="2"/>
        <v>10.319026666666666</v>
      </c>
      <c r="CZ26" s="84">
        <f>IF(CS26&lt;'Dane dla CWU'!$Z$67,0,IF(CX26&gt;1,CY26,CX26*CY26))</f>
        <v>0</v>
      </c>
      <c r="DA26" s="84">
        <f t="shared" si="3"/>
        <v>10.319026666666666</v>
      </c>
      <c r="DC26">
        <v>24</v>
      </c>
      <c r="DD26">
        <v>2</v>
      </c>
      <c r="DE26">
        <f>(DD26*'Dane dla CO'!$AB$53+'Dane dla CO'!$AD$53)/(DD26*'Dane dla CO'!$P$35+'Dane dla CO'!$Q$35)</f>
        <v>1.321225071225071</v>
      </c>
      <c r="DF26">
        <f>DD26*'Dane dla CO'!$N$96+'Dane dla CO'!$N$97</f>
        <v>100.80000000000001</v>
      </c>
      <c r="DG26">
        <f>IF(DD26&lt;'Dane dla CO'!$Z$67,0,IF(DE26&gt;1,DF26,DE26*DF26))</f>
        <v>100.80000000000001</v>
      </c>
      <c r="DH26">
        <f t="shared" si="23"/>
        <v>0</v>
      </c>
      <c r="DI26" s="84">
        <f>(DD26*'Dane dla CWU'!$AB$53+'Dane dla CWU'!$AD$53)/(DD26*'Dane dla CO'!$P$35+'Dane dla CO'!$Q$35)</f>
        <v>1.2713675213675213</v>
      </c>
      <c r="DJ26" s="84">
        <f t="shared" si="4"/>
        <v>10.319026666666666</v>
      </c>
      <c r="DK26" s="84">
        <f>IF(DD26&lt;'Dane dla CWU'!$Z$67,0,IF(DI26&gt;1,DJ26,DI26*DJ26))</f>
        <v>0</v>
      </c>
      <c r="DL26" s="84">
        <f t="shared" si="5"/>
        <v>10.319026666666666</v>
      </c>
      <c r="DM26" s="49">
        <v>-5</v>
      </c>
      <c r="DN26" s="94">
        <f>DO26*'Dane dla CO'!$N$80</f>
        <v>493.71428571428578</v>
      </c>
      <c r="DO26" s="94">
        <f>(15-DS26)/35*'Dane dla CO'!$N$75</f>
        <v>4.32</v>
      </c>
      <c r="DP26" s="94">
        <f t="shared" si="24"/>
        <v>70.530612244897966</v>
      </c>
      <c r="DQ26" s="51">
        <v>-5</v>
      </c>
      <c r="DR26" s="52">
        <v>7</v>
      </c>
      <c r="DS26" s="52">
        <v>1</v>
      </c>
      <c r="DT26" s="89">
        <f>Wykresy!Y24</f>
        <v>42.4</v>
      </c>
      <c r="DU26" s="90">
        <f>Wykresy!AE24</f>
        <v>27.3</v>
      </c>
      <c r="DV26" s="92">
        <f>(($DV$27-$DV$18)/9)*8+$DV$18</f>
        <v>5.2666666666666666</v>
      </c>
      <c r="DW26" s="92">
        <f>(($DW$27-$DW$18)/9)*8+$DW$18</f>
        <v>2.2222222222222223</v>
      </c>
      <c r="DX26" s="92">
        <f t="shared" si="29"/>
        <v>2.3699999999999997</v>
      </c>
      <c r="DY26" s="86">
        <f>(($DY$27-$DY$18)/9)*8+$DY$18</f>
        <v>6.3111111111111109</v>
      </c>
      <c r="DZ26" s="86">
        <f>(($DZ$27-$DZ$18)/9)*8+$DZ$18</f>
        <v>1.7922222222222222</v>
      </c>
      <c r="EA26" s="96">
        <f t="shared" si="30"/>
        <v>3.5213887166769995</v>
      </c>
      <c r="EB26" s="85">
        <f t="shared" si="32"/>
        <v>7</v>
      </c>
      <c r="EC26" s="85">
        <f t="shared" si="26"/>
        <v>7.3733333333333317E-2</v>
      </c>
      <c r="ED26" s="85">
        <f>(SUM(EC26:$EC$40))*$DT$42/(SUM(EB26:$EB$40))</f>
        <v>3.5748286127134263</v>
      </c>
      <c r="EE26" s="86">
        <f t="shared" si="33"/>
        <v>7</v>
      </c>
      <c r="EF26" s="86">
        <f t="shared" si="27"/>
        <v>0.1095543156299511</v>
      </c>
      <c r="EG26" s="86">
        <f>(SUM(EF26:$EF$40))*$DT$42/(SUM(EE26:$EE$40))</f>
        <v>4.6915135258068634</v>
      </c>
      <c r="EI26" s="52">
        <v>7</v>
      </c>
      <c r="EJ26" s="52">
        <f t="shared" si="25"/>
        <v>68</v>
      </c>
      <c r="EK26" s="52">
        <v>1</v>
      </c>
      <c r="EL26" s="89">
        <v>55</v>
      </c>
      <c r="EM26" s="92">
        <f t="shared" si="38"/>
        <v>4.9555555555555575</v>
      </c>
      <c r="EN26" s="92">
        <f t="shared" si="39"/>
        <v>2.6222222222222231</v>
      </c>
      <c r="EO26" s="92">
        <f t="shared" si="31"/>
        <v>1.8898305084745763</v>
      </c>
      <c r="EP26" s="85">
        <f t="shared" si="36"/>
        <v>7</v>
      </c>
      <c r="EQ26" s="85">
        <f t="shared" si="28"/>
        <v>5.8794726930320153E-2</v>
      </c>
      <c r="ER26" s="85">
        <f>(SUM(EQ26:$EQ$53))*$EL$54/(SUM(EP26:$EP$53))</f>
        <v>3.9853929899455078</v>
      </c>
    </row>
    <row r="27" spans="1:165">
      <c r="A27" s="162"/>
      <c r="B27">
        <v>25</v>
      </c>
      <c r="C27">
        <v>0</v>
      </c>
      <c r="D27" s="84">
        <f>(C27*'Dane dla CO'!$AB$53+'Dane dla CO'!$AD$53)/(C27*'Dane dla CO'!$P$35+'Dane dla CO'!$Q$35)</f>
        <v>1.1306584362139918</v>
      </c>
      <c r="E27" s="84">
        <f>C27*'Dane dla CO'!$N$96+'Dane dla CO'!$N$97</f>
        <v>115.20000000000002</v>
      </c>
      <c r="F27" s="84">
        <f>IF(C27&lt;'Dane dla CO'!$Z$67,0,IF(D27&gt;1,E27,D27*E27))</f>
        <v>115.20000000000002</v>
      </c>
      <c r="G27" s="84">
        <f t="shared" si="6"/>
        <v>0</v>
      </c>
      <c r="H27" s="84">
        <f>(C27*'Dane dla CWU'!$AB$53+'Dane dla CWU'!$AD$53)/(C27*'Dane dla CO'!$P$35+'Dane dla CO'!$Q$35)</f>
        <v>1.0394375857338818</v>
      </c>
      <c r="I27" s="84">
        <f t="shared" si="7"/>
        <v>10.319026666666666</v>
      </c>
      <c r="J27" s="84">
        <f>IF(C27&lt;'Dane dla CWU'!$Z$67,0,IF(H27&gt;1,I27,H27*I27))</f>
        <v>0</v>
      </c>
      <c r="K27" s="84">
        <f t="shared" si="8"/>
        <v>10.319026666666666</v>
      </c>
      <c r="M27">
        <v>25</v>
      </c>
      <c r="N27">
        <v>6</v>
      </c>
      <c r="O27">
        <f>(N27*'Dane dla CO'!$AB$53+'Dane dla CO'!$AD$53)/(N27*'Dane dla CO'!$P$35+'Dane dla CO'!$Q$35)</f>
        <v>1.9564471879286691</v>
      </c>
      <c r="P27">
        <f>N27*'Dane dla CO'!$N$96+'Dane dla CO'!$N$97</f>
        <v>72.000000000000014</v>
      </c>
      <c r="Q27">
        <f>IF(N27&lt;'Dane dla CO'!$Z$67,0,IF(O27&gt;1,P27,O27*P27))</f>
        <v>72.000000000000014</v>
      </c>
      <c r="R27">
        <f t="shared" si="9"/>
        <v>0</v>
      </c>
      <c r="S27" s="84">
        <f>(N27*'Dane dla CWU'!$AB$53+'Dane dla CWU'!$AD$53)/(N27*'Dane dla CO'!$P$35+'Dane dla CO'!$Q$35)</f>
        <v>2.0444673068129853</v>
      </c>
      <c r="T27" s="84">
        <f t="shared" si="10"/>
        <v>10.319026666666666</v>
      </c>
      <c r="U27" s="84">
        <f>IF(N27&lt;'Dane dla CWU'!$Z$67,0,IF(S27&gt;1,T27,S27*T27))</f>
        <v>0</v>
      </c>
      <c r="V27" s="84">
        <f t="shared" si="11"/>
        <v>10.319026666666666</v>
      </c>
      <c r="X27">
        <v>25</v>
      </c>
      <c r="Y27">
        <v>10</v>
      </c>
      <c r="Z27">
        <f>(Y27*'Dane dla CO'!$AB$53+'Dane dla CO'!$AD$53)/(Y27*'Dane dla CO'!$P$35+'Dane dla CO'!$Q$35)</f>
        <v>3.6080246913580249</v>
      </c>
      <c r="AA27">
        <f>Y27*'Dane dla CO'!$N$96+'Dane dla CO'!$N$97</f>
        <v>43.2</v>
      </c>
      <c r="AB27">
        <f>IF(Y27&lt;'Dane dla CO'!$Z$67,0,IF(Z27&gt;1,AA27,Z27*AA27))</f>
        <v>43.2</v>
      </c>
      <c r="AC27">
        <f t="shared" si="12"/>
        <v>0</v>
      </c>
      <c r="AD27" s="84">
        <f>(Y27*'Dane dla CWU'!$AB$53+'Dane dla CWU'!$AD$53)/(Y27*'Dane dla CO'!$P$35+'Dane dla CO'!$Q$35)</f>
        <v>4.0545267489711936</v>
      </c>
      <c r="AE27" s="84">
        <f t="shared" si="13"/>
        <v>10.319026666666666</v>
      </c>
      <c r="AF27" s="84">
        <f>IF(Y27&lt;'Dane dla CWU'!$Z$67,0,IF(AD27&gt;1,AE27,AD27*AE27))</f>
        <v>10.319026666666666</v>
      </c>
      <c r="AG27" s="84">
        <f t="shared" si="14"/>
        <v>0</v>
      </c>
      <c r="AI27">
        <v>25</v>
      </c>
      <c r="AJ27">
        <v>14</v>
      </c>
      <c r="AK27">
        <f>(AJ27*'Dane dla CO'!$AB$53+'Dane dla CO'!$AD$53)/(AJ27*'Dane dla CO'!$P$35+'Dane dla CO'!$Q$35)</f>
        <v>18.472222222222211</v>
      </c>
      <c r="AL27">
        <f>AJ27*'Dane dla CO'!$N$96+'Dane dla CO'!$N$97</f>
        <v>14.400000000000006</v>
      </c>
      <c r="AM27">
        <f>IF(AJ27&lt;'Dane dla CO'!$Z$67,0,IF(AK27&gt;1,AL27,AK27*AL27))</f>
        <v>14.400000000000006</v>
      </c>
      <c r="AN27">
        <f t="shared" si="15"/>
        <v>0</v>
      </c>
      <c r="AO27" s="84">
        <f>(AJ27*'Dane dla CWU'!$AB$53+'Dane dla CWU'!$AD$53)/(AJ27*'Dane dla CO'!$P$35+'Dane dla CO'!$Q$35)</f>
        <v>22.145061728395049</v>
      </c>
      <c r="AP27" s="84">
        <f t="shared" si="16"/>
        <v>10.319026666666666</v>
      </c>
      <c r="AQ27" s="84">
        <f>IF(AJ27&lt;'Dane dla CWU'!$Z$67,0,IF(AO27&gt;1,AP27,AO27*AP27))</f>
        <v>10.319026666666666</v>
      </c>
      <c r="AR27" s="84">
        <f t="shared" si="17"/>
        <v>0</v>
      </c>
      <c r="AT27">
        <v>25</v>
      </c>
      <c r="AU27">
        <v>16</v>
      </c>
      <c r="BA27">
        <v>25</v>
      </c>
      <c r="BB27">
        <v>19</v>
      </c>
      <c r="BH27">
        <v>25</v>
      </c>
      <c r="BI27">
        <v>19</v>
      </c>
      <c r="BO27">
        <v>25</v>
      </c>
      <c r="BP27">
        <v>22</v>
      </c>
      <c r="BV27">
        <v>25</v>
      </c>
      <c r="CB27" s="84">
        <f>(BW27*'Dane dla CWU'!$AB$53+'Dane dla CWU'!$AD$53)/(BW27*'Dane dla CO'!$P$35+'Dane dla CO'!$Q$35)</f>
        <v>1.0394375857338818</v>
      </c>
      <c r="CC27" s="84">
        <f t="shared" si="18"/>
        <v>10.319026666666666</v>
      </c>
      <c r="CD27" s="84">
        <f>IF(BW27&lt;'Dane dla CWU'!$Z$67,0,IF(CB27&gt;1,CC27,CB27*CC27))</f>
        <v>0</v>
      </c>
      <c r="CE27" s="84">
        <f t="shared" si="20"/>
        <v>10.319026666666666</v>
      </c>
      <c r="CG27">
        <v>25</v>
      </c>
      <c r="CH27">
        <v>8</v>
      </c>
      <c r="CI27">
        <f>(CH27*'Dane dla CO'!$AB$53+'Dane dla CO'!$AD$53)/(CH27*'Dane dla CO'!$P$35+'Dane dla CO'!$Q$35)</f>
        <v>2.5462962962962963</v>
      </c>
      <c r="CJ27">
        <f>CH27*'Dane dla CO'!$N$96+'Dane dla CO'!$N$97</f>
        <v>57.600000000000009</v>
      </c>
      <c r="CK27">
        <f>IF(CH27&lt;'Dane dla CO'!$Z$67,0,IF(CI27&gt;1,CJ27,CI27*CJ27))</f>
        <v>57.600000000000009</v>
      </c>
      <c r="CL27">
        <f t="shared" si="21"/>
        <v>0</v>
      </c>
      <c r="CM27" s="84">
        <f>(CH27*'Dane dla CWU'!$AB$53+'Dane dla CWU'!$AD$53)/(CH27*'Dane dla CO'!$P$35+'Dane dla CO'!$Q$35)</f>
        <v>2.7623456790123457</v>
      </c>
      <c r="CN27" s="84">
        <f t="shared" si="0"/>
        <v>10.319026666666666</v>
      </c>
      <c r="CO27" s="84">
        <f>IF(CH27&lt;'Dane dla CWU'!$Z$67,0,IF(CM27&gt;1,CN27,CM27*CN27))</f>
        <v>10.319026666666666</v>
      </c>
      <c r="CP27" s="84">
        <f t="shared" si="1"/>
        <v>0</v>
      </c>
      <c r="CR27">
        <v>25</v>
      </c>
      <c r="CS27">
        <v>4</v>
      </c>
      <c r="CT27">
        <f>(CS27*'Dane dla CO'!$AB$53+'Dane dla CO'!$AD$53)/(CS27*'Dane dla CO'!$P$35+'Dane dla CO'!$Q$35)</f>
        <v>1.5810886644219975</v>
      </c>
      <c r="CU27">
        <f>CS27*'Dane dla CO'!$N$96+'Dane dla CO'!$N$97</f>
        <v>86.4</v>
      </c>
      <c r="CV27">
        <f>IF(CS27&lt;'Dane dla CO'!$Z$67,0,IF(CT27&gt;1,CU27,CT27*CU27))</f>
        <v>86.4</v>
      </c>
      <c r="CW27">
        <f t="shared" si="22"/>
        <v>0</v>
      </c>
      <c r="CX27" s="84">
        <f>(CS27*'Dane dla CWU'!$AB$53+'Dane dla CWU'!$AD$53)/(CS27*'Dane dla CO'!$P$35+'Dane dla CO'!$Q$35)</f>
        <v>1.5876356154133928</v>
      </c>
      <c r="CY27" s="84">
        <f t="shared" si="2"/>
        <v>10.319026666666666</v>
      </c>
      <c r="CZ27" s="84">
        <f>IF(CS27&lt;'Dane dla CWU'!$Z$67,0,IF(CX27&gt;1,CY27,CX27*CY27))</f>
        <v>0</v>
      </c>
      <c r="DA27" s="84">
        <f t="shared" si="3"/>
        <v>10.319026666666666</v>
      </c>
      <c r="DC27">
        <v>25</v>
      </c>
      <c r="DD27">
        <v>1</v>
      </c>
      <c r="DE27">
        <f>(DD27*'Dane dla CO'!$AB$53+'Dane dla CO'!$AD$53)/(DD27*'Dane dla CO'!$P$35+'Dane dla CO'!$Q$35)</f>
        <v>1.2191358024691357</v>
      </c>
      <c r="DF27">
        <f>DD27*'Dane dla CO'!$N$96+'Dane dla CO'!$N$97</f>
        <v>108.00000000000001</v>
      </c>
      <c r="DG27">
        <f>IF(DD27&lt;'Dane dla CO'!$Z$67,0,IF(DE27&gt;1,DF27,DE27*DF27))</f>
        <v>108.00000000000001</v>
      </c>
      <c r="DH27">
        <f t="shared" si="23"/>
        <v>0</v>
      </c>
      <c r="DI27" s="84">
        <f>(DD27*'Dane dla CWU'!$AB$53+'Dane dla CWU'!$AD$53)/(DD27*'Dane dla CO'!$P$35+'Dane dla CO'!$Q$35)</f>
        <v>1.1471193415637859</v>
      </c>
      <c r="DJ27" s="84">
        <f t="shared" si="4"/>
        <v>10.319026666666666</v>
      </c>
      <c r="DK27" s="84">
        <f>IF(DD27&lt;'Dane dla CWU'!$Z$67,0,IF(DI27&gt;1,DJ27,DI27*DJ27))</f>
        <v>0</v>
      </c>
      <c r="DL27" s="84">
        <f t="shared" si="5"/>
        <v>10.319026666666666</v>
      </c>
      <c r="DM27" s="49">
        <v>-4</v>
      </c>
      <c r="DN27" s="94">
        <f>DO27*'Dane dla CO'!$N$80</f>
        <v>458.4489795918368</v>
      </c>
      <c r="DO27" s="94">
        <f>(15-DS27)/35*'Dane dla CO'!$N$75</f>
        <v>4.0114285714285716</v>
      </c>
      <c r="DP27" s="94">
        <f t="shared" si="24"/>
        <v>35.265306122448983</v>
      </c>
      <c r="DQ27" s="51">
        <v>-4</v>
      </c>
      <c r="DR27" s="52">
        <v>13</v>
      </c>
      <c r="DS27" s="52">
        <v>2</v>
      </c>
      <c r="DT27" s="89">
        <f>Wykresy!Y25</f>
        <v>41.8</v>
      </c>
      <c r="DU27" s="90">
        <f>Wykresy!AE25</f>
        <v>26.933333333333334</v>
      </c>
      <c r="DV27" s="92">
        <v>5.3</v>
      </c>
      <c r="DW27" s="92">
        <v>2.19</v>
      </c>
      <c r="DX27" s="92">
        <f t="shared" si="29"/>
        <v>2.4200913242009134</v>
      </c>
      <c r="DY27" s="86">
        <v>6.3</v>
      </c>
      <c r="DZ27" s="86">
        <v>1.7</v>
      </c>
      <c r="EA27" s="96">
        <f t="shared" si="30"/>
        <v>3.7058823529411766</v>
      </c>
      <c r="EB27" s="85">
        <f t="shared" si="32"/>
        <v>13</v>
      </c>
      <c r="EC27" s="85">
        <f t="shared" si="26"/>
        <v>0.13982749873160832</v>
      </c>
      <c r="ED27" s="85">
        <f>(SUM(EC27:$EC$40))*$DT$42/(SUM(EB27:$EB$40))</f>
        <v>3.6285470858917326</v>
      </c>
      <c r="EE27" s="86">
        <f t="shared" si="33"/>
        <v>13</v>
      </c>
      <c r="EF27" s="86">
        <f t="shared" si="27"/>
        <v>0.21411764705882355</v>
      </c>
      <c r="EG27" s="86">
        <f>(SUM(EF27:$EF$40))*$DT$42/(SUM(EE27:$EE$40))</f>
        <v>4.7436846956406784</v>
      </c>
      <c r="EI27" s="52">
        <v>13</v>
      </c>
      <c r="EJ27" s="52">
        <f t="shared" si="25"/>
        <v>81</v>
      </c>
      <c r="EK27" s="52">
        <v>2</v>
      </c>
      <c r="EL27" s="89">
        <v>55</v>
      </c>
      <c r="EM27" s="92">
        <v>5.0999999999999996</v>
      </c>
      <c r="EN27" s="92">
        <v>2.64</v>
      </c>
      <c r="EO27" s="92">
        <f t="shared" si="31"/>
        <v>1.9318181818181817</v>
      </c>
      <c r="EP27" s="85">
        <f t="shared" si="36"/>
        <v>13</v>
      </c>
      <c r="EQ27" s="85">
        <f t="shared" si="28"/>
        <v>0.1116161616161616</v>
      </c>
      <c r="ER27" s="85">
        <f>(SUM(EQ27:$EQ$53))*$EL$54/(SUM(EP27:$EP$53))</f>
        <v>4.0067986304593379</v>
      </c>
      <c r="ES27">
        <f>(EM32-EM27)/5</f>
        <v>0.18000000000000008</v>
      </c>
      <c r="ET27">
        <f>(EN32-EN27)/5</f>
        <v>2.5999999999999978E-2</v>
      </c>
    </row>
    <row r="28" spans="1:165">
      <c r="A28" s="162"/>
      <c r="B28">
        <v>26</v>
      </c>
      <c r="C28">
        <v>-3</v>
      </c>
      <c r="D28" s="84">
        <f>(C28*'Dane dla CO'!$AB$53+'Dane dla CO'!$AD$53)/(C28*'Dane dla CO'!$P$35+'Dane dla CO'!$Q$35)</f>
        <v>0.92421124828532231</v>
      </c>
      <c r="E28" s="84">
        <f>C28*'Dane dla CO'!$N$96+'Dane dla CO'!$N$97</f>
        <v>136.80000000000001</v>
      </c>
      <c r="F28" s="84">
        <f>IF(C28&lt;'Dane dla CO'!$Z$67,0,IF(D28&gt;1,E28,D28*E28))</f>
        <v>0</v>
      </c>
      <c r="G28" s="84">
        <f t="shared" si="6"/>
        <v>136.80000000000001</v>
      </c>
      <c r="H28" s="84">
        <f>(C28*'Dane dla CWU'!$AB$53+'Dane dla CWU'!$AD$53)/(C28*'Dane dla CO'!$P$35+'Dane dla CO'!$Q$35)</f>
        <v>0.78818015546410591</v>
      </c>
      <c r="I28" s="84">
        <f t="shared" si="7"/>
        <v>10.319026666666666</v>
      </c>
      <c r="J28" s="84">
        <f>IF(C28&lt;'Dane dla CWU'!$Z$67,0,IF(H28&gt;1,I28,H28*I28))</f>
        <v>0</v>
      </c>
      <c r="K28" s="84">
        <f t="shared" si="8"/>
        <v>10.319026666666666</v>
      </c>
      <c r="M28">
        <v>26</v>
      </c>
      <c r="N28">
        <v>3</v>
      </c>
      <c r="O28">
        <f>(N28*'Dane dla CO'!$AB$53+'Dane dla CO'!$AD$53)/(N28*'Dane dla CO'!$P$35+'Dane dla CO'!$Q$35)</f>
        <v>1.4403292181069955</v>
      </c>
      <c r="P28">
        <f>N28*'Dane dla CO'!$N$96+'Dane dla CO'!$N$97</f>
        <v>93.600000000000023</v>
      </c>
      <c r="Q28">
        <f>IF(N28&lt;'Dane dla CO'!$Z$67,0,IF(O28&gt;1,P28,O28*P28))</f>
        <v>93.600000000000023</v>
      </c>
      <c r="R28">
        <f t="shared" si="9"/>
        <v>0</v>
      </c>
      <c r="S28" s="84">
        <f>(N28*'Dane dla CWU'!$AB$53+'Dane dla CWU'!$AD$53)/(N28*'Dane dla CO'!$P$35+'Dane dla CO'!$Q$35)</f>
        <v>1.4163237311385457</v>
      </c>
      <c r="T28" s="84">
        <f t="shared" si="10"/>
        <v>10.319026666666666</v>
      </c>
      <c r="U28" s="84">
        <f>IF(N28&lt;'Dane dla CWU'!$Z$67,0,IF(S28&gt;1,T28,S28*T28))</f>
        <v>0</v>
      </c>
      <c r="V28" s="84">
        <f t="shared" si="11"/>
        <v>10.319026666666666</v>
      </c>
      <c r="X28">
        <v>26</v>
      </c>
      <c r="Y28">
        <v>6</v>
      </c>
      <c r="Z28">
        <f>(Y28*'Dane dla CO'!$AB$53+'Dane dla CO'!$AD$53)/(Y28*'Dane dla CO'!$P$35+'Dane dla CO'!$Q$35)</f>
        <v>1.9564471879286691</v>
      </c>
      <c r="AA28">
        <f>Y28*'Dane dla CO'!$N$96+'Dane dla CO'!$N$97</f>
        <v>72.000000000000014</v>
      </c>
      <c r="AB28">
        <f>IF(Y28&lt;'Dane dla CO'!$Z$67,0,IF(Z28&gt;1,AA28,Z28*AA28))</f>
        <v>72.000000000000014</v>
      </c>
      <c r="AC28">
        <f t="shared" si="12"/>
        <v>0</v>
      </c>
      <c r="AD28" s="84">
        <f>(Y28*'Dane dla CWU'!$AB$53+'Dane dla CWU'!$AD$53)/(Y28*'Dane dla CO'!$P$35+'Dane dla CO'!$Q$35)</f>
        <v>2.0444673068129853</v>
      </c>
      <c r="AE28" s="84">
        <f t="shared" si="13"/>
        <v>10.319026666666666</v>
      </c>
      <c r="AF28" s="84">
        <f>IF(Y28&lt;'Dane dla CWU'!$Z$67,0,IF(AD28&gt;1,AE28,AD28*AE28))</f>
        <v>0</v>
      </c>
      <c r="AG28" s="84">
        <f t="shared" si="14"/>
        <v>10.319026666666666</v>
      </c>
      <c r="AI28">
        <v>26</v>
      </c>
      <c r="AJ28">
        <v>14</v>
      </c>
      <c r="AK28">
        <f>(AJ28*'Dane dla CO'!$AB$53+'Dane dla CO'!$AD$53)/(AJ28*'Dane dla CO'!$P$35+'Dane dla CO'!$Q$35)</f>
        <v>18.472222222222211</v>
      </c>
      <c r="AL28">
        <f>AJ28*'Dane dla CO'!$N$96+'Dane dla CO'!$N$97</f>
        <v>14.400000000000006</v>
      </c>
      <c r="AM28">
        <f>IF(AJ28&lt;'Dane dla CO'!$Z$67,0,IF(AK28&gt;1,AL28,AK28*AL28))</f>
        <v>14.400000000000006</v>
      </c>
      <c r="AN28">
        <f t="shared" si="15"/>
        <v>0</v>
      </c>
      <c r="AO28" s="84">
        <f>(AJ28*'Dane dla CWU'!$AB$53+'Dane dla CWU'!$AD$53)/(AJ28*'Dane dla CO'!$P$35+'Dane dla CO'!$Q$35)</f>
        <v>22.145061728395049</v>
      </c>
      <c r="AP28" s="84">
        <f t="shared" si="16"/>
        <v>10.319026666666666</v>
      </c>
      <c r="AQ28" s="84">
        <f>IF(AJ28&lt;'Dane dla CWU'!$Z$67,0,IF(AO28&gt;1,AP28,AO28*AP28))</f>
        <v>10.319026666666666</v>
      </c>
      <c r="AR28" s="84">
        <f t="shared" si="17"/>
        <v>0</v>
      </c>
      <c r="AT28">
        <v>26</v>
      </c>
      <c r="AU28">
        <v>16</v>
      </c>
      <c r="BA28">
        <v>26</v>
      </c>
      <c r="BB28">
        <v>16</v>
      </c>
      <c r="BH28">
        <v>26</v>
      </c>
      <c r="BI28">
        <v>20</v>
      </c>
      <c r="BO28">
        <v>26</v>
      </c>
      <c r="BP28">
        <v>17</v>
      </c>
      <c r="BV28">
        <v>26</v>
      </c>
      <c r="CB28" s="84">
        <f>(BW28*'Dane dla CWU'!$AB$53+'Dane dla CWU'!$AD$53)/(BW28*'Dane dla CO'!$P$35+'Dane dla CO'!$Q$35)</f>
        <v>1.0394375857338818</v>
      </c>
      <c r="CC28" s="84">
        <f t="shared" si="18"/>
        <v>10.319026666666666</v>
      </c>
      <c r="CD28" s="84">
        <f>IF(BW28&lt;'Dane dla CWU'!$Z$67,0,IF(CB28&gt;1,CC28,CB28*CC28))</f>
        <v>0</v>
      </c>
      <c r="CE28" s="84">
        <f t="shared" si="20"/>
        <v>10.319026666666666</v>
      </c>
      <c r="CG28">
        <v>26</v>
      </c>
      <c r="CH28">
        <v>6</v>
      </c>
      <c r="CI28">
        <f>(CH28*'Dane dla CO'!$AB$53+'Dane dla CO'!$AD$53)/(CH28*'Dane dla CO'!$P$35+'Dane dla CO'!$Q$35)</f>
        <v>1.9564471879286691</v>
      </c>
      <c r="CJ28">
        <f>CH28*'Dane dla CO'!$N$96+'Dane dla CO'!$N$97</f>
        <v>72.000000000000014</v>
      </c>
      <c r="CK28">
        <f>IF(CH28&lt;'Dane dla CO'!$Z$67,0,IF(CI28&gt;1,CJ28,CI28*CJ28))</f>
        <v>72.000000000000014</v>
      </c>
      <c r="CL28">
        <f t="shared" si="21"/>
        <v>0</v>
      </c>
      <c r="CM28" s="84">
        <f>(CH28*'Dane dla CWU'!$AB$53+'Dane dla CWU'!$AD$53)/(CH28*'Dane dla CO'!$P$35+'Dane dla CO'!$Q$35)</f>
        <v>2.0444673068129853</v>
      </c>
      <c r="CN28" s="84">
        <f t="shared" si="0"/>
        <v>10.319026666666666</v>
      </c>
      <c r="CO28" s="84">
        <f>IF(CH28&lt;'Dane dla CWU'!$Z$67,0,IF(CM28&gt;1,CN28,CM28*CN28))</f>
        <v>0</v>
      </c>
      <c r="CP28" s="84">
        <f t="shared" si="1"/>
        <v>10.319026666666666</v>
      </c>
      <c r="CR28">
        <v>26</v>
      </c>
      <c r="CS28">
        <v>4</v>
      </c>
      <c r="CT28">
        <f>(CS28*'Dane dla CO'!$AB$53+'Dane dla CO'!$AD$53)/(CS28*'Dane dla CO'!$P$35+'Dane dla CO'!$Q$35)</f>
        <v>1.5810886644219975</v>
      </c>
      <c r="CU28">
        <f>CS28*'Dane dla CO'!$N$96+'Dane dla CO'!$N$97</f>
        <v>86.4</v>
      </c>
      <c r="CV28">
        <f>IF(CS28&lt;'Dane dla CO'!$Z$67,0,IF(CT28&gt;1,CU28,CT28*CU28))</f>
        <v>86.4</v>
      </c>
      <c r="CW28">
        <f t="shared" si="22"/>
        <v>0</v>
      </c>
      <c r="CX28" s="84">
        <f>(CS28*'Dane dla CWU'!$AB$53+'Dane dla CWU'!$AD$53)/(CS28*'Dane dla CO'!$P$35+'Dane dla CO'!$Q$35)</f>
        <v>1.5876356154133928</v>
      </c>
      <c r="CY28" s="84">
        <f t="shared" si="2"/>
        <v>10.319026666666666</v>
      </c>
      <c r="CZ28" s="84">
        <f>IF(CS28&lt;'Dane dla CWU'!$Z$67,0,IF(CX28&gt;1,CY28,CX28*CY28))</f>
        <v>0</v>
      </c>
      <c r="DA28" s="84">
        <f t="shared" si="3"/>
        <v>10.319026666666666</v>
      </c>
      <c r="DC28">
        <v>26</v>
      </c>
      <c r="DD28">
        <v>3</v>
      </c>
      <c r="DE28">
        <f>(DD28*'Dane dla CO'!$AB$53+'Dane dla CO'!$AD$53)/(DD28*'Dane dla CO'!$P$35+'Dane dla CO'!$Q$35)</f>
        <v>1.4403292181069955</v>
      </c>
      <c r="DF28">
        <f>DD28*'Dane dla CO'!$N$96+'Dane dla CO'!$N$97</f>
        <v>93.600000000000023</v>
      </c>
      <c r="DG28">
        <f>IF(DD28&lt;'Dane dla CO'!$Z$67,0,IF(DE28&gt;1,DF28,DE28*DF28))</f>
        <v>93.600000000000023</v>
      </c>
      <c r="DH28">
        <f t="shared" si="23"/>
        <v>0</v>
      </c>
      <c r="DI28" s="84">
        <f>(DD28*'Dane dla CWU'!$AB$53+'Dane dla CWU'!$AD$53)/(DD28*'Dane dla CO'!$P$35+'Dane dla CO'!$Q$35)</f>
        <v>1.4163237311385457</v>
      </c>
      <c r="DJ28" s="84">
        <f t="shared" si="4"/>
        <v>10.319026666666666</v>
      </c>
      <c r="DK28" s="84">
        <f>IF(DD28&lt;'Dane dla CWU'!$Z$67,0,IF(DI28&gt;1,DJ28,DI28*DJ28))</f>
        <v>0</v>
      </c>
      <c r="DL28" s="84">
        <f t="shared" si="5"/>
        <v>10.319026666666666</v>
      </c>
      <c r="DM28" s="49">
        <v>-4</v>
      </c>
      <c r="DN28" s="94">
        <f>DO28*'Dane dla CO'!$N$80</f>
        <v>423.18367346938783</v>
      </c>
      <c r="DO28" s="94">
        <f>(15-DS28)/35*'Dane dla CO'!$N$75</f>
        <v>3.7028571428571433</v>
      </c>
      <c r="DP28" s="94">
        <f t="shared" si="24"/>
        <v>28.212244897959188</v>
      </c>
      <c r="DQ28" s="51">
        <v>-4</v>
      </c>
      <c r="DR28" s="52">
        <v>15</v>
      </c>
      <c r="DS28" s="52">
        <v>3</v>
      </c>
      <c r="DT28" s="89">
        <f>Wykresy!Y26</f>
        <v>41.2</v>
      </c>
      <c r="DU28" s="90">
        <f>Wykresy!AE26</f>
        <v>26.566666666666666</v>
      </c>
      <c r="DV28" s="92">
        <f>(($DV$32-$DV$27)/5)*1+$DV$27</f>
        <v>5.758</v>
      </c>
      <c r="DW28" s="92">
        <f>(($DW$32-$DW$27)/5)*1+$DW$27</f>
        <v>2.1789999999999998</v>
      </c>
      <c r="DX28" s="92">
        <f t="shared" si="29"/>
        <v>2.6424965580541535</v>
      </c>
      <c r="DY28" s="86">
        <f>(($DY$32-$DY$27)/5)*2+$DY$27</f>
        <v>7.58</v>
      </c>
      <c r="DZ28" s="86">
        <f>(($DZ$32-$DZ$27)/5)*1+$DZ$27</f>
        <v>1.742</v>
      </c>
      <c r="EA28" s="96">
        <f t="shared" si="30"/>
        <v>4.3513203214695757</v>
      </c>
      <c r="EB28" s="85">
        <f t="shared" si="32"/>
        <v>15</v>
      </c>
      <c r="EC28" s="85">
        <f t="shared" si="26"/>
        <v>0.17616643720361022</v>
      </c>
      <c r="ED28" s="85">
        <f>(SUM(EC28:$EC$40))*$DT$42/(SUM(EB28:$EB$40))</f>
        <v>3.7376437865999312</v>
      </c>
      <c r="EE28" s="86">
        <f t="shared" si="33"/>
        <v>15</v>
      </c>
      <c r="EF28" s="86">
        <f t="shared" si="27"/>
        <v>0.29008802143130508</v>
      </c>
      <c r="EG28" s="86">
        <f>(SUM(EF28:$EF$40))*$DT$42/(SUM(EE28:$EE$40))</f>
        <v>4.8373751849121618</v>
      </c>
      <c r="EI28" s="52">
        <v>15</v>
      </c>
      <c r="EJ28" s="52">
        <f t="shared" si="25"/>
        <v>96</v>
      </c>
      <c r="EK28" s="52">
        <v>3</v>
      </c>
      <c r="EL28" s="89">
        <v>55</v>
      </c>
      <c r="EM28" s="92">
        <f>EM27+$ES$27</f>
        <v>5.2799999999999994</v>
      </c>
      <c r="EN28" s="92">
        <f>EN27+$ET$27</f>
        <v>2.6659999999999999</v>
      </c>
      <c r="EO28" s="92">
        <f t="shared" si="31"/>
        <v>1.9804951237809449</v>
      </c>
      <c r="EP28" s="85">
        <f t="shared" si="36"/>
        <v>15</v>
      </c>
      <c r="EQ28" s="85">
        <f t="shared" si="28"/>
        <v>0.13203300825206299</v>
      </c>
      <c r="ER28" s="85">
        <f>(SUM(EQ28:$EQ$53))*$EL$54/(SUM(EP28:$EP$53))</f>
        <v>4.046226234124096</v>
      </c>
    </row>
    <row r="29" spans="1:165">
      <c r="A29" s="162"/>
      <c r="B29">
        <v>27</v>
      </c>
      <c r="C29">
        <v>-10</v>
      </c>
      <c r="D29" s="84">
        <f>(C29*'Dane dla CO'!$AB$53+'Dane dla CO'!$AD$53)/(C29*'Dane dla CO'!$P$35+'Dane dla CO'!$Q$35)</f>
        <v>0.63518518518518519</v>
      </c>
      <c r="E29" s="84">
        <f>C29*'Dane dla CO'!$N$96+'Dane dla CO'!$N$97</f>
        <v>187.20000000000005</v>
      </c>
      <c r="F29" s="84">
        <f>IF(C29&lt;'Dane dla CO'!$Z$67,0,IF(D29&gt;1,E29,D29*E29))</f>
        <v>0</v>
      </c>
      <c r="G29" s="84">
        <f t="shared" si="6"/>
        <v>187.20000000000005</v>
      </c>
      <c r="H29" s="84">
        <f>(C29*'Dane dla CWU'!$AB$53+'Dane dla CWU'!$AD$53)/(C29*'Dane dla CO'!$P$35+'Dane dla CO'!$Q$35)</f>
        <v>0.43641975308641973</v>
      </c>
      <c r="I29" s="84">
        <f t="shared" si="7"/>
        <v>10.319026666666666</v>
      </c>
      <c r="J29" s="84">
        <f>IF(C29&lt;'Dane dla CWU'!$Z$67,0,IF(H29&gt;1,I29,H29*I29))</f>
        <v>0</v>
      </c>
      <c r="K29" s="84">
        <f t="shared" si="8"/>
        <v>10.319026666666666</v>
      </c>
      <c r="M29">
        <v>27</v>
      </c>
      <c r="N29">
        <v>0</v>
      </c>
      <c r="O29">
        <f>(N29*'Dane dla CO'!$AB$53+'Dane dla CO'!$AD$53)/(N29*'Dane dla CO'!$P$35+'Dane dla CO'!$Q$35)</f>
        <v>1.1306584362139918</v>
      </c>
      <c r="P29">
        <f>N29*'Dane dla CO'!$N$96+'Dane dla CO'!$N$97</f>
        <v>115.20000000000002</v>
      </c>
      <c r="Q29">
        <f>IF(N29&lt;'Dane dla CO'!$Z$67,0,IF(O29&gt;1,P29,O29*P29))</f>
        <v>115.20000000000002</v>
      </c>
      <c r="R29">
        <f t="shared" si="9"/>
        <v>0</v>
      </c>
      <c r="S29" s="84">
        <f>(N29*'Dane dla CWU'!$AB$53+'Dane dla CWU'!$AD$53)/(N29*'Dane dla CO'!$P$35+'Dane dla CO'!$Q$35)</f>
        <v>1.0394375857338818</v>
      </c>
      <c r="T29" s="84">
        <f t="shared" si="10"/>
        <v>10.319026666666666</v>
      </c>
      <c r="U29" s="84">
        <f>IF(N29&lt;'Dane dla CWU'!$Z$67,0,IF(S29&gt;1,T29,S29*T29))</f>
        <v>0</v>
      </c>
      <c r="V29" s="84">
        <f t="shared" si="11"/>
        <v>10.319026666666666</v>
      </c>
      <c r="X29">
        <v>27</v>
      </c>
      <c r="Y29">
        <v>9</v>
      </c>
      <c r="Z29">
        <f>(Y29*'Dane dla CO'!$AB$53+'Dane dla CO'!$AD$53)/(Y29*'Dane dla CO'!$P$35+'Dane dla CO'!$Q$35)</f>
        <v>2.9886831275720165</v>
      </c>
      <c r="AA29">
        <f>Y29*'Dane dla CO'!$N$96+'Dane dla CO'!$N$97</f>
        <v>50.400000000000006</v>
      </c>
      <c r="AB29">
        <f>IF(Y29&lt;'Dane dla CO'!$Z$67,0,IF(Z29&gt;1,AA29,Z29*AA29))</f>
        <v>50.400000000000006</v>
      </c>
      <c r="AC29">
        <f t="shared" si="12"/>
        <v>0</v>
      </c>
      <c r="AD29" s="84">
        <f>(Y29*'Dane dla CWU'!$AB$53+'Dane dla CWU'!$AD$53)/(Y29*'Dane dla CO'!$P$35+'Dane dla CO'!$Q$35)</f>
        <v>3.3007544581618653</v>
      </c>
      <c r="AE29" s="84">
        <f t="shared" si="13"/>
        <v>10.319026666666666</v>
      </c>
      <c r="AF29" s="84">
        <f>IF(Y29&lt;'Dane dla CWU'!$Z$67,0,IF(AD29&gt;1,AE29,AD29*AE29))</f>
        <v>10.319026666666666</v>
      </c>
      <c r="AG29" s="84">
        <f t="shared" si="14"/>
        <v>0</v>
      </c>
      <c r="AI29">
        <v>27</v>
      </c>
      <c r="AJ29">
        <v>17</v>
      </c>
      <c r="AO29" s="84"/>
      <c r="AP29" s="84">
        <f t="shared" si="16"/>
        <v>10.319026666666666</v>
      </c>
      <c r="AQ29" s="84">
        <f>AP29</f>
        <v>10.319026666666666</v>
      </c>
      <c r="AR29" s="84">
        <f t="shared" si="17"/>
        <v>0</v>
      </c>
      <c r="AT29">
        <v>27</v>
      </c>
      <c r="AU29">
        <v>15</v>
      </c>
      <c r="BA29">
        <v>27</v>
      </c>
      <c r="BB29">
        <v>18</v>
      </c>
      <c r="BH29">
        <v>27</v>
      </c>
      <c r="BI29">
        <v>23</v>
      </c>
      <c r="BO29">
        <v>27</v>
      </c>
      <c r="BP29">
        <v>17</v>
      </c>
      <c r="BV29">
        <v>27</v>
      </c>
      <c r="CB29" s="84">
        <f>(BW29*'Dane dla CWU'!$AB$53+'Dane dla CWU'!$AD$53)/(BW29*'Dane dla CO'!$P$35+'Dane dla CO'!$Q$35)</f>
        <v>1.0394375857338818</v>
      </c>
      <c r="CC29" s="84">
        <f t="shared" si="18"/>
        <v>10.319026666666666</v>
      </c>
      <c r="CD29" s="84">
        <f>IF(BW29&lt;'Dane dla CWU'!$Z$67,0,IF(CB29&gt;1,CC29,CB29*CC29))</f>
        <v>0</v>
      </c>
      <c r="CE29" s="84">
        <f t="shared" si="20"/>
        <v>10.319026666666666</v>
      </c>
      <c r="CG29">
        <v>27</v>
      </c>
      <c r="CH29">
        <v>4</v>
      </c>
      <c r="CI29">
        <f>(CH29*'Dane dla CO'!$AB$53+'Dane dla CO'!$AD$53)/(CH29*'Dane dla CO'!$P$35+'Dane dla CO'!$Q$35)</f>
        <v>1.5810886644219975</v>
      </c>
      <c r="CJ29">
        <f>CH29*'Dane dla CO'!$N$96+'Dane dla CO'!$N$97</f>
        <v>86.4</v>
      </c>
      <c r="CK29">
        <f>IF(CH29&lt;'Dane dla CO'!$Z$67,0,IF(CI29&gt;1,CJ29,CI29*CJ29))</f>
        <v>86.4</v>
      </c>
      <c r="CL29">
        <f t="shared" si="21"/>
        <v>0</v>
      </c>
      <c r="CM29" s="84">
        <f>(CH29*'Dane dla CWU'!$AB$53+'Dane dla CWU'!$AD$53)/(CH29*'Dane dla CO'!$P$35+'Dane dla CO'!$Q$35)</f>
        <v>1.5876356154133928</v>
      </c>
      <c r="CN29" s="84">
        <f t="shared" si="0"/>
        <v>10.319026666666666</v>
      </c>
      <c r="CO29" s="84">
        <f>IF(CH29&lt;'Dane dla CWU'!$Z$67,0,IF(CM29&gt;1,CN29,CM29*CN29))</f>
        <v>0</v>
      </c>
      <c r="CP29" s="84">
        <f t="shared" si="1"/>
        <v>10.319026666666666</v>
      </c>
      <c r="CR29">
        <v>27</v>
      </c>
      <c r="CS29">
        <v>4</v>
      </c>
      <c r="CT29">
        <f>(CS29*'Dane dla CO'!$AB$53+'Dane dla CO'!$AD$53)/(CS29*'Dane dla CO'!$P$35+'Dane dla CO'!$Q$35)</f>
        <v>1.5810886644219975</v>
      </c>
      <c r="CU29">
        <f>CS29*'Dane dla CO'!$N$96+'Dane dla CO'!$N$97</f>
        <v>86.4</v>
      </c>
      <c r="CV29">
        <f>IF(CS29&lt;'Dane dla CO'!$Z$67,0,IF(CT29&gt;1,CU29,CT29*CU29))</f>
        <v>86.4</v>
      </c>
      <c r="CW29">
        <f t="shared" si="22"/>
        <v>0</v>
      </c>
      <c r="CX29" s="84">
        <f>(CS29*'Dane dla CWU'!$AB$53+'Dane dla CWU'!$AD$53)/(CS29*'Dane dla CO'!$P$35+'Dane dla CO'!$Q$35)</f>
        <v>1.5876356154133928</v>
      </c>
      <c r="CY29" s="84">
        <f t="shared" si="2"/>
        <v>10.319026666666666</v>
      </c>
      <c r="CZ29" s="84">
        <f>IF(CS29&lt;'Dane dla CWU'!$Z$67,0,IF(CX29&gt;1,CY29,CX29*CY29))</f>
        <v>0</v>
      </c>
      <c r="DA29" s="84">
        <f t="shared" si="3"/>
        <v>10.319026666666666</v>
      </c>
      <c r="DC29">
        <v>27</v>
      </c>
      <c r="DD29">
        <v>5</v>
      </c>
      <c r="DE29">
        <f>(DD29*'Dane dla CO'!$AB$53+'Dane dla CO'!$AD$53)/(DD29*'Dane dla CO'!$P$35+'Dane dla CO'!$Q$35)</f>
        <v>1.75</v>
      </c>
      <c r="DF29">
        <f>DD29*'Dane dla CO'!$N$96+'Dane dla CO'!$N$97</f>
        <v>79.200000000000017</v>
      </c>
      <c r="DG29">
        <f>IF(DD29&lt;'Dane dla CO'!$Z$67,0,IF(DE29&gt;1,DF29,DE29*DF29))</f>
        <v>79.200000000000017</v>
      </c>
      <c r="DH29">
        <f t="shared" si="23"/>
        <v>0</v>
      </c>
      <c r="DI29" s="84">
        <f>(DD29*'Dane dla CWU'!$AB$53+'Dane dla CWU'!$AD$53)/(DD29*'Dane dla CO'!$P$35+'Dane dla CO'!$Q$35)</f>
        <v>1.7932098765432098</v>
      </c>
      <c r="DJ29" s="84">
        <f t="shared" si="4"/>
        <v>10.319026666666666</v>
      </c>
      <c r="DK29" s="84">
        <f>IF(DD29&lt;'Dane dla CWU'!$Z$67,0,IF(DI29&gt;1,DJ29,DI29*DJ29))</f>
        <v>0</v>
      </c>
      <c r="DL29" s="84">
        <f t="shared" si="5"/>
        <v>10.319026666666666</v>
      </c>
      <c r="DM29" s="49">
        <v>-4</v>
      </c>
      <c r="DN29" s="94">
        <f>DO29*'Dane dla CO'!$N$80</f>
        <v>387.91836734693885</v>
      </c>
      <c r="DO29" s="94">
        <f>(15-DS29)/35*'Dane dla CO'!$N$75</f>
        <v>3.3942857142857146</v>
      </c>
      <c r="DP29" s="94">
        <f t="shared" si="24"/>
        <v>29.83987441130299</v>
      </c>
      <c r="DQ29" s="51">
        <v>-4</v>
      </c>
      <c r="DR29" s="52">
        <v>13</v>
      </c>
      <c r="DS29" s="52">
        <v>4</v>
      </c>
      <c r="DT29" s="89">
        <f>Wykresy!Y27</f>
        <v>40.6</v>
      </c>
      <c r="DU29" s="90">
        <f>Wykresy!AE27</f>
        <v>26.200000000000003</v>
      </c>
      <c r="DV29" s="92">
        <f>(($DV$32-$DV$27)/5)*2+$DV$27</f>
        <v>6.2160000000000002</v>
      </c>
      <c r="DW29" s="92">
        <f>(($DW$32-$DW$27)/5)*2+$DW$27</f>
        <v>2.1679999999999997</v>
      </c>
      <c r="DX29" s="92">
        <f t="shared" si="29"/>
        <v>2.8671586715867163</v>
      </c>
      <c r="DY29" s="86">
        <f>(($DY$32-$DY$27)/5)*3+$DY$27</f>
        <v>8.2199999999999989</v>
      </c>
      <c r="DZ29" s="86">
        <f>(($DZ$32-$DZ$27)/5)*2+$DZ$27</f>
        <v>1.784</v>
      </c>
      <c r="EA29" s="96">
        <f t="shared" si="30"/>
        <v>4.6076233183856496</v>
      </c>
      <c r="EB29" s="85">
        <f t="shared" si="32"/>
        <v>13</v>
      </c>
      <c r="EC29" s="85">
        <f t="shared" si="26"/>
        <v>0.16565805658056582</v>
      </c>
      <c r="ED29" s="85">
        <f>(SUM(EC29:$EC$40))*$DT$42/(SUM(EB29:$EB$40))</f>
        <v>3.864986487593626</v>
      </c>
      <c r="EE29" s="86">
        <f t="shared" si="33"/>
        <v>13</v>
      </c>
      <c r="EF29" s="86">
        <f t="shared" si="27"/>
        <v>0.26621823617339313</v>
      </c>
      <c r="EG29" s="86">
        <f>(SUM(EF29:$EF$40))*$DT$42/(SUM(EE29:$EE$40))</f>
        <v>4.8938931922892071</v>
      </c>
      <c r="EI29" s="52">
        <v>13</v>
      </c>
      <c r="EJ29" s="52">
        <f t="shared" si="25"/>
        <v>109</v>
      </c>
      <c r="EK29" s="52">
        <v>4</v>
      </c>
      <c r="EL29" s="89">
        <v>55</v>
      </c>
      <c r="EM29" s="92">
        <f>EM28+$ES$27</f>
        <v>5.4599999999999991</v>
      </c>
      <c r="EN29" s="92">
        <f>EN28+$ET$27</f>
        <v>2.6919999999999997</v>
      </c>
      <c r="EO29" s="92">
        <f t="shared" si="31"/>
        <v>2.0282317979197622</v>
      </c>
      <c r="EP29" s="85">
        <f t="shared" si="36"/>
        <v>13</v>
      </c>
      <c r="EQ29" s="85">
        <f t="shared" si="28"/>
        <v>0.11718672610203071</v>
      </c>
      <c r="ER29" s="85">
        <f>(SUM(EQ29:$EQ$53))*$EL$54/(SUM(EP29:$EP$53))</f>
        <v>4.092038502611528</v>
      </c>
    </row>
    <row r="30" spans="1:165">
      <c r="A30" s="162"/>
      <c r="B30">
        <v>28</v>
      </c>
      <c r="C30">
        <v>-10</v>
      </c>
      <c r="D30" s="84">
        <f>(C30*'Dane dla CO'!$AB$53+'Dane dla CO'!$AD$53)/(C30*'Dane dla CO'!$P$35+'Dane dla CO'!$Q$35)</f>
        <v>0.63518518518518519</v>
      </c>
      <c r="E30" s="84">
        <f>C30*'Dane dla CO'!$N$96+'Dane dla CO'!$N$97</f>
        <v>187.20000000000005</v>
      </c>
      <c r="F30" s="84">
        <f>IF(C30&lt;'Dane dla CO'!$Z$67,0,IF(D30&gt;1,E30,D30*E30))</f>
        <v>0</v>
      </c>
      <c r="G30" s="84">
        <f t="shared" si="6"/>
        <v>187.20000000000005</v>
      </c>
      <c r="H30" s="84">
        <f>(C30*'Dane dla CWU'!$AB$53+'Dane dla CWU'!$AD$53)/(C30*'Dane dla CO'!$P$35+'Dane dla CO'!$Q$35)</f>
        <v>0.43641975308641973</v>
      </c>
      <c r="I30" s="84">
        <f t="shared" si="7"/>
        <v>10.319026666666666</v>
      </c>
      <c r="J30" s="84">
        <f>IF(C30&lt;'Dane dla CWU'!$Z$67,0,IF(H30&gt;1,I30,H30*I30))</f>
        <v>0</v>
      </c>
      <c r="K30" s="84">
        <f t="shared" si="8"/>
        <v>10.319026666666666</v>
      </c>
      <c r="M30">
        <v>28</v>
      </c>
      <c r="N30">
        <v>0</v>
      </c>
      <c r="O30">
        <f>(N30*'Dane dla CO'!$AB$53+'Dane dla CO'!$AD$53)/(N30*'Dane dla CO'!$P$35+'Dane dla CO'!$Q$35)</f>
        <v>1.1306584362139918</v>
      </c>
      <c r="P30">
        <f>N30*'Dane dla CO'!$N$96+'Dane dla CO'!$N$97</f>
        <v>115.20000000000002</v>
      </c>
      <c r="Q30">
        <f>IF(N30&lt;'Dane dla CO'!$Z$67,0,IF(O30&gt;1,P30,O30*P30))</f>
        <v>115.20000000000002</v>
      </c>
      <c r="R30">
        <f t="shared" si="9"/>
        <v>0</v>
      </c>
      <c r="S30" s="84">
        <f>(N30*'Dane dla CWU'!$AB$53+'Dane dla CWU'!$AD$53)/(N30*'Dane dla CO'!$P$35+'Dane dla CO'!$Q$35)</f>
        <v>1.0394375857338818</v>
      </c>
      <c r="T30" s="84">
        <f t="shared" si="10"/>
        <v>10.319026666666666</v>
      </c>
      <c r="U30" s="84">
        <f>IF(N30&lt;'Dane dla CWU'!$Z$67,0,IF(S30&gt;1,T30,S30*T30))</f>
        <v>0</v>
      </c>
      <c r="V30" s="84">
        <f t="shared" si="11"/>
        <v>10.319026666666666</v>
      </c>
      <c r="X30">
        <v>28</v>
      </c>
      <c r="Y30">
        <v>11</v>
      </c>
      <c r="Z30">
        <f>(Y30*'Dane dla CO'!$AB$53+'Dane dla CO'!$AD$53)/(Y30*'Dane dla CO'!$P$35+'Dane dla CO'!$Q$35)</f>
        <v>4.5370370370370363</v>
      </c>
      <c r="AA30">
        <f>Y30*'Dane dla CO'!$N$96+'Dane dla CO'!$N$97</f>
        <v>36</v>
      </c>
      <c r="AB30">
        <f>IF(Y30&lt;'Dane dla CO'!$Z$67,0,IF(Z30&gt;1,AA30,Z30*AA30))</f>
        <v>36</v>
      </c>
      <c r="AC30">
        <f t="shared" si="12"/>
        <v>0</v>
      </c>
      <c r="AD30" s="84">
        <f>(Y30*'Dane dla CWU'!$AB$53+'Dane dla CWU'!$AD$53)/(Y30*'Dane dla CO'!$P$35+'Dane dla CO'!$Q$35)</f>
        <v>5.1851851851851842</v>
      </c>
      <c r="AE30" s="84">
        <f t="shared" si="13"/>
        <v>10.319026666666666</v>
      </c>
      <c r="AF30" s="84">
        <f>IF(Y30&lt;'Dane dla CWU'!$Z$67,0,IF(AD30&gt;1,AE30,AD30*AE30))</f>
        <v>10.319026666666666</v>
      </c>
      <c r="AG30" s="84">
        <f t="shared" si="14"/>
        <v>0</v>
      </c>
      <c r="AI30">
        <v>28</v>
      </c>
      <c r="AJ30">
        <v>19</v>
      </c>
      <c r="AO30" s="84"/>
      <c r="AP30" s="84">
        <f t="shared" si="16"/>
        <v>10.319026666666666</v>
      </c>
      <c r="AQ30" s="84">
        <f t="shared" ref="AQ30:AQ32" si="40">AP30</f>
        <v>10.319026666666666</v>
      </c>
      <c r="AR30" s="84">
        <f t="shared" si="17"/>
        <v>0</v>
      </c>
      <c r="AT30">
        <v>28</v>
      </c>
      <c r="AU30">
        <v>16</v>
      </c>
      <c r="BA30">
        <v>28</v>
      </c>
      <c r="BB30">
        <v>18</v>
      </c>
      <c r="BH30">
        <v>28</v>
      </c>
      <c r="BI30">
        <v>25</v>
      </c>
      <c r="BO30">
        <v>28</v>
      </c>
      <c r="BP30">
        <v>14</v>
      </c>
      <c r="BV30">
        <v>28</v>
      </c>
      <c r="BW30">
        <v>14</v>
      </c>
      <c r="BX30">
        <f>(BW30*'Dane dla CO'!$AB$53+'Dane dla CO'!$AD$53)/(BW30*'Dane dla CO'!$P$35+'Dane dla CO'!$Q$35)</f>
        <v>18.472222222222211</v>
      </c>
      <c r="BY30">
        <f>BW30*'Dane dla CO'!$N$96+'Dane dla CO'!$N$97</f>
        <v>14.400000000000006</v>
      </c>
      <c r="BZ30">
        <f>IF(BW30&lt;'Dane dla CO'!$Z$67,0,IF(BX30&gt;1,BY30,BX30*BY30))</f>
        <v>14.400000000000006</v>
      </c>
      <c r="CA30">
        <f t="shared" si="37"/>
        <v>0</v>
      </c>
      <c r="CB30" s="84">
        <f>(BW30*'Dane dla CWU'!$AB$53+'Dane dla CWU'!$AD$53)/(BW30*'Dane dla CO'!$P$35+'Dane dla CO'!$Q$35)</f>
        <v>22.145061728395049</v>
      </c>
      <c r="CC30" s="84">
        <f t="shared" si="18"/>
        <v>10.319026666666666</v>
      </c>
      <c r="CD30" s="84">
        <f>IF(BW30&lt;'Dane dla CWU'!$Z$67,0,IF(CB30&gt;1,CC30,CB30*CC30))</f>
        <v>10.319026666666666</v>
      </c>
      <c r="CE30" s="84">
        <f t="shared" si="20"/>
        <v>0</v>
      </c>
      <c r="CG30">
        <v>28</v>
      </c>
      <c r="CH30">
        <v>0</v>
      </c>
      <c r="CI30">
        <f>(CH30*'Dane dla CO'!$AB$53+'Dane dla CO'!$AD$53)/(CH30*'Dane dla CO'!$P$35+'Dane dla CO'!$Q$35)</f>
        <v>1.1306584362139918</v>
      </c>
      <c r="CJ30">
        <f>CH30*'Dane dla CO'!$N$96+'Dane dla CO'!$N$97</f>
        <v>115.20000000000002</v>
      </c>
      <c r="CK30">
        <f>IF(CH30&lt;'Dane dla CO'!$Z$67,0,IF(CI30&gt;1,CJ30,CI30*CJ30))</f>
        <v>115.20000000000002</v>
      </c>
      <c r="CL30">
        <f t="shared" si="21"/>
        <v>0</v>
      </c>
      <c r="CM30" s="84">
        <f>(CH30*'Dane dla CWU'!$AB$53+'Dane dla CWU'!$AD$53)/(CH30*'Dane dla CO'!$P$35+'Dane dla CO'!$Q$35)</f>
        <v>1.0394375857338818</v>
      </c>
      <c r="CN30" s="84">
        <f t="shared" si="0"/>
        <v>10.319026666666666</v>
      </c>
      <c r="CO30" s="84">
        <f>IF(CH30&lt;'Dane dla CWU'!$Z$67,0,IF(CM30&gt;1,CN30,CM30*CN30))</f>
        <v>0</v>
      </c>
      <c r="CP30" s="84">
        <f t="shared" si="1"/>
        <v>10.319026666666666</v>
      </c>
      <c r="CR30">
        <v>28</v>
      </c>
      <c r="CS30">
        <v>6</v>
      </c>
      <c r="CT30">
        <f>(CS30*'Dane dla CO'!$AB$53+'Dane dla CO'!$AD$53)/(CS30*'Dane dla CO'!$P$35+'Dane dla CO'!$Q$35)</f>
        <v>1.9564471879286691</v>
      </c>
      <c r="CU30">
        <f>CS30*'Dane dla CO'!$N$96+'Dane dla CO'!$N$97</f>
        <v>72.000000000000014</v>
      </c>
      <c r="CV30">
        <f>IF(CS30&lt;'Dane dla CO'!$Z$67,0,IF(CT30&gt;1,CU30,CT30*CU30))</f>
        <v>72.000000000000014</v>
      </c>
      <c r="CW30">
        <f t="shared" si="22"/>
        <v>0</v>
      </c>
      <c r="CX30" s="84">
        <f>(CS30*'Dane dla CWU'!$AB$53+'Dane dla CWU'!$AD$53)/(CS30*'Dane dla CO'!$P$35+'Dane dla CO'!$Q$35)</f>
        <v>2.0444673068129853</v>
      </c>
      <c r="CY30" s="84">
        <f t="shared" si="2"/>
        <v>10.319026666666666</v>
      </c>
      <c r="CZ30" s="84">
        <f>IF(CS30&lt;'Dane dla CWU'!$Z$67,0,IF(CX30&gt;1,CY30,CX30*CY30))</f>
        <v>0</v>
      </c>
      <c r="DA30" s="84">
        <f t="shared" si="3"/>
        <v>10.319026666666666</v>
      </c>
      <c r="DC30">
        <v>28</v>
      </c>
      <c r="DD30">
        <v>1</v>
      </c>
      <c r="DE30">
        <f>(DD30*'Dane dla CO'!$AB$53+'Dane dla CO'!$AD$53)/(DD30*'Dane dla CO'!$P$35+'Dane dla CO'!$Q$35)</f>
        <v>1.2191358024691357</v>
      </c>
      <c r="DF30">
        <f>DD30*'Dane dla CO'!$N$96+'Dane dla CO'!$N$97</f>
        <v>108.00000000000001</v>
      </c>
      <c r="DG30">
        <f>IF(DD30&lt;'Dane dla CO'!$Z$67,0,IF(DE30&gt;1,DF30,DE30*DF30))</f>
        <v>108.00000000000001</v>
      </c>
      <c r="DH30">
        <f t="shared" si="23"/>
        <v>0</v>
      </c>
      <c r="DI30" s="84">
        <f>(DD30*'Dane dla CWU'!$AB$53+'Dane dla CWU'!$AD$53)/(DD30*'Dane dla CO'!$P$35+'Dane dla CO'!$Q$35)</f>
        <v>1.1471193415637859</v>
      </c>
      <c r="DJ30" s="84">
        <f t="shared" si="4"/>
        <v>10.319026666666666</v>
      </c>
      <c r="DK30" s="84">
        <f>IF(DD30&lt;'Dane dla CWU'!$Z$67,0,IF(DI30&gt;1,DJ30,DI30*DJ30))</f>
        <v>0</v>
      </c>
      <c r="DL30" s="84">
        <f t="shared" si="5"/>
        <v>10.319026666666666</v>
      </c>
      <c r="DM30" s="49">
        <v>-3</v>
      </c>
      <c r="DN30" s="94">
        <f>DO30*'Dane dla CO'!$N$80</f>
        <v>352.65306122448982</v>
      </c>
      <c r="DO30" s="94">
        <f>(15-DS30)/35*'Dane dla CO'!$N$75</f>
        <v>3.0857142857142859</v>
      </c>
      <c r="DP30" s="94">
        <f t="shared" si="24"/>
        <v>32.05936920222635</v>
      </c>
      <c r="DQ30" s="51">
        <v>-3</v>
      </c>
      <c r="DR30" s="52">
        <v>11</v>
      </c>
      <c r="DS30" s="52">
        <v>5</v>
      </c>
      <c r="DT30" s="89">
        <f>Wykresy!Y28</f>
        <v>40</v>
      </c>
      <c r="DU30" s="90">
        <f>Wykresy!AE28</f>
        <v>25.833333333333336</v>
      </c>
      <c r="DV30" s="92">
        <f>(($DV$32-$DV$27)/5)*3+$DV$27</f>
        <v>6.6739999999999995</v>
      </c>
      <c r="DW30" s="92">
        <f>(($DW$32-$DW$27)/5)*3+$DW$27</f>
        <v>2.157</v>
      </c>
      <c r="DX30" s="92">
        <f t="shared" si="29"/>
        <v>3.0941121928604542</v>
      </c>
      <c r="DY30" s="86">
        <f>(($DY$32-$DY$27)/5)*4+$DY$27</f>
        <v>8.86</v>
      </c>
      <c r="DZ30" s="86">
        <f>(($DZ$32-$DZ$27)/5)*3+$DZ$27</f>
        <v>1.8260000000000001</v>
      </c>
      <c r="EA30" s="96">
        <f t="shared" si="30"/>
        <v>4.8521358159912369</v>
      </c>
      <c r="EB30" s="85">
        <f t="shared" si="32"/>
        <v>11</v>
      </c>
      <c r="EC30" s="85">
        <f t="shared" si="26"/>
        <v>0.15126770720651109</v>
      </c>
      <c r="ED30" s="85">
        <f>(SUM(EC30:$EC$40))*$DT$42/(SUM(EB30:$EB$40))</f>
        <v>3.9768120186978497</v>
      </c>
      <c r="EE30" s="86">
        <f t="shared" si="33"/>
        <v>11</v>
      </c>
      <c r="EF30" s="86">
        <f t="shared" si="27"/>
        <v>0.23721552878179381</v>
      </c>
      <c r="EG30" s="86">
        <f>(SUM(EF30:$EF$40))*$DT$42/(SUM(EE30:$EE$40))</f>
        <v>4.9259751609163303</v>
      </c>
      <c r="EI30" s="52">
        <v>11</v>
      </c>
      <c r="EJ30" s="52">
        <f t="shared" si="25"/>
        <v>120</v>
      </c>
      <c r="EK30" s="52">
        <v>5</v>
      </c>
      <c r="EL30" s="89">
        <v>55</v>
      </c>
      <c r="EM30" s="92">
        <f>EM29+$ES$27</f>
        <v>5.6399999999999988</v>
      </c>
      <c r="EN30" s="92">
        <f>EN29+$ET$27</f>
        <v>2.7179999999999995</v>
      </c>
      <c r="EO30" s="92">
        <f t="shared" si="31"/>
        <v>2.075055187637969</v>
      </c>
      <c r="EP30" s="85">
        <f t="shared" si="36"/>
        <v>11</v>
      </c>
      <c r="EQ30" s="85">
        <f t="shared" si="28"/>
        <v>0.10144714250674515</v>
      </c>
      <c r="ER30" s="85">
        <f>(SUM(EQ30:$EQ$53))*$EL$54/(SUM(EP30:$EP$53))</f>
        <v>4.132140287750075</v>
      </c>
    </row>
    <row r="31" spans="1:165">
      <c r="A31" s="162"/>
      <c r="B31">
        <v>29</v>
      </c>
      <c r="C31">
        <v>-10</v>
      </c>
      <c r="D31" s="84">
        <f>(C31*'Dane dla CO'!$AB$53+'Dane dla CO'!$AD$53)/(C31*'Dane dla CO'!$P$35+'Dane dla CO'!$Q$35)</f>
        <v>0.63518518518518519</v>
      </c>
      <c r="E31" s="84">
        <f>C31*'Dane dla CO'!$N$96+'Dane dla CO'!$N$97</f>
        <v>187.20000000000005</v>
      </c>
      <c r="F31" s="84">
        <f>IF(C31&lt;'Dane dla CO'!$Z$67,0,IF(D31&gt;1,E31,D31*E31))</f>
        <v>0</v>
      </c>
      <c r="G31" s="84">
        <f t="shared" si="6"/>
        <v>187.20000000000005</v>
      </c>
      <c r="H31" s="84">
        <f>(C31*'Dane dla CWU'!$AB$53+'Dane dla CWU'!$AD$53)/(C31*'Dane dla CO'!$P$35+'Dane dla CO'!$Q$35)</f>
        <v>0.43641975308641973</v>
      </c>
      <c r="I31" s="84">
        <f t="shared" si="7"/>
        <v>10.319026666666666</v>
      </c>
      <c r="J31" s="84">
        <f>IF(C31&lt;'Dane dla CWU'!$Z$67,0,IF(H31&gt;1,I31,H31*I31))</f>
        <v>0</v>
      </c>
      <c r="K31" s="84">
        <f t="shared" si="8"/>
        <v>10.319026666666666</v>
      </c>
      <c r="M31">
        <v>29</v>
      </c>
      <c r="N31">
        <v>6</v>
      </c>
      <c r="O31">
        <f>(N31*'Dane dla CO'!$AB$53+'Dane dla CO'!$AD$53)/(N31*'Dane dla CO'!$P$35+'Dane dla CO'!$Q$35)</f>
        <v>1.9564471879286691</v>
      </c>
      <c r="P31">
        <f>N31*'Dane dla CO'!$N$96+'Dane dla CO'!$N$97</f>
        <v>72.000000000000014</v>
      </c>
      <c r="Q31">
        <f>IF(N31&lt;'Dane dla CO'!$Z$67,0,IF(O31&gt;1,P31,O31*P31))</f>
        <v>72.000000000000014</v>
      </c>
      <c r="R31">
        <f t="shared" si="9"/>
        <v>0</v>
      </c>
      <c r="S31" s="84">
        <f>(N31*'Dane dla CWU'!$AB$53+'Dane dla CWU'!$AD$53)/(N31*'Dane dla CO'!$P$35+'Dane dla CO'!$Q$35)</f>
        <v>2.0444673068129853</v>
      </c>
      <c r="T31" s="84">
        <f t="shared" si="10"/>
        <v>10.319026666666666</v>
      </c>
      <c r="U31" s="84">
        <f>IF(N31&lt;'Dane dla CWU'!$Z$67,0,IF(S31&gt;1,T31,S31*T31))</f>
        <v>0</v>
      </c>
      <c r="V31" s="84">
        <f t="shared" si="11"/>
        <v>10.319026666666666</v>
      </c>
      <c r="X31">
        <v>29</v>
      </c>
      <c r="Y31">
        <v>10</v>
      </c>
      <c r="Z31">
        <f>(Y31*'Dane dla CO'!$AB$53+'Dane dla CO'!$AD$53)/(Y31*'Dane dla CO'!$P$35+'Dane dla CO'!$Q$35)</f>
        <v>3.6080246913580249</v>
      </c>
      <c r="AA31">
        <f>Y31*'Dane dla CO'!$N$96+'Dane dla CO'!$N$97</f>
        <v>43.2</v>
      </c>
      <c r="AB31">
        <f>IF(Y31&lt;'Dane dla CO'!$Z$67,0,IF(Z31&gt;1,AA31,Z31*AA31))</f>
        <v>43.2</v>
      </c>
      <c r="AC31">
        <f t="shared" si="12"/>
        <v>0</v>
      </c>
      <c r="AD31" s="84">
        <f>(Y31*'Dane dla CWU'!$AB$53+'Dane dla CWU'!$AD$53)/(Y31*'Dane dla CO'!$P$35+'Dane dla CO'!$Q$35)</f>
        <v>4.0545267489711936</v>
      </c>
      <c r="AE31" s="84">
        <f t="shared" si="13"/>
        <v>10.319026666666666</v>
      </c>
      <c r="AF31" s="84">
        <f>IF(Y31&lt;'Dane dla CWU'!$Z$67,0,IF(AD31&gt;1,AE31,AD31*AE31))</f>
        <v>10.319026666666666</v>
      </c>
      <c r="AG31" s="84">
        <f t="shared" si="14"/>
        <v>0</v>
      </c>
      <c r="AI31">
        <v>29</v>
      </c>
      <c r="AJ31">
        <v>21</v>
      </c>
      <c r="AO31" s="84"/>
      <c r="AP31" s="84">
        <f t="shared" si="16"/>
        <v>10.319026666666666</v>
      </c>
      <c r="AQ31" s="84">
        <f t="shared" si="40"/>
        <v>10.319026666666666</v>
      </c>
      <c r="AR31" s="84">
        <f t="shared" si="17"/>
        <v>0</v>
      </c>
      <c r="AT31">
        <v>29</v>
      </c>
      <c r="AU31">
        <v>18</v>
      </c>
      <c r="BA31">
        <v>29</v>
      </c>
      <c r="BB31">
        <v>22</v>
      </c>
      <c r="BH31">
        <v>29</v>
      </c>
      <c r="BI31">
        <v>23</v>
      </c>
      <c r="BO31">
        <v>29</v>
      </c>
      <c r="BP31">
        <v>16</v>
      </c>
      <c r="BV31">
        <v>29</v>
      </c>
      <c r="BW31">
        <v>13</v>
      </c>
      <c r="BX31">
        <f>(BW31*'Dane dla CO'!$AB$53+'Dane dla CO'!$AD$53)/(BW31*'Dane dla CO'!$P$35+'Dane dla CO'!$Q$35)</f>
        <v>9.1820987654320927</v>
      </c>
      <c r="BY31">
        <f>BW31*'Dane dla CO'!$N$96+'Dane dla CO'!$N$97</f>
        <v>21.600000000000009</v>
      </c>
      <c r="BZ31">
        <f>IF(BW31&lt;'Dane dla CO'!$Z$67,0,IF(BX31&gt;1,BY31,BX31*BY31))</f>
        <v>21.600000000000009</v>
      </c>
      <c r="CA31">
        <f t="shared" si="37"/>
        <v>0</v>
      </c>
      <c r="CB31" s="84">
        <f>(BW31*'Dane dla CWU'!$AB$53+'Dane dla CWU'!$AD$53)/(BW31*'Dane dla CO'!$P$35+'Dane dla CO'!$Q$35)</f>
        <v>10.838477366255137</v>
      </c>
      <c r="CC31" s="84">
        <f t="shared" si="18"/>
        <v>10.319026666666666</v>
      </c>
      <c r="CD31" s="84">
        <f>IF(BW31&lt;'Dane dla CWU'!$Z$67,0,IF(CB31&gt;1,CC31,CB31*CC31))</f>
        <v>10.319026666666666</v>
      </c>
      <c r="CE31" s="84">
        <f t="shared" si="20"/>
        <v>0</v>
      </c>
      <c r="CG31">
        <v>29</v>
      </c>
      <c r="CH31">
        <v>0</v>
      </c>
      <c r="CI31">
        <f>(CH31*'Dane dla CO'!$AB$53+'Dane dla CO'!$AD$53)/(CH31*'Dane dla CO'!$P$35+'Dane dla CO'!$Q$35)</f>
        <v>1.1306584362139918</v>
      </c>
      <c r="CJ31">
        <f>CH31*'Dane dla CO'!$N$96+'Dane dla CO'!$N$97</f>
        <v>115.20000000000002</v>
      </c>
      <c r="CK31">
        <f>IF(CH31&lt;'Dane dla CO'!$Z$67,0,IF(CI31&gt;1,CJ31,CI31*CJ31))</f>
        <v>115.20000000000002</v>
      </c>
      <c r="CL31">
        <f t="shared" si="21"/>
        <v>0</v>
      </c>
      <c r="CM31" s="84">
        <f>(CH31*'Dane dla CWU'!$AB$53+'Dane dla CWU'!$AD$53)/(CH31*'Dane dla CO'!$P$35+'Dane dla CO'!$Q$35)</f>
        <v>1.0394375857338818</v>
      </c>
      <c r="CN31" s="84">
        <f t="shared" si="0"/>
        <v>10.319026666666666</v>
      </c>
      <c r="CO31" s="84">
        <f>IF(CH31&lt;'Dane dla CWU'!$Z$67,0,IF(CM31&gt;1,CN31,CM31*CN31))</f>
        <v>0</v>
      </c>
      <c r="CP31" s="84">
        <f t="shared" si="1"/>
        <v>10.319026666666666</v>
      </c>
      <c r="CR31">
        <v>29</v>
      </c>
      <c r="CS31">
        <v>7</v>
      </c>
      <c r="CT31">
        <f>(CS31*'Dane dla CO'!$AB$53+'Dane dla CO'!$AD$53)/(CS31*'Dane dla CO'!$P$35+'Dane dla CO'!$Q$35)</f>
        <v>2.2145061728395059</v>
      </c>
      <c r="CU31">
        <f>CS31*'Dane dla CO'!$N$96+'Dane dla CO'!$N$97</f>
        <v>64.800000000000011</v>
      </c>
      <c r="CV31">
        <f>IF(CS31&lt;'Dane dla CO'!$Z$67,0,IF(CT31&gt;1,CU31,CT31*CU31))</f>
        <v>64.800000000000011</v>
      </c>
      <c r="CW31">
        <f t="shared" si="22"/>
        <v>0</v>
      </c>
      <c r="CX31" s="84">
        <f>(CS31*'Dane dla CWU'!$AB$53+'Dane dla CWU'!$AD$53)/(CS31*'Dane dla CO'!$P$35+'Dane dla CO'!$Q$35)</f>
        <v>2.3585390946502054</v>
      </c>
      <c r="CY31" s="84">
        <f t="shared" si="2"/>
        <v>10.319026666666666</v>
      </c>
      <c r="CZ31" s="84">
        <f>IF(CS31&lt;'Dane dla CWU'!$Z$67,0,IF(CX31&gt;1,CY31,CX31*CY31))</f>
        <v>0</v>
      </c>
      <c r="DA31" s="84">
        <f t="shared" si="3"/>
        <v>10.319026666666666</v>
      </c>
      <c r="DC31">
        <v>29</v>
      </c>
      <c r="DD31">
        <v>-4</v>
      </c>
      <c r="DE31">
        <f>(DD31*'Dane dla CO'!$AB$53+'Dane dla CO'!$AD$53)/(DD31*'Dane dla CO'!$P$35+'Dane dla CO'!$Q$35)</f>
        <v>0.86988304093567259</v>
      </c>
      <c r="DF31">
        <f>DD31*'Dane dla CO'!$N$96+'Dane dla CO'!$N$97</f>
        <v>144.00000000000003</v>
      </c>
      <c r="DG31">
        <f>IF(DD31&lt;'Dane dla CO'!$Z$67,0,IF(DE31&gt;1,DF31,DE31*DF31))</f>
        <v>0</v>
      </c>
      <c r="DH31">
        <f t="shared" si="23"/>
        <v>144.00000000000003</v>
      </c>
      <c r="DI31" s="84">
        <f>(DD31*'Dane dla CWU'!$AB$53+'Dane dla CWU'!$AD$53)/(DD31*'Dane dla CO'!$P$35+'Dane dla CO'!$Q$35)</f>
        <v>0.72205977907732288</v>
      </c>
      <c r="DJ31" s="84">
        <f t="shared" si="4"/>
        <v>10.319026666666666</v>
      </c>
      <c r="DK31" s="84">
        <f>IF(DD31&lt;'Dane dla CWU'!$Z$67,0,IF(DI31&gt;1,DJ31,DI31*DJ31))</f>
        <v>0</v>
      </c>
      <c r="DL31" s="84">
        <f t="shared" si="5"/>
        <v>10.319026666666666</v>
      </c>
      <c r="DM31" s="49">
        <v>-3</v>
      </c>
      <c r="DN31" s="94">
        <f>DO31*'Dane dla CO'!$N$80</f>
        <v>317.38775510204084</v>
      </c>
      <c r="DO31" s="94">
        <f>(15-DS31)/35*'Dane dla CO'!$N$75</f>
        <v>2.7771428571428571</v>
      </c>
      <c r="DP31" s="94">
        <f t="shared" si="24"/>
        <v>15.869387755102043</v>
      </c>
      <c r="DQ31" s="51">
        <v>-3</v>
      </c>
      <c r="DR31" s="52">
        <v>20</v>
      </c>
      <c r="DS31" s="52">
        <v>6</v>
      </c>
      <c r="DT31" s="89">
        <f>Wykresy!Y29</f>
        <v>39.4</v>
      </c>
      <c r="DU31" s="90">
        <f>Wykresy!AE29</f>
        <v>25.466666666666669</v>
      </c>
      <c r="DV31" s="92">
        <f>(($DV$32-$DV$27)/5)*4+$DV$27</f>
        <v>7.1319999999999997</v>
      </c>
      <c r="DW31" s="92">
        <f>(($DW$32-$DW$27)/5)*4+$DW$27</f>
        <v>2.1459999999999999</v>
      </c>
      <c r="DX31" s="92">
        <f t="shared" si="29"/>
        <v>3.3233923578751163</v>
      </c>
      <c r="DY31" s="86">
        <f>(($DY$32-$DY$27)/5)*1+$DY$27</f>
        <v>6.9399999999999995</v>
      </c>
      <c r="DZ31" s="86">
        <f>(($DZ$32-$DZ$27)/5)*4+$DZ$27</f>
        <v>1.8679999999999999</v>
      </c>
      <c r="EA31" s="96">
        <f t="shared" si="30"/>
        <v>3.7152034261241971</v>
      </c>
      <c r="EB31" s="85">
        <f t="shared" si="32"/>
        <v>20</v>
      </c>
      <c r="EC31" s="85">
        <f t="shared" si="26"/>
        <v>0.29541265403334366</v>
      </c>
      <c r="ED31" s="85">
        <f>(SUM(EC31:$EC$40))*$DT$42/(SUM(EB31:$EB$40))</f>
        <v>4.0692853337855768</v>
      </c>
      <c r="EE31" s="86">
        <f t="shared" si="33"/>
        <v>20</v>
      </c>
      <c r="EF31" s="86">
        <f t="shared" si="27"/>
        <v>0.33024030454437309</v>
      </c>
      <c r="EG31" s="86">
        <f>(SUM(EF31:$EF$40))*$DT$42/(SUM(EE31:$EE$40))</f>
        <v>4.9337107113370537</v>
      </c>
      <c r="EI31" s="52">
        <v>20</v>
      </c>
      <c r="EJ31" s="52">
        <f t="shared" si="25"/>
        <v>140</v>
      </c>
      <c r="EK31" s="52">
        <v>6</v>
      </c>
      <c r="EL31" s="89">
        <v>55</v>
      </c>
      <c r="EM31" s="92">
        <f>EM30+$ES$27</f>
        <v>5.8199999999999985</v>
      </c>
      <c r="EN31" s="92">
        <f>EN30+$ET$27</f>
        <v>2.7439999999999993</v>
      </c>
      <c r="EO31" s="92">
        <f t="shared" si="31"/>
        <v>2.120991253644315</v>
      </c>
      <c r="EP31" s="85">
        <f t="shared" si="36"/>
        <v>20</v>
      </c>
      <c r="EQ31" s="85">
        <f t="shared" si="28"/>
        <v>0.18853255587949466</v>
      </c>
      <c r="ER31" s="85">
        <f>(SUM(EQ31:$EQ$53))*$EL$54/(SUM(EP31:$EP$53))</f>
        <v>4.1659772349361806</v>
      </c>
    </row>
    <row r="32" spans="1:165">
      <c r="A32" s="162"/>
      <c r="B32">
        <v>30</v>
      </c>
      <c r="C32">
        <v>-12</v>
      </c>
      <c r="D32" s="84">
        <f>(C32*'Dane dla CO'!$AB$53+'Dane dla CO'!$AD$53)/(C32*'Dane dla CO'!$P$35+'Dane dla CO'!$Q$35)</f>
        <v>0.58013260173754</v>
      </c>
      <c r="E32" s="84">
        <f>C32*'Dane dla CO'!$N$96+'Dane dla CO'!$N$97</f>
        <v>201.60000000000002</v>
      </c>
      <c r="F32" s="84">
        <f>IF(C32&lt;'Dane dla CO'!$Z$67,0,IF(D32&gt;1,E32,D32*E32))</f>
        <v>0</v>
      </c>
      <c r="G32" s="84">
        <f t="shared" si="6"/>
        <v>201.60000000000002</v>
      </c>
      <c r="H32" s="84">
        <f>(C32*'Dane dla CWU'!$AB$53+'Dane dla CWU'!$AD$53)/(C32*'Dane dla CO'!$P$35+'Dane dla CO'!$Q$35)</f>
        <v>0.36941777168114609</v>
      </c>
      <c r="I32" s="84">
        <f t="shared" si="7"/>
        <v>10.319026666666666</v>
      </c>
      <c r="J32" s="84">
        <f>IF(C32&lt;'Dane dla CWU'!$Z$67,0,IF(H32&gt;1,I32,H32*I32))</f>
        <v>0</v>
      </c>
      <c r="K32" s="84">
        <f t="shared" si="8"/>
        <v>10.319026666666666</v>
      </c>
      <c r="X32">
        <v>30</v>
      </c>
      <c r="Y32">
        <v>6</v>
      </c>
      <c r="Z32">
        <f>(Y32*'Dane dla CO'!$AB$53+'Dane dla CO'!$AD$53)/(Y32*'Dane dla CO'!$P$35+'Dane dla CO'!$Q$35)</f>
        <v>1.9564471879286691</v>
      </c>
      <c r="AA32">
        <f>Y32*'Dane dla CO'!$N$96+'Dane dla CO'!$N$97</f>
        <v>72.000000000000014</v>
      </c>
      <c r="AB32">
        <f>IF(Y32&lt;'Dane dla CO'!$Z$67,0,IF(Z32&gt;1,AA32,Z32*AA32))</f>
        <v>72.000000000000014</v>
      </c>
      <c r="AC32">
        <f t="shared" si="12"/>
        <v>0</v>
      </c>
      <c r="AD32" s="84">
        <f>(Y32*'Dane dla CWU'!$AB$53+'Dane dla CWU'!$AD$53)/(Y32*'Dane dla CO'!$P$35+'Dane dla CO'!$Q$35)</f>
        <v>2.0444673068129853</v>
      </c>
      <c r="AE32" s="84">
        <f t="shared" si="13"/>
        <v>10.319026666666666</v>
      </c>
      <c r="AF32" s="84">
        <f>IF(Y32&lt;'Dane dla CWU'!$Z$67,0,IF(AD32&gt;1,AE32,AD32*AE32))</f>
        <v>0</v>
      </c>
      <c r="AG32" s="84">
        <f t="shared" si="14"/>
        <v>10.319026666666666</v>
      </c>
      <c r="AI32">
        <v>30</v>
      </c>
      <c r="AJ32">
        <v>22</v>
      </c>
      <c r="AO32" s="84"/>
      <c r="AP32" s="84">
        <f t="shared" si="16"/>
        <v>10.319026666666666</v>
      </c>
      <c r="AQ32" s="84">
        <f t="shared" si="40"/>
        <v>10.319026666666666</v>
      </c>
      <c r="AR32" s="84">
        <f t="shared" si="17"/>
        <v>0</v>
      </c>
      <c r="AT32">
        <v>30</v>
      </c>
      <c r="AU32">
        <v>18</v>
      </c>
      <c r="BA32">
        <v>30</v>
      </c>
      <c r="BB32">
        <v>25</v>
      </c>
      <c r="BH32">
        <v>30</v>
      </c>
      <c r="BI32">
        <v>21</v>
      </c>
      <c r="BO32">
        <v>30</v>
      </c>
      <c r="BP32">
        <v>18</v>
      </c>
      <c r="BV32">
        <v>30</v>
      </c>
      <c r="BW32">
        <v>14</v>
      </c>
      <c r="BX32">
        <f>(BW32*'Dane dla CO'!$AB$53+'Dane dla CO'!$AD$53)/(BW32*'Dane dla CO'!$P$35+'Dane dla CO'!$Q$35)</f>
        <v>18.472222222222211</v>
      </c>
      <c r="BY32">
        <f>BW32*'Dane dla CO'!$N$96+'Dane dla CO'!$N$97</f>
        <v>14.400000000000006</v>
      </c>
      <c r="BZ32">
        <f>IF(BW32&lt;'Dane dla CO'!$Z$67,0,IF(BX32&gt;1,BY32,BX32*BY32))</f>
        <v>14.400000000000006</v>
      </c>
      <c r="CA32">
        <f t="shared" si="37"/>
        <v>0</v>
      </c>
      <c r="CB32" s="84">
        <f>(BW32*'Dane dla CWU'!$AB$53+'Dane dla CWU'!$AD$53)/(BW32*'Dane dla CO'!$P$35+'Dane dla CO'!$Q$35)</f>
        <v>22.145061728395049</v>
      </c>
      <c r="CC32" s="84">
        <f t="shared" si="18"/>
        <v>10.319026666666666</v>
      </c>
      <c r="CD32" s="84">
        <f>IF(BW32&lt;'Dane dla CWU'!$Z$67,0,IF(CB32&gt;1,CC32,CB32*CC32))</f>
        <v>10.319026666666666</v>
      </c>
      <c r="CE32" s="84">
        <f t="shared" si="20"/>
        <v>0</v>
      </c>
      <c r="CG32">
        <v>30</v>
      </c>
      <c r="CH32">
        <v>1</v>
      </c>
      <c r="CI32">
        <f>(CH32*'Dane dla CO'!$AB$53+'Dane dla CO'!$AD$53)/(CH32*'Dane dla CO'!$P$35+'Dane dla CO'!$Q$35)</f>
        <v>1.2191358024691357</v>
      </c>
      <c r="CJ32">
        <f>CH32*'Dane dla CO'!$N$96+'Dane dla CO'!$N$97</f>
        <v>108.00000000000001</v>
      </c>
      <c r="CK32">
        <f>IF(CH32&lt;'Dane dla CO'!$Z$67,0,IF(CI32&gt;1,CJ32,CI32*CJ32))</f>
        <v>108.00000000000001</v>
      </c>
      <c r="CL32">
        <f t="shared" si="21"/>
        <v>0</v>
      </c>
      <c r="CM32" s="84">
        <f>(CH32*'Dane dla CWU'!$AB$53+'Dane dla CWU'!$AD$53)/(CH32*'Dane dla CO'!$P$35+'Dane dla CO'!$Q$35)</f>
        <v>1.1471193415637859</v>
      </c>
      <c r="CN32" s="84">
        <f t="shared" si="0"/>
        <v>10.319026666666666</v>
      </c>
      <c r="CO32" s="84">
        <f>IF(CH32&lt;'Dane dla CWU'!$Z$67,0,IF(CM32&gt;1,CN32,CM32*CN32))</f>
        <v>0</v>
      </c>
      <c r="CP32" s="84">
        <f t="shared" si="1"/>
        <v>10.319026666666666</v>
      </c>
      <c r="CR32">
        <v>30</v>
      </c>
      <c r="CS32">
        <v>4</v>
      </c>
      <c r="CT32">
        <f>(CS32*'Dane dla CO'!$AB$53+'Dane dla CO'!$AD$53)/(CS32*'Dane dla CO'!$P$35+'Dane dla CO'!$Q$35)</f>
        <v>1.5810886644219975</v>
      </c>
      <c r="CU32">
        <f>CS32*'Dane dla CO'!$N$96+'Dane dla CO'!$N$97</f>
        <v>86.4</v>
      </c>
      <c r="CV32">
        <f>IF(CS32&lt;'Dane dla CO'!$Z$67,0,IF(CT32&gt;1,CU32,CT32*CU32))</f>
        <v>86.4</v>
      </c>
      <c r="CW32">
        <f t="shared" si="22"/>
        <v>0</v>
      </c>
      <c r="CX32" s="84">
        <f>(CS32*'Dane dla CWU'!$AB$53+'Dane dla CWU'!$AD$53)/(CS32*'Dane dla CO'!$P$35+'Dane dla CO'!$Q$35)</f>
        <v>1.5876356154133928</v>
      </c>
      <c r="CY32" s="84">
        <f t="shared" si="2"/>
        <v>10.319026666666666</v>
      </c>
      <c r="CZ32" s="84">
        <f>IF(CS32&lt;'Dane dla CWU'!$Z$67,0,IF(CX32&gt;1,CY32,CX32*CY32))</f>
        <v>0</v>
      </c>
      <c r="DA32" s="84">
        <f t="shared" si="3"/>
        <v>10.319026666666666</v>
      </c>
      <c r="DC32">
        <v>30</v>
      </c>
      <c r="DD32">
        <v>0</v>
      </c>
      <c r="DE32">
        <f>(DD32*'Dane dla CO'!$AB$53+'Dane dla CO'!$AD$53)/(DD32*'Dane dla CO'!$P$35+'Dane dla CO'!$Q$35)</f>
        <v>1.1306584362139918</v>
      </c>
      <c r="DF32">
        <f>DD32*'Dane dla CO'!$N$96+'Dane dla CO'!$N$97</f>
        <v>115.20000000000002</v>
      </c>
      <c r="DG32">
        <f>IF(DD32&lt;'Dane dla CO'!$Z$67,0,IF(DE32&gt;1,DF32,DE32*DF32))</f>
        <v>115.20000000000002</v>
      </c>
      <c r="DH32">
        <f t="shared" si="23"/>
        <v>0</v>
      </c>
      <c r="DI32" s="84">
        <f>(DD32*'Dane dla CWU'!$AB$53+'Dane dla CWU'!$AD$53)/(DD32*'Dane dla CO'!$P$35+'Dane dla CO'!$Q$35)</f>
        <v>1.0394375857338818</v>
      </c>
      <c r="DJ32" s="84">
        <f t="shared" si="4"/>
        <v>10.319026666666666</v>
      </c>
      <c r="DK32" s="84">
        <f>IF(DD32&lt;'Dane dla CWU'!$Z$67,0,IF(DI32&gt;1,DJ32,DI32*DJ32))</f>
        <v>0</v>
      </c>
      <c r="DL32" s="84">
        <f t="shared" si="5"/>
        <v>10.319026666666666</v>
      </c>
      <c r="DM32" s="49">
        <v>-3</v>
      </c>
      <c r="DN32" s="94">
        <f>DO32*'Dane dla CO'!$N$80</f>
        <v>282.12244897959187</v>
      </c>
      <c r="DO32" s="94">
        <f>(15-DS32)/35*'Dane dla CO'!$N$75</f>
        <v>2.4685714285714289</v>
      </c>
      <c r="DP32" s="94">
        <f t="shared" si="24"/>
        <v>21.701726844583991</v>
      </c>
      <c r="DQ32" s="51">
        <v>-3</v>
      </c>
      <c r="DR32" s="52">
        <v>13</v>
      </c>
      <c r="DS32" s="52">
        <v>7</v>
      </c>
      <c r="DT32" s="89">
        <f>Wykresy!Y30</f>
        <v>38.799999999999997</v>
      </c>
      <c r="DU32" s="90">
        <f>Wykresy!AE30</f>
        <v>25.1</v>
      </c>
      <c r="DV32" s="92">
        <f>(8.38+6.8)/2</f>
        <v>7.59</v>
      </c>
      <c r="DW32" s="92">
        <f>(1.96+2.31)/2</f>
        <v>2.1349999999999998</v>
      </c>
      <c r="DX32" s="92">
        <f t="shared" si="29"/>
        <v>3.555035128805621</v>
      </c>
      <c r="DY32" s="86">
        <v>9.5</v>
      </c>
      <c r="DZ32" s="86">
        <v>1.91</v>
      </c>
      <c r="EA32" s="96">
        <f t="shared" si="30"/>
        <v>4.9738219895287958</v>
      </c>
      <c r="EB32" s="85">
        <f t="shared" si="32"/>
        <v>13</v>
      </c>
      <c r="EC32" s="85">
        <f t="shared" si="26"/>
        <v>0.20540202966432478</v>
      </c>
      <c r="ED32" s="85">
        <f>(SUM(EC32:$EC$40))*$DT$42/(SUM(EB32:$EB$40))</f>
        <v>4.2447895634115662</v>
      </c>
      <c r="EE32" s="86">
        <f t="shared" si="33"/>
        <v>13</v>
      </c>
      <c r="EF32" s="86">
        <f t="shared" si="27"/>
        <v>0.28737638161721929</v>
      </c>
      <c r="EG32" s="86">
        <f>(SUM(EF32:$EF$40))*$DT$42/(SUM(EE32:$EE$40))</f>
        <v>5.2204183078577255</v>
      </c>
      <c r="EI32" s="52">
        <v>13</v>
      </c>
      <c r="EJ32" s="52">
        <f t="shared" si="25"/>
        <v>153</v>
      </c>
      <c r="EK32" s="52">
        <v>7</v>
      </c>
      <c r="EL32" s="89">
        <v>55</v>
      </c>
      <c r="EM32" s="92">
        <v>6</v>
      </c>
      <c r="EN32" s="92">
        <v>2.77</v>
      </c>
      <c r="EO32" s="92">
        <f t="shared" si="31"/>
        <v>2.1660649819494586</v>
      </c>
      <c r="EP32" s="85">
        <f t="shared" si="36"/>
        <v>13</v>
      </c>
      <c r="EQ32" s="85">
        <f t="shared" si="28"/>
        <v>0.12515042117930206</v>
      </c>
      <c r="ER32" s="85">
        <f>(SUM(EQ32:$EQ$53))*$EL$54/(SUM(EP32:$EP$53))</f>
        <v>4.2293251519575463</v>
      </c>
      <c r="ES32">
        <f>(EM35-EM32)/3</f>
        <v>0.16666666666666666</v>
      </c>
      <c r="ET32">
        <f>(EN35-EN32)/3</f>
        <v>6.6666666666666723E-3</v>
      </c>
    </row>
    <row r="33" spans="1:163">
      <c r="A33" s="162"/>
      <c r="B33">
        <v>31</v>
      </c>
      <c r="C33">
        <v>-12</v>
      </c>
      <c r="D33" s="84">
        <f>(C33*'Dane dla CO'!$AB$53+'Dane dla CO'!$AD$53)/(C33*'Dane dla CO'!$P$35+'Dane dla CO'!$Q$35)</f>
        <v>0.58013260173754</v>
      </c>
      <c r="E33" s="84">
        <f>C33*'Dane dla CO'!$N$96+'Dane dla CO'!$N$97</f>
        <v>201.60000000000002</v>
      </c>
      <c r="F33" s="84">
        <f>IF(C33&lt;'Dane dla CO'!$Z$67,0,IF(D33&gt;1,E33,D33*E33))</f>
        <v>0</v>
      </c>
      <c r="G33" s="84">
        <f t="shared" si="6"/>
        <v>201.60000000000002</v>
      </c>
      <c r="H33" s="84">
        <f>(C33*'Dane dla CWU'!$AB$53+'Dane dla CWU'!$AD$53)/(C33*'Dane dla CO'!$P$35+'Dane dla CO'!$Q$35)</f>
        <v>0.36941777168114609</v>
      </c>
      <c r="I33" s="84">
        <f t="shared" si="7"/>
        <v>10.319026666666666</v>
      </c>
      <c r="J33" s="84">
        <f>IF(C33&lt;'Dane dla CWU'!$Z$67,0,IF(H33&gt;1,I33,H33*I33))</f>
        <v>0</v>
      </c>
      <c r="K33" s="84">
        <f t="shared" si="8"/>
        <v>10.319026666666666</v>
      </c>
      <c r="X33">
        <v>31</v>
      </c>
      <c r="Y33">
        <v>6</v>
      </c>
      <c r="Z33">
        <f>(Y33*'Dane dla CO'!$AB$53+'Dane dla CO'!$AD$53)/(Y33*'Dane dla CO'!$P$35+'Dane dla CO'!$Q$35)</f>
        <v>1.9564471879286691</v>
      </c>
      <c r="AA33">
        <f>Y33*'Dane dla CO'!$N$96+'Dane dla CO'!$N$97</f>
        <v>72.000000000000014</v>
      </c>
      <c r="AB33">
        <f>IF(Y33&lt;'Dane dla CO'!$Z$67,0,IF(Z33&gt;1,AA33,Z33*AA33))</f>
        <v>72.000000000000014</v>
      </c>
      <c r="AC33">
        <f t="shared" si="12"/>
        <v>0</v>
      </c>
      <c r="AD33" s="84">
        <f>(Y33*'Dane dla CWU'!$AB$53+'Dane dla CWU'!$AD$53)/(Y33*'Dane dla CO'!$P$35+'Dane dla CO'!$Q$35)</f>
        <v>2.0444673068129853</v>
      </c>
      <c r="AE33" s="84">
        <f t="shared" si="13"/>
        <v>10.319026666666666</v>
      </c>
      <c r="AF33" s="84">
        <f>IF(Y33&lt;'Dane dla CWU'!$Z$67,0,IF(AD33&gt;1,AE33,AD33*AE33))</f>
        <v>0</v>
      </c>
      <c r="AG33" s="84">
        <f t="shared" si="14"/>
        <v>10.319026666666666</v>
      </c>
      <c r="AT33">
        <v>31</v>
      </c>
      <c r="AU33">
        <v>17</v>
      </c>
      <c r="BH33">
        <v>31</v>
      </c>
      <c r="BI33">
        <v>21</v>
      </c>
      <c r="BO33">
        <v>31</v>
      </c>
      <c r="BP33">
        <v>20</v>
      </c>
      <c r="CG33">
        <v>31</v>
      </c>
      <c r="CH33">
        <v>3</v>
      </c>
      <c r="CI33">
        <f>(CH33*'Dane dla CO'!$AB$53+'Dane dla CO'!$AD$53)/(CH33*'Dane dla CO'!$P$35+'Dane dla CO'!$Q$35)</f>
        <v>1.4403292181069955</v>
      </c>
      <c r="CJ33">
        <f>CH33*'Dane dla CO'!$N$96+'Dane dla CO'!$N$97</f>
        <v>93.600000000000023</v>
      </c>
      <c r="CK33">
        <f>IF(CH33&lt;'Dane dla CO'!$Z$67,0,IF(CI33&gt;1,CJ33,CI33*CJ33))</f>
        <v>93.600000000000023</v>
      </c>
      <c r="CL33">
        <f t="shared" si="21"/>
        <v>0</v>
      </c>
      <c r="CM33" s="84">
        <f>(CH33*'Dane dla CWU'!$AB$53+'Dane dla CWU'!$AD$53)/(CH33*'Dane dla CO'!$P$35+'Dane dla CO'!$Q$35)</f>
        <v>1.4163237311385457</v>
      </c>
      <c r="CN33" s="84">
        <f t="shared" si="0"/>
        <v>10.319026666666666</v>
      </c>
      <c r="CO33" s="84">
        <f>IF(CH33&lt;'Dane dla CWU'!$Z$67,0,IF(CM33&gt;1,CN33,CM33*CN33))</f>
        <v>0</v>
      </c>
      <c r="CP33" s="84">
        <f t="shared" si="1"/>
        <v>10.319026666666666</v>
      </c>
      <c r="DC33">
        <v>31</v>
      </c>
      <c r="DD33">
        <v>2</v>
      </c>
      <c r="DE33">
        <f>(DD33*'Dane dla CO'!$AB$53+'Dane dla CO'!$AD$53)/(DD33*'Dane dla CO'!$P$35+'Dane dla CO'!$Q$35)</f>
        <v>1.321225071225071</v>
      </c>
      <c r="DF33">
        <f>DD33*'Dane dla CO'!$N$96+'Dane dla CO'!$N$97</f>
        <v>100.80000000000001</v>
      </c>
      <c r="DG33">
        <f>IF(DD33&lt;'Dane dla CO'!$Z$67,0,IF(DE33&gt;1,DF33,DE33*DF33))</f>
        <v>100.80000000000001</v>
      </c>
      <c r="DH33">
        <f t="shared" si="23"/>
        <v>0</v>
      </c>
      <c r="DI33" s="84">
        <f>(DD33*'Dane dla CWU'!$AB$53+'Dane dla CWU'!$AD$53)/(DD33*'Dane dla CO'!$P$35+'Dane dla CO'!$Q$35)</f>
        <v>1.2713675213675213</v>
      </c>
      <c r="DJ33" s="84">
        <f t="shared" si="4"/>
        <v>10.319026666666666</v>
      </c>
      <c r="DK33" s="84">
        <f>IF(DD33&lt;'Dane dla CWU'!$Z$67,0,IF(DI33&gt;1,DJ33,DI33*DJ33))</f>
        <v>0</v>
      </c>
      <c r="DL33" s="84">
        <f t="shared" si="5"/>
        <v>10.319026666666666</v>
      </c>
      <c r="DM33" s="49">
        <v>-3</v>
      </c>
      <c r="DN33" s="94">
        <f>DO33*'Dane dla CO'!$N$80</f>
        <v>246.85714285714289</v>
      </c>
      <c r="DO33" s="94">
        <f>(15-DS33)/35*'Dane dla CO'!$N$75</f>
        <v>2.16</v>
      </c>
      <c r="DP33" s="94">
        <f t="shared" si="24"/>
        <v>14.521008403361346</v>
      </c>
      <c r="DQ33" s="51">
        <v>-3</v>
      </c>
      <c r="DR33" s="52">
        <v>17</v>
      </c>
      <c r="DS33" s="52">
        <v>8</v>
      </c>
      <c r="DT33" s="89">
        <f>Wykresy!Y31</f>
        <v>38.200000000000003</v>
      </c>
      <c r="DU33" s="90">
        <f>Wykresy!AE31</f>
        <v>24.733333333333334</v>
      </c>
      <c r="DV33" s="92">
        <f>(($DV$35-$DV$32)/3)*1+$DV$32</f>
        <v>7.8933333333333335</v>
      </c>
      <c r="DW33" s="92">
        <f>(($DW$35-$DW$32)/3)*1+$DW$32</f>
        <v>2.0599999999999996</v>
      </c>
      <c r="DX33" s="92">
        <f t="shared" si="29"/>
        <v>3.8317152103559877</v>
      </c>
      <c r="DY33" s="86">
        <f>(($DY$35-$DY$32)/3)*1+$DY$32</f>
        <v>9.6666666666666661</v>
      </c>
      <c r="DZ33" s="86">
        <f>(($DZ$35-$DZ$32)/3)*1+$DZ$32</f>
        <v>1.91</v>
      </c>
      <c r="EA33" s="96">
        <f t="shared" si="30"/>
        <v>5.0610820244328094</v>
      </c>
      <c r="EB33" s="85">
        <f t="shared" si="32"/>
        <v>17</v>
      </c>
      <c r="EC33" s="85">
        <f t="shared" si="26"/>
        <v>0.28950737144911903</v>
      </c>
      <c r="ED33" s="85">
        <f>(SUM(EC33:$EC$40))*$DT$42/(SUM(EB33:$EB$40))</f>
        <v>4.3693285585487507</v>
      </c>
      <c r="EE33" s="86">
        <f t="shared" si="33"/>
        <v>17</v>
      </c>
      <c r="EF33" s="86">
        <f t="shared" si="27"/>
        <v>0.38239286406825668</v>
      </c>
      <c r="EG33" s="86">
        <f>(SUM(EF33:$EF$40))*$DT$42/(SUM(EE33:$EE$40))</f>
        <v>5.26494264311156</v>
      </c>
      <c r="EI33" s="52">
        <v>17</v>
      </c>
      <c r="EJ33" s="52">
        <f t="shared" si="25"/>
        <v>170</v>
      </c>
      <c r="EK33" s="52">
        <v>8</v>
      </c>
      <c r="EL33" s="89">
        <v>55</v>
      </c>
      <c r="EM33" s="92">
        <f>EM32+$ES$32</f>
        <v>6.166666666666667</v>
      </c>
      <c r="EN33" s="92">
        <f>EN32+$ET$32</f>
        <v>2.7766666666666668</v>
      </c>
      <c r="EO33" s="92">
        <f t="shared" si="31"/>
        <v>2.220888355342137</v>
      </c>
      <c r="EP33" s="85">
        <f t="shared" si="36"/>
        <v>17</v>
      </c>
      <c r="EQ33" s="85">
        <f t="shared" si="28"/>
        <v>0.16780045351473927</v>
      </c>
      <c r="ER33" s="85">
        <f>(SUM(EQ33:$EQ$53))*$EL$54/(SUM(EP33:$EP$53))</f>
        <v>4.2724057755435716</v>
      </c>
    </row>
    <row r="34" spans="1:163">
      <c r="DM34" s="49">
        <v>-2</v>
      </c>
      <c r="DN34" s="94">
        <f>DO34*'Dane dla CO'!$N$80</f>
        <v>211.59183673469391</v>
      </c>
      <c r="DO34" s="94">
        <f>(15-DS34)/35*'Dane dla CO'!$N$75</f>
        <v>1.8514285714285716</v>
      </c>
      <c r="DP34" s="94">
        <f t="shared" si="24"/>
        <v>23.510204081632658</v>
      </c>
      <c r="DQ34" s="51">
        <v>-2</v>
      </c>
      <c r="DR34" s="52">
        <v>9</v>
      </c>
      <c r="DS34" s="52">
        <v>9</v>
      </c>
      <c r="DT34" s="89">
        <f>Wykresy!Y32</f>
        <v>37.6</v>
      </c>
      <c r="DU34" s="90">
        <f>Wykresy!AE32</f>
        <v>24.366666666666667</v>
      </c>
      <c r="DV34" s="92">
        <f>(($DV$35-$DV$32)/3)*2+$DV$32</f>
        <v>8.1966666666666672</v>
      </c>
      <c r="DW34" s="92">
        <f>(($DW$35-$DW$32)/3)*2+$DW$32</f>
        <v>1.9849999999999999</v>
      </c>
      <c r="DX34" s="92">
        <f t="shared" si="29"/>
        <v>4.1293031066330821</v>
      </c>
      <c r="DY34" s="86">
        <f>(($DY$35-$DY$32)/3)*2+$DY$32</f>
        <v>9.8333333333333339</v>
      </c>
      <c r="DZ34" s="86">
        <f>(($DZ$35-$DZ$32)/3)*2+$DZ$32</f>
        <v>1.91</v>
      </c>
      <c r="EA34" s="96">
        <f t="shared" si="30"/>
        <v>5.1483420593368239</v>
      </c>
      <c r="EB34" s="85">
        <f t="shared" si="32"/>
        <v>9</v>
      </c>
      <c r="EC34" s="85">
        <f t="shared" si="26"/>
        <v>0.16517212426532327</v>
      </c>
      <c r="ED34" s="85">
        <f>(SUM(EC34:$EC$40))*$DT$42/(SUM(EB34:$EB$40))</f>
        <v>4.5354999570810604</v>
      </c>
      <c r="EE34" s="86">
        <f t="shared" si="33"/>
        <v>9</v>
      </c>
      <c r="EF34" s="86">
        <f t="shared" si="27"/>
        <v>0.20593368237347295</v>
      </c>
      <c r="EG34" s="86">
        <f>(SUM(EF34:$EF$40))*$DT$42/(SUM(EE34:$EE$40))</f>
        <v>5.3279541070668097</v>
      </c>
      <c r="EI34" s="52">
        <v>9</v>
      </c>
      <c r="EJ34" s="52">
        <f t="shared" si="25"/>
        <v>179</v>
      </c>
      <c r="EK34" s="52">
        <v>9</v>
      </c>
      <c r="EL34" s="89">
        <v>55</v>
      </c>
      <c r="EM34" s="92">
        <f>EM33+$ES$32</f>
        <v>6.3333333333333339</v>
      </c>
      <c r="EN34" s="92">
        <f>EN33+$ET$32</f>
        <v>2.7833333333333337</v>
      </c>
      <c r="EO34" s="92">
        <f t="shared" si="31"/>
        <v>2.2754491017964069</v>
      </c>
      <c r="EP34" s="85">
        <f t="shared" si="36"/>
        <v>9</v>
      </c>
      <c r="EQ34" s="85">
        <f t="shared" si="28"/>
        <v>9.1017964071856278E-2</v>
      </c>
      <c r="ER34" s="85">
        <f>(SUM(EQ34:$EQ$53))*$EL$54/(SUM(EP34:$EP$53))</f>
        <v>4.3296299194101353</v>
      </c>
    </row>
    <row r="35" spans="1:163">
      <c r="DM35" s="49">
        <v>-2</v>
      </c>
      <c r="DN35" s="94">
        <f>DO35*'Dane dla CO'!$N$80</f>
        <v>176.32653061224491</v>
      </c>
      <c r="DO35" s="94">
        <f>(15-DS35)/35*'Dane dla CO'!$N$75</f>
        <v>1.5428571428571429</v>
      </c>
      <c r="DP35" s="94">
        <f t="shared" si="24"/>
        <v>16.029684601113175</v>
      </c>
      <c r="DQ35" s="51">
        <v>-2</v>
      </c>
      <c r="DR35" s="52">
        <v>11</v>
      </c>
      <c r="DS35" s="52">
        <v>10</v>
      </c>
      <c r="DT35" s="89">
        <f>Wykresy!Y33</f>
        <v>37</v>
      </c>
      <c r="DU35" s="90">
        <f>Wykresy!AE33</f>
        <v>24</v>
      </c>
      <c r="DV35" s="92">
        <v>8.5</v>
      </c>
      <c r="DW35" s="92">
        <v>1.91</v>
      </c>
      <c r="DX35" s="92">
        <f t="shared" si="29"/>
        <v>4.4502617801047126</v>
      </c>
      <c r="DY35" s="86">
        <v>10</v>
      </c>
      <c r="DZ35" s="86">
        <v>1.91</v>
      </c>
      <c r="EA35" s="96">
        <f t="shared" si="30"/>
        <v>5.2356020942408383</v>
      </c>
      <c r="EB35" s="85">
        <f t="shared" si="32"/>
        <v>11</v>
      </c>
      <c r="EC35" s="85">
        <f t="shared" si="26"/>
        <v>0.21756835369400818</v>
      </c>
      <c r="ED35" s="85">
        <f>(SUM(EC35:$EC$40))*$DT$42/(SUM(EB35:$EB$40))</f>
        <v>4.6149732539078396</v>
      </c>
      <c r="EE35" s="86">
        <f t="shared" si="33"/>
        <v>11</v>
      </c>
      <c r="EF35" s="86">
        <f t="shared" si="27"/>
        <v>0.25596276905177434</v>
      </c>
      <c r="EG35" s="86">
        <f>(SUM(EF35:$EF$40))*$DT$42/(SUM(EE35:$EE$40))</f>
        <v>5.3630955946661558</v>
      </c>
      <c r="EI35" s="52">
        <v>17</v>
      </c>
      <c r="EJ35" s="52">
        <f t="shared" si="25"/>
        <v>196</v>
      </c>
      <c r="EK35" s="52">
        <v>10</v>
      </c>
      <c r="EL35" s="89">
        <v>55</v>
      </c>
      <c r="EM35" s="92">
        <v>6.5</v>
      </c>
      <c r="EN35" s="92">
        <v>2.79</v>
      </c>
      <c r="EO35" s="92">
        <f t="shared" si="31"/>
        <v>2.3297491039426523</v>
      </c>
      <c r="EP35" s="85">
        <f t="shared" si="36"/>
        <v>17</v>
      </c>
      <c r="EQ35" s="85">
        <f t="shared" si="28"/>
        <v>0.17602548785344485</v>
      </c>
      <c r="ER35" s="85">
        <f>(SUM(EQ35:$EQ$53))*$EL$54/(SUM(EP35:$EP$53))</f>
        <v>4.3598657184710534</v>
      </c>
      <c r="ES35">
        <f>(EM45-EM35)/10</f>
        <v>0.12999999999999998</v>
      </c>
      <c r="ET35">
        <f>(EN45-EN35)/10</f>
        <v>-2.0000000000000018E-3</v>
      </c>
    </row>
    <row r="36" spans="1:163">
      <c r="DM36" s="49">
        <v>-2</v>
      </c>
      <c r="DN36" s="94">
        <f>DO36*'Dane dla CO'!$N$80</f>
        <v>141.06122448979593</v>
      </c>
      <c r="DO36" s="94">
        <f>(15-DS36)/35*'Dane dla CO'!$N$75</f>
        <v>1.2342857142857144</v>
      </c>
      <c r="DP36" s="94">
        <f t="shared" si="24"/>
        <v>15.673469387755103</v>
      </c>
      <c r="DQ36" s="51">
        <v>-2</v>
      </c>
      <c r="DR36" s="52">
        <v>9</v>
      </c>
      <c r="DS36" s="52">
        <v>11</v>
      </c>
      <c r="DT36" s="89">
        <f>Wykresy!Y34</f>
        <v>36.4</v>
      </c>
      <c r="DU36" s="90">
        <f>Wykresy!AE34</f>
        <v>23.633333333333333</v>
      </c>
      <c r="DV36" s="92">
        <f>(($DV$45-$DV$35)/10)*1+$DV$35</f>
        <v>8.64</v>
      </c>
      <c r="DW36" s="92">
        <f>(($DW$45-$DW$35)/10)*1+$DW$35</f>
        <v>1.9089999999999998</v>
      </c>
      <c r="DX36" s="92">
        <f t="shared" si="29"/>
        <v>4.5259298061812476</v>
      </c>
      <c r="DY36" s="86">
        <f>(($DY$45-$DY$35)/10)*1+$DY$35</f>
        <v>10.1</v>
      </c>
      <c r="DZ36" s="86">
        <v>1.91</v>
      </c>
      <c r="EA36" s="96">
        <f t="shared" si="30"/>
        <v>5.2879581151832458</v>
      </c>
      <c r="EB36" s="85">
        <f t="shared" si="32"/>
        <v>9</v>
      </c>
      <c r="EC36" s="85">
        <f t="shared" si="26"/>
        <v>0.1810371922472499</v>
      </c>
      <c r="ED36" s="85">
        <f>(SUM(EC36:$EC$40))*$DT$42/(SUM(EB36:$EB$40))</f>
        <v>4.6667397171031064</v>
      </c>
      <c r="EE36" s="86">
        <f t="shared" si="33"/>
        <v>9</v>
      </c>
      <c r="EF36" s="86">
        <f t="shared" si="27"/>
        <v>0.21151832460732983</v>
      </c>
      <c r="EG36" s="86">
        <f>(SUM(EF36:$EF$40))*$DT$42/(SUM(EE36:$EE$40))</f>
        <v>5.403164980514112</v>
      </c>
      <c r="EI36" s="52">
        <v>10</v>
      </c>
      <c r="EJ36" s="52">
        <f t="shared" si="25"/>
        <v>206</v>
      </c>
      <c r="EK36" s="52">
        <v>11</v>
      </c>
      <c r="EL36" s="89">
        <v>55</v>
      </c>
      <c r="EM36" s="92">
        <f>EM35+$ES$35</f>
        <v>6.63</v>
      </c>
      <c r="EN36" s="92">
        <f>EN35+$ET$35</f>
        <v>2.7880000000000003</v>
      </c>
      <c r="EO36" s="92">
        <f t="shared" si="31"/>
        <v>2.3780487804878048</v>
      </c>
      <c r="EP36" s="85">
        <f t="shared" si="36"/>
        <v>10</v>
      </c>
      <c r="EQ36" s="85">
        <f t="shared" si="28"/>
        <v>0.10569105691056911</v>
      </c>
      <c r="ER36" s="85">
        <f>(SUM(EQ36:$EQ$53))*$EL$54/(SUM(EP36:$EP$53))</f>
        <v>4.4168797694101523</v>
      </c>
    </row>
    <row r="37" spans="1:163">
      <c r="E37">
        <f>G37+F37</f>
        <v>3506.4000000000005</v>
      </c>
      <c r="F37">
        <f>SUM(F3:F36)</f>
        <v>2404.8000000000002</v>
      </c>
      <c r="G37">
        <f>SUM(G3:G36)</f>
        <v>1101.6000000000001</v>
      </c>
      <c r="I37">
        <f>K37+J37</f>
        <v>319.88982666666681</v>
      </c>
      <c r="J37">
        <f>SUM(J3:J36)</f>
        <v>0</v>
      </c>
      <c r="K37">
        <f>SUM(K3:K36)</f>
        <v>319.88982666666681</v>
      </c>
      <c r="P37">
        <f>R37+Q37</f>
        <v>4183.2000000000007</v>
      </c>
      <c r="Q37">
        <f>SUM(Q3:Q36)</f>
        <v>1396.8000000000002</v>
      </c>
      <c r="R37">
        <f>SUM(R3:R36)</f>
        <v>2786.4000000000005</v>
      </c>
      <c r="T37">
        <f>V37+U37</f>
        <v>299.25177333333346</v>
      </c>
      <c r="U37">
        <f>SUM(U3:U36)</f>
        <v>10.319026666666666</v>
      </c>
      <c r="V37">
        <f>SUM(V3:V36)</f>
        <v>288.93274666666679</v>
      </c>
      <c r="AA37">
        <f>AC37+AB37</f>
        <v>2268</v>
      </c>
      <c r="AB37">
        <f>SUM(AB3:AB36)</f>
        <v>2264.0941176470587</v>
      </c>
      <c r="AC37">
        <f>SUM(AC3:AC36)</f>
        <v>3.9058823529412052</v>
      </c>
      <c r="AE37">
        <f>AG37+AF37</f>
        <v>319.88982666666675</v>
      </c>
      <c r="AF37">
        <f>SUM(AF3:AF36)</f>
        <v>103.19026666666667</v>
      </c>
      <c r="AG37">
        <f>SUM(AG3:AG36)</f>
        <v>216.69956000000008</v>
      </c>
      <c r="AL37">
        <f>AN37+AM37</f>
        <v>1252.8000000000002</v>
      </c>
      <c r="AM37">
        <f>SUM(AM3:AM36)</f>
        <v>1252.8000000000002</v>
      </c>
      <c r="AN37">
        <f>SUM(AN3:AN36)</f>
        <v>0</v>
      </c>
      <c r="AP37">
        <f>AR37+AQ37</f>
        <v>309.57080000000008</v>
      </c>
      <c r="AQ37">
        <f>SUM(AQ3:AQ36)</f>
        <v>227.01858666666675</v>
      </c>
      <c r="AR37">
        <f>SUM(AR3:AR36)</f>
        <v>82.552213333333327</v>
      </c>
      <c r="BY37">
        <f>CA37+BZ37</f>
        <v>367.20000000000016</v>
      </c>
      <c r="BZ37">
        <f>SUM(BZ3:BZ36)</f>
        <v>367.20000000000016</v>
      </c>
      <c r="CA37">
        <f>SUM(CA3:CA36)</f>
        <v>0</v>
      </c>
      <c r="CC37">
        <f>CE37+CD37</f>
        <v>309.57080000000008</v>
      </c>
      <c r="CD37">
        <f>SUM(CD3:CD36)</f>
        <v>257.97566666666677</v>
      </c>
      <c r="CE37">
        <f>SUM(CE3:CE36)</f>
        <v>51.59513333333333</v>
      </c>
      <c r="CJ37">
        <f>CL37+CK37</f>
        <v>1728</v>
      </c>
      <c r="CK37">
        <f>SUM(CK3:CK36)</f>
        <v>1728</v>
      </c>
      <c r="CL37">
        <f>SUM(CL3:CL36)</f>
        <v>0</v>
      </c>
      <c r="CN37">
        <f>CP37+CO37</f>
        <v>319.88982666666675</v>
      </c>
      <c r="CO37">
        <f>SUM(CO3:CO36)</f>
        <v>227.01858666666675</v>
      </c>
      <c r="CP37">
        <f>SUM(CP3:CP36)</f>
        <v>92.87124</v>
      </c>
      <c r="CU37">
        <f>CW37+CV37</f>
        <v>2397.6000000000013</v>
      </c>
      <c r="CV37">
        <f>SUM(CV3:CV36)</f>
        <v>2397.6000000000013</v>
      </c>
      <c r="CW37">
        <f>SUM(CW3:CW36)</f>
        <v>0</v>
      </c>
      <c r="CY37">
        <f>DA37+CZ37</f>
        <v>309.57080000000008</v>
      </c>
      <c r="CZ37">
        <f>SUM(CZ3:CZ36)</f>
        <v>41.276106666666664</v>
      </c>
      <c r="DA37">
        <f>SUM(DA3:DA36)</f>
        <v>268.29469333333344</v>
      </c>
      <c r="DF37">
        <f>DH37+DG37</f>
        <v>3931.2000000000012</v>
      </c>
      <c r="DG37">
        <f>SUM(DG3:DG36)</f>
        <v>2069.6941176470596</v>
      </c>
      <c r="DH37">
        <f>SUM(DH3:DH36)</f>
        <v>1861.5058823529416</v>
      </c>
      <c r="DJ37">
        <f>DL37+DK37</f>
        <v>319.88982666666681</v>
      </c>
      <c r="DK37">
        <f>SUM(DK3:DK36)</f>
        <v>0</v>
      </c>
      <c r="DL37">
        <f>SUM(DL3:DL36)</f>
        <v>319.88982666666681</v>
      </c>
      <c r="DM37" s="49">
        <v>-2</v>
      </c>
      <c r="DN37" s="94">
        <f>DO37*'Dane dla CO'!$N$80</f>
        <v>105.79591836734696</v>
      </c>
      <c r="DO37" s="94">
        <f>(15-DS37)/35*'Dane dla CO'!$N$75</f>
        <v>0.92571428571428582</v>
      </c>
      <c r="DP37" s="94">
        <f t="shared" si="24"/>
        <v>26.448979591836739</v>
      </c>
      <c r="DQ37" s="51">
        <v>-2</v>
      </c>
      <c r="DR37" s="52">
        <v>4</v>
      </c>
      <c r="DS37" s="52">
        <v>12</v>
      </c>
      <c r="DT37" s="89">
        <f>Wykresy!Y35</f>
        <v>35.799999999999997</v>
      </c>
      <c r="DU37" s="90">
        <f>Wykresy!AE35</f>
        <v>23.266666666666669</v>
      </c>
      <c r="DV37" s="92">
        <f>(($DV$45-$DV$35)/10)*2+$DV$35</f>
        <v>8.7799999999999994</v>
      </c>
      <c r="DW37" s="92">
        <f>(($DW$45-$DW$35)/10)*2+$DW$35</f>
        <v>1.9079999999999999</v>
      </c>
      <c r="DX37" s="92">
        <f t="shared" si="29"/>
        <v>4.6016771488469601</v>
      </c>
      <c r="DY37" s="86">
        <f>(($DY$45-$DY$35)/10)*2+$DY$35</f>
        <v>10.199999999999999</v>
      </c>
      <c r="DZ37" s="86">
        <v>1.91</v>
      </c>
      <c r="EA37" s="96">
        <f t="shared" si="30"/>
        <v>5.3403141361256541</v>
      </c>
      <c r="EB37" s="85">
        <f t="shared" si="32"/>
        <v>4</v>
      </c>
      <c r="EC37" s="85">
        <f t="shared" si="26"/>
        <v>8.1807593757279293E-2</v>
      </c>
      <c r="ED37" s="85">
        <f>(SUM(EC37:$EC$40))*$DT$42/(SUM(EB37:$EB$40))</f>
        <v>4.7154816093452885</v>
      </c>
      <c r="EE37" s="86">
        <f t="shared" si="33"/>
        <v>4</v>
      </c>
      <c r="EF37" s="86">
        <f t="shared" si="27"/>
        <v>9.493891797556718E-2</v>
      </c>
      <c r="EG37" s="86">
        <f>(SUM(EF37:$EF$40))*$DT$42/(SUM(EE37:$EE$40))</f>
        <v>5.4430442800517191</v>
      </c>
      <c r="EI37" s="52">
        <v>7</v>
      </c>
      <c r="EJ37" s="52">
        <f t="shared" si="25"/>
        <v>213</v>
      </c>
      <c r="EK37" s="52">
        <v>12</v>
      </c>
      <c r="EL37" s="89">
        <v>55</v>
      </c>
      <c r="EM37" s="92">
        <f t="shared" ref="EM37:EM44" si="41">EM36+$ES$35</f>
        <v>6.76</v>
      </c>
      <c r="EN37" s="92">
        <f t="shared" ref="EN37:EN44" si="42">EN36+$ET$35</f>
        <v>2.7860000000000005</v>
      </c>
      <c r="EO37" s="92">
        <f t="shared" si="31"/>
        <v>2.426417803302225</v>
      </c>
      <c r="EP37" s="85">
        <f t="shared" si="36"/>
        <v>7</v>
      </c>
      <c r="EQ37" s="85">
        <f t="shared" si="28"/>
        <v>7.5488553880513662E-2</v>
      </c>
      <c r="ER37" s="85">
        <f>(SUM(EQ37:$EQ$53))*$EL$54/(SUM(EP37:$EP$53))</f>
        <v>4.4511664623153608</v>
      </c>
    </row>
    <row r="38" spans="1:163">
      <c r="DM38" s="49">
        <v>-1</v>
      </c>
      <c r="DN38" s="94">
        <f>DO38*'Dane dla CO'!$N$80</f>
        <v>70.530612244897966</v>
      </c>
      <c r="DO38" s="94">
        <f>(15-DS38)/35*'Dane dla CO'!$N$75</f>
        <v>0.61714285714285722</v>
      </c>
      <c r="DP38" s="94">
        <f t="shared" si="24"/>
        <v>7.8367346938775517</v>
      </c>
      <c r="DQ38" s="51">
        <v>-1</v>
      </c>
      <c r="DR38" s="52">
        <v>9</v>
      </c>
      <c r="DS38" s="52">
        <v>13</v>
      </c>
      <c r="DT38" s="89">
        <f>Wykresy!Y36</f>
        <v>35.200000000000003</v>
      </c>
      <c r="DU38" s="90">
        <f>Wykresy!AE36</f>
        <v>22.900000000000002</v>
      </c>
      <c r="DV38" s="92">
        <f>(($DV$45-$DV$35)/10)*3+$DV$35</f>
        <v>8.92</v>
      </c>
      <c r="DW38" s="92">
        <f>(($DW$45-$DW$35)/10)*3+$DW$35</f>
        <v>1.907</v>
      </c>
      <c r="DX38" s="92">
        <f t="shared" si="29"/>
        <v>4.6775039328788672</v>
      </c>
      <c r="DY38" s="86">
        <f>(($DY$45-$DY$35)/10)*3+$DY$35</f>
        <v>10.3</v>
      </c>
      <c r="DZ38" s="86">
        <v>1.9</v>
      </c>
      <c r="EA38" s="96">
        <f t="shared" si="30"/>
        <v>5.4210526315789478</v>
      </c>
      <c r="EB38" s="85">
        <f t="shared" si="32"/>
        <v>9</v>
      </c>
      <c r="EC38" s="85">
        <f t="shared" si="26"/>
        <v>0.18710015731515467</v>
      </c>
      <c r="ED38" s="85">
        <f>(SUM(EC38:EC40))*$DT$42/(SUM(EB38:EB40))</f>
        <v>4.7361733294358945</v>
      </c>
      <c r="EE38" s="86">
        <f t="shared" si="33"/>
        <v>9</v>
      </c>
      <c r="EF38" s="86">
        <f t="shared" si="27"/>
        <v>0.21684210526315789</v>
      </c>
      <c r="EG38" s="86">
        <f>(SUM(EF38:EF40))*$DT$42/(SUM(EE38:EE40))</f>
        <v>5.4617224880382773</v>
      </c>
      <c r="EI38" s="52">
        <v>12</v>
      </c>
      <c r="EJ38" s="52">
        <f t="shared" si="25"/>
        <v>225</v>
      </c>
      <c r="EK38" s="52">
        <v>13</v>
      </c>
      <c r="EL38" s="89">
        <v>55</v>
      </c>
      <c r="EM38" s="92">
        <f t="shared" si="41"/>
        <v>6.89</v>
      </c>
      <c r="EN38" s="92">
        <f t="shared" si="42"/>
        <v>2.7840000000000007</v>
      </c>
      <c r="EO38" s="92">
        <f t="shared" si="31"/>
        <v>2.4748563218390798</v>
      </c>
      <c r="EP38" s="85">
        <f t="shared" si="36"/>
        <v>12</v>
      </c>
      <c r="EQ38" s="85">
        <f t="shared" si="28"/>
        <v>0.13199233716475092</v>
      </c>
      <c r="ER38" s="85">
        <f>(SUM(EQ38:$EQ$53))*$EL$54/(SUM(EP38:$EP$53))</f>
        <v>4.4742341388901288</v>
      </c>
    </row>
    <row r="39" spans="1:163">
      <c r="DM39" s="49">
        <v>-1</v>
      </c>
      <c r="DN39" s="94">
        <f>DO39*'Dane dla CO'!$N$80</f>
        <v>35.265306122448983</v>
      </c>
      <c r="DO39" s="94">
        <f>(15-DS39)/35*'Dane dla CO'!$N$75</f>
        <v>0.30857142857142861</v>
      </c>
      <c r="DP39" s="94">
        <f t="shared" si="24"/>
        <v>3.9183673469387759</v>
      </c>
      <c r="DQ39" s="51">
        <v>-1</v>
      </c>
      <c r="DR39" s="52">
        <v>9</v>
      </c>
      <c r="DS39" s="52">
        <v>14</v>
      </c>
      <c r="DT39" s="89">
        <f>Wykresy!Y37</f>
        <v>34.6</v>
      </c>
      <c r="DU39" s="90">
        <f>Wykresy!AE37</f>
        <v>22.533333333333335</v>
      </c>
      <c r="DV39" s="92">
        <f>(($DV$45-$DV$35)/10)*4+$DV$35</f>
        <v>9.06</v>
      </c>
      <c r="DW39" s="92">
        <f>(($DW$45-$DW$35)/10)*4+$DW$35</f>
        <v>1.9059999999999999</v>
      </c>
      <c r="DX39" s="92">
        <f t="shared" si="29"/>
        <v>4.7534102833158451</v>
      </c>
      <c r="DY39" s="86">
        <f>(($DY$45-$DY$35)/10)*4+$DY$35</f>
        <v>10.4</v>
      </c>
      <c r="DZ39" s="86">
        <v>1.9</v>
      </c>
      <c r="EA39" s="96">
        <f t="shared" si="30"/>
        <v>5.4736842105263159</v>
      </c>
      <c r="EB39" s="85">
        <f t="shared" si="32"/>
        <v>9</v>
      </c>
      <c r="EC39" s="85">
        <f t="shared" si="26"/>
        <v>0.19013641133263381</v>
      </c>
      <c r="ED39" s="85">
        <f>(SUM(EC39:EC40))*$DT$42/(SUM(EB39:EB40))</f>
        <v>4.7767906039753756</v>
      </c>
      <c r="EE39" s="86">
        <f t="shared" si="33"/>
        <v>9</v>
      </c>
      <c r="EF39" s="86">
        <f t="shared" si="27"/>
        <v>0.21894736842105264</v>
      </c>
      <c r="EG39" s="86">
        <f>(SUM(EF39:EF40))*$DT$42/(SUM(EE39:EE40))</f>
        <v>5.4898785425101213</v>
      </c>
      <c r="EI39" s="52">
        <v>17</v>
      </c>
      <c r="EJ39" s="52">
        <f t="shared" si="25"/>
        <v>242</v>
      </c>
      <c r="EK39" s="52">
        <v>14</v>
      </c>
      <c r="EL39" s="89">
        <v>55</v>
      </c>
      <c r="EM39" s="92">
        <f t="shared" si="41"/>
        <v>7.02</v>
      </c>
      <c r="EN39" s="92">
        <f t="shared" si="42"/>
        <v>2.7820000000000009</v>
      </c>
      <c r="EO39" s="92">
        <f t="shared" si="31"/>
        <v>2.5233644859813076</v>
      </c>
      <c r="EP39" s="85">
        <f t="shared" si="36"/>
        <v>17</v>
      </c>
      <c r="EQ39" s="85">
        <f t="shared" si="28"/>
        <v>0.19065420560747656</v>
      </c>
      <c r="ER39" s="85">
        <f>(SUM(EQ39:$EQ$53))*$EL$54/(SUM(EP39:$EP$53))</f>
        <v>4.5124016159424887</v>
      </c>
    </row>
    <row r="40" spans="1:163">
      <c r="E40" t="s">
        <v>223</v>
      </c>
      <c r="DM40" s="49">
        <v>-1</v>
      </c>
      <c r="DN40" s="94">
        <f>DO40*'Dane dla CO'!$N$80</f>
        <v>0</v>
      </c>
      <c r="DO40" s="94">
        <f>(15-DS40)/35*'Dane dla CO'!$N$75</f>
        <v>0</v>
      </c>
      <c r="DP40" s="94">
        <f t="shared" si="24"/>
        <v>0</v>
      </c>
      <c r="DQ40" s="51">
        <v>-1</v>
      </c>
      <c r="DR40" s="52">
        <v>4</v>
      </c>
      <c r="DS40" s="52">
        <v>15</v>
      </c>
      <c r="DT40" s="89">
        <f>Wykresy!Y38</f>
        <v>34</v>
      </c>
      <c r="DU40" s="90">
        <f>Wykresy!AE38</f>
        <v>22.166666666666668</v>
      </c>
      <c r="DV40" s="92">
        <f>(($DV$45-$DV$35)/10)*5+$DV$35</f>
        <v>9.1999999999999993</v>
      </c>
      <c r="DW40" s="92">
        <f>(($DW$45-$DW$35)/10)*5+$DW$35</f>
        <v>1.9049999999999998</v>
      </c>
      <c r="DX40" s="92">
        <f t="shared" si="29"/>
        <v>4.8293963254593173</v>
      </c>
      <c r="DY40" s="86">
        <f>(($DY$45-$DY$35)/10)*5+$DY$35</f>
        <v>10.5</v>
      </c>
      <c r="DZ40" s="86">
        <v>1.9</v>
      </c>
      <c r="EA40" s="96">
        <f t="shared" si="30"/>
        <v>5.5263157894736841</v>
      </c>
      <c r="EB40" s="85">
        <f t="shared" si="32"/>
        <v>4</v>
      </c>
      <c r="EC40" s="85">
        <f t="shared" si="26"/>
        <v>8.585593467483231E-2</v>
      </c>
      <c r="ED40" s="85">
        <f>EC40*$DT$42/EB40</f>
        <v>4.8293963254593173</v>
      </c>
      <c r="EE40" s="86">
        <f t="shared" si="33"/>
        <v>4</v>
      </c>
      <c r="EF40" s="86">
        <f t="shared" si="27"/>
        <v>9.8245614035087719E-2</v>
      </c>
      <c r="EG40" s="86">
        <f>EF40*$DT$42/EE40</f>
        <v>5.5263157894736841</v>
      </c>
      <c r="EI40" s="52">
        <v>8</v>
      </c>
      <c r="EJ40" s="52">
        <f t="shared" si="25"/>
        <v>250</v>
      </c>
      <c r="EK40" s="52">
        <v>15</v>
      </c>
      <c r="EL40" s="89">
        <v>55</v>
      </c>
      <c r="EM40" s="92">
        <f t="shared" si="41"/>
        <v>7.1499999999999995</v>
      </c>
      <c r="EN40" s="92">
        <f t="shared" si="42"/>
        <v>2.7800000000000011</v>
      </c>
      <c r="EO40" s="92">
        <f t="shared" si="31"/>
        <v>2.5719424460431641</v>
      </c>
      <c r="EP40" s="85">
        <f t="shared" si="36"/>
        <v>8</v>
      </c>
      <c r="EQ40" s="85">
        <f t="shared" si="28"/>
        <v>9.1446842525979163E-2</v>
      </c>
      <c r="ER40" s="85">
        <f>(SUM(EQ40:$EQ$53))*$EL$54/(SUM(EP40:$EP$53))</f>
        <v>4.5682999080286653</v>
      </c>
    </row>
    <row r="41" spans="1:163">
      <c r="D41" t="s">
        <v>238</v>
      </c>
      <c r="E41">
        <f>(E37+P37+AA37+AL37+BY37+CJ37+CU37+DF37)*'Dane dla CO'!H42</f>
        <v>17474.616000000005</v>
      </c>
      <c r="F41" t="s">
        <v>61</v>
      </c>
      <c r="DM41" s="49">
        <v>-1</v>
      </c>
      <c r="DQ41" s="51">
        <v>-1</v>
      </c>
      <c r="DR41" s="52"/>
      <c r="DS41" s="52"/>
      <c r="EI41" s="52">
        <v>15</v>
      </c>
      <c r="EJ41" s="52">
        <f t="shared" si="25"/>
        <v>265</v>
      </c>
      <c r="EK41" s="52">
        <v>16</v>
      </c>
      <c r="EL41" s="89">
        <v>55</v>
      </c>
      <c r="EM41" s="92">
        <f t="shared" si="41"/>
        <v>7.2799999999999994</v>
      </c>
      <c r="EN41" s="92">
        <f t="shared" si="42"/>
        <v>2.7780000000000014</v>
      </c>
      <c r="EO41" s="92">
        <f t="shared" ref="EO41:EO53" si="43">EM41/EN41</f>
        <v>2.6205903527717767</v>
      </c>
      <c r="EP41" s="85">
        <f t="shared" ref="EP41:EP53" si="44">EI41</f>
        <v>15</v>
      </c>
      <c r="EQ41" s="85">
        <f t="shared" ref="EQ41:EQ53" si="45">EP41*EO41/$DT$42</f>
        <v>0.17470602351811843</v>
      </c>
      <c r="ER41" s="85">
        <f>(SUM(EQ41:$EQ$53))*$EL$54/(SUM(EP41:$EP$53))</f>
        <v>4.594824519233156</v>
      </c>
    </row>
    <row r="42" spans="1:163">
      <c r="D42" t="s">
        <v>239</v>
      </c>
      <c r="E42">
        <f>'Dane dla CWU'!H43</f>
        <v>3766.4447333333333</v>
      </c>
      <c r="DM42" s="49">
        <v>-1</v>
      </c>
      <c r="DQ42" s="51">
        <v>-1</v>
      </c>
      <c r="DR42" s="52"/>
      <c r="DS42" s="52"/>
      <c r="DT42" s="95">
        <f>SUM(DR5:DR40)</f>
        <v>225</v>
      </c>
      <c r="EI42" s="52">
        <v>19</v>
      </c>
      <c r="EJ42" s="52">
        <f t="shared" si="25"/>
        <v>284</v>
      </c>
      <c r="EK42" s="52">
        <v>17</v>
      </c>
      <c r="EL42" s="89">
        <v>55</v>
      </c>
      <c r="EM42" s="92">
        <f t="shared" si="41"/>
        <v>7.4099999999999993</v>
      </c>
      <c r="EN42" s="92">
        <f t="shared" si="42"/>
        <v>2.7760000000000016</v>
      </c>
      <c r="EO42" s="92">
        <f t="shared" si="43"/>
        <v>2.6693083573487013</v>
      </c>
      <c r="EP42" s="85">
        <f t="shared" si="44"/>
        <v>19</v>
      </c>
      <c r="EQ42" s="85">
        <f t="shared" si="45"/>
        <v>0.22540826128722369</v>
      </c>
      <c r="ER42" s="85">
        <f>(SUM(EQ42:$EQ$53))*$EL$54/(SUM(EP42:$EP$53))</f>
        <v>4.6441310853803452</v>
      </c>
    </row>
    <row r="43" spans="1:163">
      <c r="D43" t="s">
        <v>232</v>
      </c>
      <c r="E43" t="s">
        <v>233</v>
      </c>
      <c r="F43" t="s">
        <v>234</v>
      </c>
      <c r="G43" t="s">
        <v>235</v>
      </c>
      <c r="I43" t="s">
        <v>253</v>
      </c>
      <c r="J43" t="s">
        <v>254</v>
      </c>
      <c r="DM43" s="49">
        <v>-1</v>
      </c>
      <c r="DQ43" s="51">
        <v>-1</v>
      </c>
      <c r="DR43" s="52">
        <v>13</v>
      </c>
      <c r="DS43" s="52">
        <v>16</v>
      </c>
      <c r="EI43" s="52">
        <v>12</v>
      </c>
      <c r="EJ43" s="52">
        <f t="shared" si="25"/>
        <v>296</v>
      </c>
      <c r="EK43" s="52">
        <v>18</v>
      </c>
      <c r="EL43" s="89">
        <v>55</v>
      </c>
      <c r="EM43" s="92">
        <f t="shared" si="41"/>
        <v>7.5399999999999991</v>
      </c>
      <c r="EN43" s="92">
        <f t="shared" si="42"/>
        <v>2.7740000000000018</v>
      </c>
      <c r="EO43" s="92">
        <f t="shared" si="43"/>
        <v>2.7180966113914904</v>
      </c>
      <c r="EP43" s="85">
        <f t="shared" si="44"/>
        <v>12</v>
      </c>
      <c r="EQ43" s="85">
        <f t="shared" si="45"/>
        <v>0.14496515260754614</v>
      </c>
      <c r="ER43" s="85">
        <f>(SUM(EQ43:$EQ$53))*$EL$54/(SUM(EP43:$EP$53))</f>
        <v>4.7141197072230598</v>
      </c>
      <c r="EY43" t="s">
        <v>202</v>
      </c>
      <c r="FD43" t="s">
        <v>204</v>
      </c>
    </row>
    <row r="44" spans="1:163">
      <c r="B44" t="s">
        <v>241</v>
      </c>
      <c r="D44">
        <f>F37</f>
        <v>2404.8000000000002</v>
      </c>
      <c r="E44">
        <f>G37</f>
        <v>1101.6000000000001</v>
      </c>
      <c r="F44">
        <f>J37</f>
        <v>0</v>
      </c>
      <c r="G44">
        <f>K37</f>
        <v>319.88982666666681</v>
      </c>
      <c r="I44" s="84">
        <f>D44+E44</f>
        <v>3506.4000000000005</v>
      </c>
      <c r="J44" s="84">
        <f>F44+G44</f>
        <v>319.88982666666681</v>
      </c>
      <c r="DM44" s="49">
        <v>-1</v>
      </c>
      <c r="DQ44" s="51">
        <v>-1</v>
      </c>
      <c r="DR44" s="52">
        <v>10</v>
      </c>
      <c r="DS44" s="52">
        <v>17</v>
      </c>
      <c r="EI44" s="52">
        <v>13</v>
      </c>
      <c r="EJ44" s="52">
        <f t="shared" si="25"/>
        <v>309</v>
      </c>
      <c r="EK44" s="52">
        <v>19</v>
      </c>
      <c r="EL44" s="89">
        <v>55</v>
      </c>
      <c r="EM44" s="92">
        <f t="shared" si="41"/>
        <v>7.669999999999999</v>
      </c>
      <c r="EN44" s="92">
        <f t="shared" si="42"/>
        <v>2.772000000000002</v>
      </c>
      <c r="EO44" s="92">
        <f t="shared" si="43"/>
        <v>2.7669552669552644</v>
      </c>
      <c r="EP44" s="85">
        <f t="shared" si="44"/>
        <v>13</v>
      </c>
      <c r="EQ44" s="85">
        <f t="shared" si="45"/>
        <v>0.15986852653519307</v>
      </c>
      <c r="ER44" s="85">
        <f>(SUM(EQ44:$EQ$53))*$EL$54/(SUM(EP44:$EP$53))</f>
        <v>4.7642938591132715</v>
      </c>
      <c r="EY44" t="s">
        <v>197</v>
      </c>
      <c r="EZ44">
        <f>(2*'Dane dla CO'!H35)/(30*Dobór!$P$27)</f>
        <v>147.82743662551439</v>
      </c>
      <c r="FD44" t="s">
        <v>197</v>
      </c>
      <c r="FE44">
        <f>'Dane dla CWU'!H43/30</f>
        <v>125.54815777777777</v>
      </c>
    </row>
    <row r="45" spans="1:163">
      <c r="B45" t="s">
        <v>242</v>
      </c>
      <c r="D45">
        <f>Q37</f>
        <v>1396.8000000000002</v>
      </c>
      <c r="E45">
        <f>R37</f>
        <v>2786.4000000000005</v>
      </c>
      <c r="F45">
        <f>U37</f>
        <v>10.319026666666666</v>
      </c>
      <c r="G45">
        <f>V37</f>
        <v>288.93274666666679</v>
      </c>
      <c r="I45" s="84">
        <f t="shared" ref="I45:I55" si="46">D45+E45</f>
        <v>4183.2000000000007</v>
      </c>
      <c r="J45" s="84">
        <f t="shared" ref="J45:J55" si="47">F45+G45</f>
        <v>299.25177333333346</v>
      </c>
      <c r="DM45" s="49">
        <v>-1</v>
      </c>
      <c r="DQ45" s="51">
        <v>-1</v>
      </c>
      <c r="DR45" s="52">
        <v>12</v>
      </c>
      <c r="DS45" s="52">
        <v>18</v>
      </c>
      <c r="DT45" s="95"/>
      <c r="DU45" s="95"/>
      <c r="DV45" s="95">
        <v>9.9</v>
      </c>
      <c r="DW45" s="95">
        <v>1.9</v>
      </c>
      <c r="DX45" s="95"/>
      <c r="DY45" s="95">
        <v>11</v>
      </c>
      <c r="DZ45" s="95">
        <v>1.9</v>
      </c>
      <c r="EI45" s="52">
        <v>10</v>
      </c>
      <c r="EJ45" s="52">
        <f t="shared" si="25"/>
        <v>319</v>
      </c>
      <c r="EK45" s="52">
        <v>20</v>
      </c>
      <c r="EL45" s="89">
        <v>55</v>
      </c>
      <c r="EM45" s="92">
        <v>7.8</v>
      </c>
      <c r="EN45" s="92">
        <v>2.77</v>
      </c>
      <c r="EO45" s="92">
        <f t="shared" si="43"/>
        <v>2.8158844765342961</v>
      </c>
      <c r="EP45" s="85">
        <f t="shared" si="44"/>
        <v>10</v>
      </c>
      <c r="EQ45" s="85">
        <f t="shared" si="45"/>
        <v>0.12515042117930206</v>
      </c>
      <c r="ER45" s="85">
        <f>(SUM(EQ45:$EQ$53))*$EL$54/(SUM(EP45:$EP$53))</f>
        <v>4.8243629723868127</v>
      </c>
      <c r="ES45">
        <f>(EM53-EM45)/8</f>
        <v>0.21250000000000002</v>
      </c>
      <c r="ET45">
        <f>(EN53-EN45)/8</f>
        <v>1.1249999999999982E-2</v>
      </c>
    </row>
    <row r="46" spans="1:163">
      <c r="B46" t="s">
        <v>243</v>
      </c>
      <c r="D46">
        <f>AB37</f>
        <v>2264.0941176470587</v>
      </c>
      <c r="E46">
        <f>AC37</f>
        <v>3.9058823529412052</v>
      </c>
      <c r="F46">
        <f>AF37</f>
        <v>103.19026666666667</v>
      </c>
      <c r="G46">
        <f>AG37</f>
        <v>216.69956000000008</v>
      </c>
      <c r="I46" s="84">
        <f t="shared" si="46"/>
        <v>2268</v>
      </c>
      <c r="J46" s="84">
        <f t="shared" si="47"/>
        <v>319.88982666666675</v>
      </c>
      <c r="DM46" s="49">
        <v>0</v>
      </c>
      <c r="DQ46" s="51">
        <v>0</v>
      </c>
      <c r="DR46" s="52">
        <v>9</v>
      </c>
      <c r="DS46" s="52">
        <v>19</v>
      </c>
      <c r="EI46" s="52">
        <v>15</v>
      </c>
      <c r="EJ46" s="52">
        <f t="shared" si="25"/>
        <v>334</v>
      </c>
      <c r="EK46" s="52">
        <v>21</v>
      </c>
      <c r="EL46" s="89">
        <v>55</v>
      </c>
      <c r="EM46" s="92">
        <f>EM45+$ES$45</f>
        <v>8.0124999999999993</v>
      </c>
      <c r="EN46" s="92">
        <f>EN45+$ET$45</f>
        <v>2.78125</v>
      </c>
      <c r="EO46" s="92">
        <f t="shared" si="43"/>
        <v>2.880898876404494</v>
      </c>
      <c r="EP46" s="85">
        <f t="shared" si="44"/>
        <v>15</v>
      </c>
      <c r="EQ46" s="85">
        <f t="shared" si="45"/>
        <v>0.19205992509363293</v>
      </c>
      <c r="ER46" s="85">
        <f>(SUM(EQ46:$EQ$53))*$EL$54/(SUM(EP46:$EP$53))</f>
        <v>4.8762475590302925</v>
      </c>
      <c r="EY46" t="s">
        <v>203</v>
      </c>
      <c r="FD46" t="s">
        <v>205</v>
      </c>
    </row>
    <row r="47" spans="1:163">
      <c r="B47" t="s">
        <v>244</v>
      </c>
      <c r="D47">
        <f>AL37</f>
        <v>1252.8000000000002</v>
      </c>
      <c r="E47">
        <f>AN37</f>
        <v>0</v>
      </c>
      <c r="F47">
        <f>AQ37</f>
        <v>227.01858666666675</v>
      </c>
      <c r="G47">
        <f>AR37</f>
        <v>82.552213333333327</v>
      </c>
      <c r="I47" s="84">
        <f t="shared" si="46"/>
        <v>1252.8000000000002</v>
      </c>
      <c r="J47" s="84">
        <f t="shared" si="47"/>
        <v>309.57080000000008</v>
      </c>
      <c r="DM47" s="49">
        <v>0</v>
      </c>
      <c r="DQ47" s="51">
        <v>0</v>
      </c>
      <c r="DR47" s="52">
        <v>10</v>
      </c>
      <c r="DS47" s="52">
        <v>20</v>
      </c>
      <c r="EI47" s="52">
        <v>9</v>
      </c>
      <c r="EJ47" s="52">
        <f t="shared" si="25"/>
        <v>343</v>
      </c>
      <c r="EK47" s="52">
        <v>22</v>
      </c>
      <c r="EL47" s="89">
        <v>55</v>
      </c>
      <c r="EM47" s="92">
        <f t="shared" ref="EM47:EM52" si="48">EM46+$ES$45</f>
        <v>8.2249999999999996</v>
      </c>
      <c r="EN47" s="92">
        <f t="shared" ref="EN47:EN52" si="49">EN46+$ET$45</f>
        <v>2.7925</v>
      </c>
      <c r="EO47" s="92">
        <f t="shared" si="43"/>
        <v>2.9453894359892567</v>
      </c>
      <c r="EP47" s="85">
        <f t="shared" si="44"/>
        <v>9</v>
      </c>
      <c r="EQ47" s="85">
        <f t="shared" si="45"/>
        <v>0.11781557743957026</v>
      </c>
      <c r="ER47" s="85">
        <f>(SUM(EQ47:$EQ$53))*$EL$54/(SUM(EP47:$EP$53))</f>
        <v>4.9653032090673159</v>
      </c>
      <c r="EY47" t="s">
        <v>199</v>
      </c>
      <c r="EZ47" s="84">
        <f>(Dobór!P27-'Dane dla CO'!AA54)/Dobór!P27*0.5*('SCOP 221.A26'!EZ44*'SCOP 221.A26'!EZ48)</f>
        <v>-38.501017616951522</v>
      </c>
      <c r="FA47" t="s">
        <v>61</v>
      </c>
      <c r="FB47">
        <f>ABS(EZ47)</f>
        <v>38.501017616951522</v>
      </c>
      <c r="FD47" t="s">
        <v>199</v>
      </c>
      <c r="FE47" s="84">
        <f>FE48*FE44</f>
        <v>878.83710444444444</v>
      </c>
      <c r="FF47" t="s">
        <v>61</v>
      </c>
      <c r="FG47">
        <f>ABS(FE47)</f>
        <v>878.83710444444444</v>
      </c>
    </row>
    <row r="48" spans="1:163">
      <c r="B48" t="s">
        <v>245</v>
      </c>
      <c r="F48">
        <f>31*E42/365</f>
        <v>319.88982666666664</v>
      </c>
      <c r="G48">
        <v>0</v>
      </c>
      <c r="I48" s="84">
        <f t="shared" si="46"/>
        <v>0</v>
      </c>
      <c r="J48" s="84">
        <f t="shared" si="47"/>
        <v>319.88982666666664</v>
      </c>
      <c r="DM48" s="49">
        <v>0</v>
      </c>
      <c r="DQ48" s="51">
        <v>0</v>
      </c>
      <c r="DR48" s="52">
        <v>14</v>
      </c>
      <c r="DS48" s="52">
        <v>21</v>
      </c>
      <c r="EI48" s="52">
        <v>9</v>
      </c>
      <c r="EJ48" s="52">
        <f t="shared" si="25"/>
        <v>352</v>
      </c>
      <c r="EK48" s="52">
        <v>23</v>
      </c>
      <c r="EL48" s="89">
        <v>55</v>
      </c>
      <c r="EM48" s="92">
        <f t="shared" si="48"/>
        <v>8.4375</v>
      </c>
      <c r="EN48" s="92">
        <f t="shared" si="49"/>
        <v>2.80375</v>
      </c>
      <c r="EO48" s="92">
        <f t="shared" si="43"/>
        <v>3.0093624609897458</v>
      </c>
      <c r="EP48" s="85">
        <f t="shared" si="44"/>
        <v>9</v>
      </c>
      <c r="EQ48" s="85">
        <f t="shared" si="45"/>
        <v>0.12037449843958983</v>
      </c>
      <c r="ER48" s="85">
        <f>(SUM(EQ48:$EQ$53))*$EL$54/(SUM(EP48:$EP$53))</f>
        <v>5.033443536837888</v>
      </c>
      <c r="EY48" t="s">
        <v>200</v>
      </c>
      <c r="EZ48" s="84">
        <f>EZ4-EZ3</f>
        <v>-1</v>
      </c>
      <c r="FD48" t="s">
        <v>200</v>
      </c>
      <c r="FE48" s="84">
        <f>EZ7-EZ6</f>
        <v>7</v>
      </c>
    </row>
    <row r="49" spans="2:162">
      <c r="B49" t="s">
        <v>246</v>
      </c>
      <c r="F49">
        <f>31*E42/365</f>
        <v>319.88982666666664</v>
      </c>
      <c r="G49">
        <v>0</v>
      </c>
      <c r="I49" s="84">
        <f t="shared" si="46"/>
        <v>0</v>
      </c>
      <c r="J49" s="84">
        <f t="shared" si="47"/>
        <v>319.88982666666664</v>
      </c>
      <c r="DM49" s="49">
        <v>0</v>
      </c>
      <c r="DQ49" s="51">
        <v>0</v>
      </c>
      <c r="DR49" s="52">
        <v>8</v>
      </c>
      <c r="DS49" s="52">
        <v>22</v>
      </c>
      <c r="EI49" s="52">
        <v>3</v>
      </c>
      <c r="EJ49" s="52">
        <f t="shared" si="25"/>
        <v>355</v>
      </c>
      <c r="EK49" s="52">
        <v>24</v>
      </c>
      <c r="EL49" s="89">
        <v>55</v>
      </c>
      <c r="EM49" s="92">
        <f t="shared" si="48"/>
        <v>8.65</v>
      </c>
      <c r="EN49" s="92">
        <f t="shared" si="49"/>
        <v>2.8149999999999999</v>
      </c>
      <c r="EO49" s="92">
        <f t="shared" si="43"/>
        <v>3.0728241563055065</v>
      </c>
      <c r="EP49" s="85">
        <f t="shared" si="44"/>
        <v>3</v>
      </c>
      <c r="EQ49" s="85">
        <f t="shared" si="45"/>
        <v>4.0970988750740088E-2</v>
      </c>
      <c r="ER49" s="85">
        <f>(SUM(EQ49:$EQ$53))*$EL$54/(SUM(EP49:$EP$53))</f>
        <v>5.1222953513129665</v>
      </c>
    </row>
    <row r="50" spans="2:162">
      <c r="B50" t="s">
        <v>247</v>
      </c>
      <c r="F50">
        <f>31*E42/365</f>
        <v>319.88982666666664</v>
      </c>
      <c r="G50">
        <v>0</v>
      </c>
      <c r="I50" s="84">
        <f t="shared" si="46"/>
        <v>0</v>
      </c>
      <c r="J50" s="84">
        <f t="shared" si="47"/>
        <v>319.88982666666664</v>
      </c>
      <c r="DM50" s="49">
        <v>0</v>
      </c>
      <c r="DQ50" s="51">
        <v>0</v>
      </c>
      <c r="DR50" s="52">
        <v>9</v>
      </c>
      <c r="DS50" s="52">
        <v>23</v>
      </c>
      <c r="EI50" s="52">
        <v>7</v>
      </c>
      <c r="EJ50" s="52">
        <f t="shared" si="25"/>
        <v>362</v>
      </c>
      <c r="EK50" s="52">
        <v>25</v>
      </c>
      <c r="EL50" s="89">
        <v>55</v>
      </c>
      <c r="EM50" s="92">
        <f t="shared" si="48"/>
        <v>8.8625000000000007</v>
      </c>
      <c r="EN50" s="92">
        <f t="shared" si="49"/>
        <v>2.8262499999999999</v>
      </c>
      <c r="EO50" s="92">
        <f t="shared" si="43"/>
        <v>3.1357806280406901</v>
      </c>
      <c r="EP50" s="85">
        <f t="shared" si="44"/>
        <v>7</v>
      </c>
      <c r="EQ50" s="85">
        <f t="shared" si="45"/>
        <v>9.7557619539043683E-2</v>
      </c>
      <c r="ER50" s="85">
        <f>(SUM(EQ50:$EQ$53))*$EL$54/(SUM(EP50:$EP$53))</f>
        <v>5.1560684577827862</v>
      </c>
    </row>
    <row r="51" spans="2:162">
      <c r="B51" t="s">
        <v>248</v>
      </c>
      <c r="F51">
        <f>31*E42/365</f>
        <v>319.88982666666664</v>
      </c>
      <c r="G51">
        <v>0</v>
      </c>
      <c r="I51" s="84">
        <f t="shared" si="46"/>
        <v>0</v>
      </c>
      <c r="J51" s="84">
        <f t="shared" si="47"/>
        <v>319.88982666666664</v>
      </c>
      <c r="DM51" s="49">
        <v>0</v>
      </c>
      <c r="DQ51" s="51">
        <v>0</v>
      </c>
      <c r="DR51" s="52">
        <v>3</v>
      </c>
      <c r="DS51" s="52">
        <v>24</v>
      </c>
      <c r="EI51" s="52">
        <v>3</v>
      </c>
      <c r="EJ51" s="52">
        <f t="shared" si="25"/>
        <v>365</v>
      </c>
      <c r="EK51" s="52">
        <v>26</v>
      </c>
      <c r="EL51" s="89">
        <v>55</v>
      </c>
      <c r="EM51" s="92">
        <f t="shared" si="48"/>
        <v>9.0750000000000011</v>
      </c>
      <c r="EN51" s="92">
        <f t="shared" si="49"/>
        <v>2.8374999999999999</v>
      </c>
      <c r="EO51" s="92">
        <f t="shared" si="43"/>
        <v>3.1982378854625555</v>
      </c>
      <c r="EP51" s="85">
        <f t="shared" si="44"/>
        <v>3</v>
      </c>
      <c r="EQ51" s="85">
        <f t="shared" si="45"/>
        <v>4.2643171806167404E-2</v>
      </c>
      <c r="ER51" s="85">
        <f>(SUM(EQ51:$EQ$53))*$EL$54/(SUM(EP51:$EP$53))</f>
        <v>5.252666071080168</v>
      </c>
    </row>
    <row r="52" spans="2:162">
      <c r="B52" t="s">
        <v>249</v>
      </c>
      <c r="D52">
        <f>BZ37</f>
        <v>367.20000000000016</v>
      </c>
      <c r="E52">
        <f>CA37</f>
        <v>0</v>
      </c>
      <c r="F52">
        <f>CD37</f>
        <v>257.97566666666677</v>
      </c>
      <c r="G52">
        <f>CE37</f>
        <v>51.59513333333333</v>
      </c>
      <c r="I52" s="84">
        <f t="shared" si="46"/>
        <v>367.20000000000016</v>
      </c>
      <c r="J52" s="84">
        <f t="shared" si="47"/>
        <v>309.57080000000008</v>
      </c>
      <c r="DM52" s="49">
        <v>0</v>
      </c>
      <c r="DQ52" s="51">
        <v>0</v>
      </c>
      <c r="DR52" s="52">
        <v>7</v>
      </c>
      <c r="DS52" s="52">
        <v>25</v>
      </c>
      <c r="EI52" s="52">
        <v>0</v>
      </c>
      <c r="EJ52" s="52">
        <f t="shared" si="25"/>
        <v>365</v>
      </c>
      <c r="EK52" s="52">
        <v>27</v>
      </c>
      <c r="EL52" s="89">
        <v>55</v>
      </c>
      <c r="EM52" s="92">
        <f t="shared" si="48"/>
        <v>9.2875000000000014</v>
      </c>
      <c r="EN52" s="92">
        <f t="shared" si="49"/>
        <v>2.8487499999999999</v>
      </c>
      <c r="EO52" s="92">
        <f t="shared" si="43"/>
        <v>3.2602018429135593</v>
      </c>
      <c r="EP52" s="85">
        <f t="shared" si="44"/>
        <v>0</v>
      </c>
      <c r="EQ52" s="85">
        <f t="shared" si="45"/>
        <v>0</v>
      </c>
      <c r="ER52" s="85">
        <f>(SUM(EQ52:$EQ$53))*$EL$54/(SUM(EP52:$EP$53))</f>
        <v>5.403263403263403</v>
      </c>
    </row>
    <row r="53" spans="2:162">
      <c r="B53" t="s">
        <v>250</v>
      </c>
      <c r="D53">
        <f>CK37</f>
        <v>1728</v>
      </c>
      <c r="E53">
        <f>CL37</f>
        <v>0</v>
      </c>
      <c r="F53">
        <f>CO37</f>
        <v>227.01858666666675</v>
      </c>
      <c r="G53">
        <f>CP37</f>
        <v>92.87124</v>
      </c>
      <c r="I53" s="84">
        <f t="shared" si="46"/>
        <v>1728</v>
      </c>
      <c r="J53" s="84">
        <f t="shared" si="47"/>
        <v>319.88982666666675</v>
      </c>
      <c r="DM53" s="49">
        <v>0</v>
      </c>
      <c r="DQ53" s="51">
        <v>0</v>
      </c>
      <c r="DR53" s="52">
        <v>3</v>
      </c>
      <c r="DS53" s="52">
        <v>26</v>
      </c>
      <c r="EI53" s="52">
        <v>1</v>
      </c>
      <c r="EJ53" s="52">
        <f t="shared" si="25"/>
        <v>366</v>
      </c>
      <c r="EK53" s="52">
        <v>28</v>
      </c>
      <c r="EL53" s="89">
        <v>55</v>
      </c>
      <c r="EM53" s="92">
        <v>9.5</v>
      </c>
      <c r="EN53" s="92">
        <v>2.86</v>
      </c>
      <c r="EO53" s="92">
        <f t="shared" si="43"/>
        <v>3.3216783216783217</v>
      </c>
      <c r="EP53" s="85">
        <f t="shared" si="44"/>
        <v>1</v>
      </c>
      <c r="EQ53" s="85">
        <f t="shared" si="45"/>
        <v>1.4763014763014762E-2</v>
      </c>
      <c r="ER53" s="85">
        <f>EQ53*$EL$54/EP53</f>
        <v>5.403263403263403</v>
      </c>
    </row>
    <row r="54" spans="2:162">
      <c r="B54" t="s">
        <v>251</v>
      </c>
      <c r="D54">
        <f>CV37</f>
        <v>2397.6000000000013</v>
      </c>
      <c r="E54">
        <f>CW37</f>
        <v>0</v>
      </c>
      <c r="F54">
        <f>CZ37</f>
        <v>41.276106666666664</v>
      </c>
      <c r="G54">
        <f>DA37</f>
        <v>268.29469333333344</v>
      </c>
      <c r="I54" s="84">
        <f t="shared" si="46"/>
        <v>2397.6000000000013</v>
      </c>
      <c r="J54" s="84">
        <f t="shared" si="47"/>
        <v>309.57080000000008</v>
      </c>
      <c r="DM54" s="49">
        <v>0</v>
      </c>
      <c r="DQ54" s="51">
        <v>0</v>
      </c>
      <c r="DR54" s="52">
        <v>0</v>
      </c>
      <c r="DS54" s="52">
        <v>27</v>
      </c>
      <c r="EL54" s="95">
        <f>SUM(EI5:EI53)</f>
        <v>366</v>
      </c>
    </row>
    <row r="55" spans="2:162">
      <c r="B55" t="s">
        <v>252</v>
      </c>
      <c r="D55">
        <f>DG37</f>
        <v>2069.6941176470596</v>
      </c>
      <c r="E55">
        <f>DH37</f>
        <v>1861.5058823529416</v>
      </c>
      <c r="F55">
        <f>DK37</f>
        <v>0</v>
      </c>
      <c r="G55">
        <f>DL37</f>
        <v>319.88982666666681</v>
      </c>
      <c r="I55" s="84">
        <f t="shared" si="46"/>
        <v>3931.2000000000012</v>
      </c>
      <c r="J55" s="84">
        <f t="shared" si="47"/>
        <v>319.88982666666681</v>
      </c>
      <c r="DM55" s="49">
        <v>0</v>
      </c>
      <c r="DQ55" s="51">
        <v>0</v>
      </c>
      <c r="DR55" s="52">
        <v>1</v>
      </c>
      <c r="DS55" s="52">
        <v>28</v>
      </c>
      <c r="DT55" s="95">
        <f>SUM(DR43:DR55)</f>
        <v>99</v>
      </c>
      <c r="EL55" s="101"/>
    </row>
    <row r="56" spans="2:162">
      <c r="D56" s="128">
        <f>(D44+D45+D46+D47+D52+D53+D54+D55)/(I44+I45+I46+I47+I48+I49+I50+I51+I52+I53+I54+I55)</f>
        <v>0.706972875936831</v>
      </c>
      <c r="F56" s="128">
        <f>(F44+F45+F46+F47+F52+F53+F54+F55+F48+F49+F50+F51)/(J44+J45+J46+J47+J48+J49+J50+J51+J52+J53+J54+J55)</f>
        <v>0.56675749318801083</v>
      </c>
      <c r="DM56" s="49">
        <v>0</v>
      </c>
      <c r="DQ56" s="51">
        <v>0</v>
      </c>
      <c r="EI56" s="52">
        <v>0</v>
      </c>
      <c r="EJ56" s="52">
        <f>EI56</f>
        <v>0</v>
      </c>
      <c r="EK56" s="52">
        <v>-20</v>
      </c>
    </row>
    <row r="57" spans="2:162">
      <c r="DM57" s="49">
        <v>0</v>
      </c>
      <c r="DQ57" s="51">
        <v>0</v>
      </c>
      <c r="EI57" s="52">
        <v>0</v>
      </c>
      <c r="EJ57" s="52">
        <f>EJ56+EI57</f>
        <v>0</v>
      </c>
      <c r="EK57" s="52">
        <v>-19</v>
      </c>
      <c r="EZ57" s="84">
        <f>EZ3</f>
        <v>-2</v>
      </c>
      <c r="FA57" s="84"/>
      <c r="FB57" s="84">
        <f>IF(EZ57=EK60,ER60,IF(EZ57=EK61,ER61,IF(EZ57=EK62,ER62,IF(EZ57=EK63,ER63,IF(EZ57=EK64,ER64,IF(EZ57=EK65,ER65,IF(EZ57=EK66,ER66,IF(EZ57=EK67,ER67,IF(EZ57=EK68,ER68,IF(EZ57=EK69,ER69,IF(EZ57=EK70,ER70,IF(EZ57=EK71,ER71,IF(EZ57=EK72,ER72,IF(EZ57=EK73,ER73,IF(EZ57=EK74,ER74,IF(EZ57=EK75,ER75,IF(EZ57=EK76,ER76,IF(EZ57=EK77,ER77,IF(EZ57=EK78,ER78,IF(EZ57=EK79,ER79,IF(EZ57=EK80,ER80,IF(EZ57=EK81,ER81,IF(EZ57=EK82,ER82,IF(EZ57=EK83,ER83,IF(EZ57=EK84,ER84,IF(EZ57=EK85,ER85,IF(EZ57=EK86,ER86,IF(EZ57=EK87,ER87,IF(EZ57=EK88,ER88,IF(EZ57=EK89,ER89,IF(EZ57=EK90,ER90,IF(EZ57=EK91,ER91,IF(EZ57=EK92,ER92,IF(EZ57=EK93,ER93,IF(EZ57=EK94,ER94,IF(EZ57=EK95,ER95,IF(EZ57=EK96,ER96,IF(EZ57=EK97,ER97,IF(EZ57=EK98,ER98,IF(EZ57=EK99,ER99,IF(EZ57=EK100,ER100,IF(EZ57=EK101,ER101,IF(EZ57=EK102,ER102,ER103)))))))))))))))))))))))))))))))))))))))))))</f>
        <v>3.3825876486443684</v>
      </c>
      <c r="FF57">
        <f>IF(EZ57=EK60,EJ60,IF(EZ57=EK61,EJ61,IF(EZ57=EK62,EJ62,IF(EZ57=EK63,EJ63,IF(EZ57=EK64,EJ64,IF(EZ57=EK65,EJ65,IF(EZ57=EK66,EJ66,IF(EZ57=EK67,EJ67,IF(EZ57=EK68,EJ68,IF(EZ57=EK69,EJ69,IF(EZ57=EK70,EJ70,IF(EZ57=EK71,EJ71,IF(EZ57=EK72,EJ72,IF(EZ57=EK73,EJ73,IF(EZ57=EK74,EJ74,IF(EZ57=EK75,EJ75,IF(EZ57=EK76,EJ76,IF(EZ57=EK77,EJ77,IF(EZ57=EK78,EJ78,IF(EZ57=EK79,EJ79,IF(EZ57=EK80,EJ80,IF(EZ57=EK81,EJ81,IF(EZ57=EK82,EJ82,IF(EZ57=EK83,EJ83,IF(EZ57=EK84,EJ84,IF(EZ57=EK85,EJ85,IF(EZ57=EK86,EJ86,IF(EZ57=EK87,EJ87,IF(EZ57=EK88,EJ88,IF(EZ57=EK89,EJ89,IF(EZ57=EK90,EJ90,IF(EZ57=EK91,EJ91,IF(EZ57=EK92,EJ92,IF(EZ57=EK93,EJ93,IF(EZ57=EK94,EJ94,IF(EZ57=EK95,EJ95,IF(EZ57=EK96,EJ96,IF(EZ57=EK97,EJ97,IF(EZ57=EK98,EJ98,IF(EZ57=EK99,EJ99,IF(EZ57=EK100,EJ100,IF(EZ57=EK101,EJ101,IF(EZ57=EK102,BSK52,EJ103)))))))))))))))))))))))))))))))))))))))))))</f>
        <v>36</v>
      </c>
    </row>
    <row r="58" spans="2:162">
      <c r="DM58" s="49">
        <v>0</v>
      </c>
      <c r="DQ58" s="51">
        <v>0</v>
      </c>
      <c r="EI58" s="52">
        <v>1</v>
      </c>
      <c r="EJ58" s="52">
        <f t="shared" ref="EJ58:EJ106" si="50">EJ57+EI58</f>
        <v>1</v>
      </c>
      <c r="EK58" s="52">
        <v>-18</v>
      </c>
      <c r="EZ58" s="84">
        <f>EZ4</f>
        <v>-3</v>
      </c>
      <c r="FA58" s="84"/>
      <c r="FB58" s="84">
        <f>IF(EZ58=EK61,ER61,IF(EZ58=EK62,ER62,IF(EZ58=EK63,ER63,IF(EZ58=EK64,ER64,IF(EZ58=EK65,ER65,IF(EZ58=EK66,ER66,IF(EZ58=EK67,ER67,IF(EZ58=EK68,ER68,IF(EZ58=EK69,ER69,IF(EZ58=EK70,ER70,IF(EZ58=EK71,ER71,IF(EZ58=EK72,ER72,IF(EZ58=EK73,ER73,IF(EZ58=EK74,ER74,IF(EZ58=EK75,ER75,IF(EZ58=EK76,ER76,IF(EZ58=EK77,ER77,IF(EZ58=EK78,ER78,IF(EZ58=EK79,ER79,IF(EZ58=EK80,ER80,IF(EZ58=EK81,ER81,IF(EZ58=EK82,ER82,IF(EZ58=EK83,ER83,IF(EZ58=EK84,ER84,IF(EZ58=EK85,ER85,IF(EZ58=EK86,ER86,IF(EZ58=EK87,ER87,IF(EZ58=EK88,ER88,IF(EZ58=EK89,ER89,IF(EZ58=EK90,ER90,IF(EZ58=EK91,ER91,IF(EZ58=EK92,ER92,IF(EZ58=EK93,ER93,IF(EZ58=EK94,ER94,IF(EZ58=EK95,ER95,IF(EZ58=EK96,ER96,IF(EZ58=EK97,ER97,IF(EZ58=EK98,ER98,IF(EZ58=EK99,ER99,IF(EZ58=EK100,ER100,IF(EZ58=EK101,ER101,IF(EZ58=EK102,ER102,IF(EZ58=EK103,ER103,ER104)))))))))))))))))))))))))))))))))))))))))))</f>
        <v>3.3582379469321877</v>
      </c>
      <c r="FF58">
        <f>IF(EZ58=EK61,EJ61,IF(EZ58=EK62,EJ62,IF(EZ58=EK63,EJ63,IF(EZ58=EK64,EJ64,IF(EZ58=EK65,EJ65,IF(EZ58=EK66,EJ66,IF(EZ58=EK67,EJ67,IF(EZ58=EK68,EJ68,IF(EZ58=EK69,EJ69,IF(EZ58=EK70,EJ70,IF(EZ58=EK71,EJ71,IF(EZ58=EK72,EJ72,IF(EZ58=EK73,EJ73,IF(EZ58=EK74,EJ74,IF(EZ58=EK75,EJ75,IF(EZ58=EK76,EJ76,IF(EZ58=EK77,EJ77,IF(EZ58=EK78,EJ78,IF(EZ58=EK79,EJ79,IF(EZ58=EK80,EJ80,IF(EZ58=EK81,EJ81,IF(EZ58=EK82,EJ82,IF(EZ58=EK83,EJ83,IF(EZ58=EK84,EJ84,IF(EZ58=EK85,EJ85,IF(EZ58=EK86,EJ86,IF(EZ58=EK87,EJ87,IF(EZ58=EK88,EJ88,IF(EZ58=EK89,EJ89,IF(EZ58=EK90,EJ90,IF(EZ58=EK91,EJ91,IF(EZ58=EK92,EJ92,IF(EZ58=EK93,EJ93,IF(EZ58=EK94,EJ94,IF(EZ58=EK95,EJ95,IF(EZ58=EK96,EJ96,IF(EZ58=EK97,EJ97,IF(EZ58=EK98,EJ98,IF(EZ58=EK99,EJ99,IF(EZ58=EK100,EJ100,IF(EZ58=EK101,EJ101,IF(EZ58=EK102,EJ102,IF(EZ58=EK103,BSK53,EJ104)))))))))))))))))))))))))))))))))))))))))))</f>
        <v>32</v>
      </c>
    </row>
    <row r="59" spans="2:162">
      <c r="DM59" s="49">
        <v>0</v>
      </c>
      <c r="DQ59" s="51">
        <v>0</v>
      </c>
      <c r="EI59" s="52">
        <v>0</v>
      </c>
      <c r="EJ59" s="52">
        <f t="shared" si="50"/>
        <v>1</v>
      </c>
      <c r="EK59" s="52">
        <v>-17</v>
      </c>
    </row>
    <row r="60" spans="2:162">
      <c r="DM60" s="49">
        <v>0</v>
      </c>
      <c r="DQ60" s="51">
        <v>0</v>
      </c>
      <c r="EI60" s="52">
        <v>1</v>
      </c>
      <c r="EJ60" s="52">
        <f t="shared" si="50"/>
        <v>2</v>
      </c>
      <c r="EK60" s="52">
        <v>-16</v>
      </c>
    </row>
    <row r="61" spans="2:162">
      <c r="DM61" s="49">
        <v>0</v>
      </c>
      <c r="DQ61" s="51">
        <v>0</v>
      </c>
      <c r="EI61" s="52">
        <v>0</v>
      </c>
      <c r="EJ61" s="52">
        <f t="shared" si="50"/>
        <v>2</v>
      </c>
      <c r="EK61" s="52">
        <v>-15</v>
      </c>
      <c r="ER61">
        <f>IF(Dobór!$M$18="Ogrzewanie podłogowe 35/28",EG10,IF(Dobór!$M$18="Grzejniki niskotemperaturowe 55/45",ED10,Error))</f>
        <v>3.1527939222145251</v>
      </c>
    </row>
    <row r="62" spans="2:162">
      <c r="DM62" s="49">
        <v>0</v>
      </c>
      <c r="DQ62" s="51">
        <v>0</v>
      </c>
      <c r="EI62" s="52">
        <v>3</v>
      </c>
      <c r="EJ62" s="52">
        <f t="shared" si="50"/>
        <v>5</v>
      </c>
      <c r="EK62" s="52">
        <v>-14</v>
      </c>
      <c r="ER62">
        <f>IF(Dobór!$M$18="Ogrzewanie podłogowe 35/28",EG11,IF(Dobór!$M$18="Grzejniki niskotemperaturowe 55/45",ED11,Error))</f>
        <v>3.1698593385572567</v>
      </c>
    </row>
    <row r="63" spans="2:162">
      <c r="DM63" s="49">
        <v>1</v>
      </c>
      <c r="DQ63" s="51">
        <v>1</v>
      </c>
      <c r="EI63" s="52">
        <v>1</v>
      </c>
      <c r="EJ63" s="52">
        <f t="shared" si="50"/>
        <v>6</v>
      </c>
      <c r="EK63" s="52">
        <v>-13</v>
      </c>
      <c r="ER63">
        <f>IF(Dobór!$M$18="Ogrzewanie podłogowe 35/28",EG12,IF(Dobór!$M$18="Grzejniki niskotemperaturowe 55/45",ED12,Error))</f>
        <v>3.1948651533776431</v>
      </c>
    </row>
    <row r="64" spans="2:162">
      <c r="DM64" s="49">
        <v>1</v>
      </c>
      <c r="DQ64" s="51">
        <v>1</v>
      </c>
      <c r="EI64" s="52">
        <v>3</v>
      </c>
      <c r="EJ64" s="52">
        <f t="shared" si="50"/>
        <v>9</v>
      </c>
      <c r="EK64" s="52">
        <v>-12</v>
      </c>
      <c r="ER64">
        <f>IF(Dobór!$M$18="Ogrzewanie podłogowe 35/28",EG13,IF(Dobór!$M$18="Grzejniki niskotemperaturowe 55/45",ED13,Error))</f>
        <v>3.2029627677615329</v>
      </c>
    </row>
    <row r="65" spans="117:148">
      <c r="DM65" s="49">
        <v>1</v>
      </c>
      <c r="DQ65" s="51">
        <v>1</v>
      </c>
      <c r="EI65" s="52">
        <v>4</v>
      </c>
      <c r="EJ65" s="52">
        <f t="shared" si="50"/>
        <v>13</v>
      </c>
      <c r="EK65" s="52">
        <v>-11</v>
      </c>
      <c r="ER65">
        <f>IF(Dobór!$M$18="Ogrzewanie podłogowe 35/28",EG14,IF(Dobór!$M$18="Grzejniki niskotemperaturowe 55/45",ED14,Error))</f>
        <v>3.226529294542857</v>
      </c>
    </row>
    <row r="66" spans="117:148">
      <c r="DM66" s="49">
        <v>1</v>
      </c>
      <c r="DQ66" s="51">
        <v>1</v>
      </c>
      <c r="EI66" s="52">
        <v>5</v>
      </c>
      <c r="EJ66" s="52">
        <f t="shared" si="50"/>
        <v>18</v>
      </c>
      <c r="EK66" s="52">
        <v>-10</v>
      </c>
      <c r="ER66">
        <f>IF(Dobór!$M$18="Ogrzewanie podłogowe 35/28",EG15,IF(Dobór!$M$18="Grzejniki niskotemperaturowe 55/45",ED15,Error))</f>
        <v>3.2574041126582651</v>
      </c>
    </row>
    <row r="67" spans="117:148">
      <c r="DM67" s="49">
        <v>1</v>
      </c>
      <c r="DQ67" s="51">
        <v>1</v>
      </c>
      <c r="EI67" s="52">
        <v>1</v>
      </c>
      <c r="EJ67" s="52">
        <f t="shared" si="50"/>
        <v>19</v>
      </c>
      <c r="EK67" s="52">
        <v>-9</v>
      </c>
      <c r="ER67">
        <f>IF(Dobór!$M$18="Ogrzewanie podłogowe 35/28",EG16,IF(Dobór!$M$18="Grzejniki niskotemperaturowe 55/45",ED16,Error))</f>
        <v>3.2956634055303224</v>
      </c>
    </row>
    <row r="68" spans="117:148">
      <c r="DM68" s="49">
        <v>1</v>
      </c>
      <c r="DQ68" s="51">
        <v>1</v>
      </c>
      <c r="EI68" s="52">
        <v>0</v>
      </c>
      <c r="EJ68" s="52">
        <f t="shared" si="50"/>
        <v>19</v>
      </c>
      <c r="EK68" s="52">
        <v>-8</v>
      </c>
      <c r="ER68">
        <f>IF(Dobór!$M$18="Ogrzewanie podłogowe 35/28",EG17,IF(Dobór!$M$18="Grzejniki niskotemperaturowe 55/45",ED17,Error))</f>
        <v>3.3029791604786309</v>
      </c>
    </row>
    <row r="69" spans="117:148">
      <c r="DM69" s="49">
        <v>1</v>
      </c>
      <c r="DQ69" s="51">
        <v>1</v>
      </c>
      <c r="EI69" s="52">
        <v>1</v>
      </c>
      <c r="EJ69" s="52">
        <f t="shared" si="50"/>
        <v>20</v>
      </c>
      <c r="EK69" s="52">
        <v>-7</v>
      </c>
      <c r="ER69">
        <f>IF(Dobór!$M$18="Ogrzewanie podłogowe 35/28",EG18,IF(Dobór!$M$18="Grzejniki niskotemperaturowe 55/45",ED18,Error))</f>
        <v>3.3029791604786309</v>
      </c>
    </row>
    <row r="70" spans="117:148">
      <c r="DM70" s="49">
        <v>2</v>
      </c>
      <c r="DQ70" s="51">
        <v>2</v>
      </c>
      <c r="EI70" s="52">
        <v>2</v>
      </c>
      <c r="EJ70" s="52">
        <f t="shared" si="50"/>
        <v>22</v>
      </c>
      <c r="EK70" s="52">
        <v>-6</v>
      </c>
      <c r="ER70">
        <f>IF(Dobór!$M$18="Ogrzewanie podłogowe 35/28",EG19,IF(Dobór!$M$18="Grzejniki niskotemperaturowe 55/45",ED19,Error))</f>
        <v>3.3092564781772675</v>
      </c>
    </row>
    <row r="71" spans="117:148">
      <c r="DM71" s="49">
        <v>2</v>
      </c>
      <c r="DQ71" s="51">
        <v>2</v>
      </c>
      <c r="EI71" s="52">
        <v>3</v>
      </c>
      <c r="EJ71" s="52">
        <f t="shared" si="50"/>
        <v>25</v>
      </c>
      <c r="EK71" s="52">
        <v>-5</v>
      </c>
      <c r="ER71">
        <f>IF(Dobór!$M$18="Ogrzewanie podłogowe 35/28",EG20,IF(Dobór!$M$18="Grzejniki niskotemperaturowe 55/45",ED20,Error))</f>
        <v>3.3216010062231009</v>
      </c>
    </row>
    <row r="72" spans="117:148">
      <c r="DM72" s="49">
        <v>2</v>
      </c>
      <c r="DQ72" s="51">
        <v>2</v>
      </c>
      <c r="EI72" s="52">
        <v>3</v>
      </c>
      <c r="EJ72" s="52">
        <f t="shared" si="50"/>
        <v>28</v>
      </c>
      <c r="EK72" s="52">
        <v>-4</v>
      </c>
      <c r="ER72">
        <f>IF(Dobór!$M$18="Ogrzewanie podłogowe 35/28",EG21,IF(Dobór!$M$18="Grzejniki niskotemperaturowe 55/45",ED21,Error))</f>
        <v>3.339962279826107</v>
      </c>
    </row>
    <row r="73" spans="117:148">
      <c r="DM73" s="49">
        <v>2</v>
      </c>
      <c r="DQ73" s="51">
        <v>2</v>
      </c>
      <c r="EI73" s="52">
        <v>4</v>
      </c>
      <c r="EJ73" s="52">
        <f t="shared" si="50"/>
        <v>32</v>
      </c>
      <c r="EK73" s="52">
        <v>-3</v>
      </c>
      <c r="ER73">
        <f>IF(Dobór!$M$18="Ogrzewanie podłogowe 35/28",EG22,IF(Dobór!$M$18="Grzejniki niskotemperaturowe 55/45",ED22,Error))</f>
        <v>3.3582379469321877</v>
      </c>
    </row>
    <row r="74" spans="117:148">
      <c r="DM74" s="49">
        <v>2</v>
      </c>
      <c r="DQ74" s="51">
        <v>2</v>
      </c>
      <c r="EI74" s="52">
        <v>4</v>
      </c>
      <c r="EJ74" s="52">
        <f t="shared" si="50"/>
        <v>36</v>
      </c>
      <c r="EK74" s="52">
        <v>-2</v>
      </c>
      <c r="ER74">
        <f>IF(Dobór!$M$18="Ogrzewanie podłogowe 35/28",EG23,IF(Dobór!$M$18="Grzejniki niskotemperaturowe 55/45",ED23,Error))</f>
        <v>3.3825876486443684</v>
      </c>
    </row>
    <row r="75" spans="117:148">
      <c r="DM75" s="49">
        <v>2</v>
      </c>
      <c r="DQ75" s="51">
        <v>2</v>
      </c>
      <c r="EI75" s="52">
        <v>8</v>
      </c>
      <c r="EJ75" s="52">
        <f t="shared" si="50"/>
        <v>44</v>
      </c>
      <c r="EK75" s="52">
        <v>-1</v>
      </c>
      <c r="ER75">
        <f>IF(Dobór!$M$18="Ogrzewanie podłogowe 35/28",EG24,IF(Dobór!$M$18="Grzejniki niskotemperaturowe 55/45",ED24,Error))</f>
        <v>3.4070217029713126</v>
      </c>
    </row>
    <row r="76" spans="117:148">
      <c r="DM76" s="49">
        <v>2</v>
      </c>
      <c r="DQ76" s="51">
        <v>2</v>
      </c>
      <c r="EI76" s="52">
        <v>17</v>
      </c>
      <c r="EJ76" s="52">
        <f t="shared" si="50"/>
        <v>61</v>
      </c>
      <c r="EK76" s="52">
        <v>0</v>
      </c>
      <c r="ER76">
        <f>IF(Dobór!$M$18="Ogrzewanie podłogowe 35/28",EG25,IF(Dobór!$M$18="Grzejniki niskotemperaturowe 55/45",ED25,Error))</f>
        <v>3.4570976908094218</v>
      </c>
    </row>
    <row r="77" spans="117:148">
      <c r="DM77" s="49">
        <v>2</v>
      </c>
      <c r="DQ77" s="51">
        <v>2</v>
      </c>
      <c r="EI77" s="52">
        <v>7</v>
      </c>
      <c r="EJ77" s="52">
        <f t="shared" si="50"/>
        <v>68</v>
      </c>
      <c r="EK77" s="52">
        <v>1</v>
      </c>
      <c r="ER77">
        <f>IF(Dobór!$M$18="Ogrzewanie podłogowe 35/28",EG26,IF(Dobór!$M$18="Grzejniki niskotemperaturowe 55/45",ED26,Error))</f>
        <v>3.5748286127134263</v>
      </c>
    </row>
    <row r="78" spans="117:148">
      <c r="DM78" s="49">
        <v>2</v>
      </c>
      <c r="DQ78" s="51">
        <v>2</v>
      </c>
      <c r="EI78" s="52">
        <v>13</v>
      </c>
      <c r="EJ78" s="52">
        <f t="shared" si="50"/>
        <v>81</v>
      </c>
      <c r="EK78" s="52">
        <v>2</v>
      </c>
      <c r="ER78">
        <f>IF(Dobór!$M$18="Ogrzewanie podłogowe 35/28",EG27,IF(Dobór!$M$18="Grzejniki niskotemperaturowe 55/45",ED27,Error))</f>
        <v>3.6285470858917326</v>
      </c>
    </row>
    <row r="79" spans="117:148">
      <c r="DM79" s="49">
        <v>2</v>
      </c>
      <c r="DQ79" s="51">
        <v>2</v>
      </c>
      <c r="EI79" s="52">
        <v>15</v>
      </c>
      <c r="EJ79" s="52">
        <f t="shared" si="50"/>
        <v>96</v>
      </c>
      <c r="EK79" s="52">
        <v>3</v>
      </c>
      <c r="ER79">
        <f>IF(Dobór!$M$18="Ogrzewanie podłogowe 35/28",EG28,IF(Dobór!$M$18="Grzejniki niskotemperaturowe 55/45",ED28,Error))</f>
        <v>3.7376437865999312</v>
      </c>
    </row>
    <row r="80" spans="117:148">
      <c r="DM80" s="49">
        <v>2</v>
      </c>
      <c r="DQ80" s="51">
        <v>2</v>
      </c>
      <c r="EI80" s="52">
        <v>13</v>
      </c>
      <c r="EJ80" s="52">
        <f t="shared" si="50"/>
        <v>109</v>
      </c>
      <c r="EK80" s="52">
        <v>4</v>
      </c>
      <c r="ER80">
        <f>IF(Dobór!$M$18="Ogrzewanie podłogowe 35/28",EG29,IF(Dobór!$M$18="Grzejniki niskotemperaturowe 55/45",ED29,Error))</f>
        <v>3.864986487593626</v>
      </c>
    </row>
    <row r="81" spans="117:148">
      <c r="DM81" s="49">
        <v>2</v>
      </c>
      <c r="DQ81" s="51">
        <v>2</v>
      </c>
      <c r="EI81" s="52">
        <v>11</v>
      </c>
      <c r="EJ81" s="52">
        <f t="shared" si="50"/>
        <v>120</v>
      </c>
      <c r="EK81" s="52">
        <v>5</v>
      </c>
      <c r="ER81">
        <f>IF(Dobór!$M$18="Ogrzewanie podłogowe 35/28",EG30,IF(Dobór!$M$18="Grzejniki niskotemperaturowe 55/45",ED30,Error))</f>
        <v>3.9768120186978497</v>
      </c>
    </row>
    <row r="82" spans="117:148">
      <c r="DM82" s="49">
        <v>2</v>
      </c>
      <c r="DQ82" s="51">
        <v>2</v>
      </c>
      <c r="EI82" s="52">
        <v>20</v>
      </c>
      <c r="EJ82" s="52">
        <f t="shared" si="50"/>
        <v>140</v>
      </c>
      <c r="EK82" s="52">
        <v>6</v>
      </c>
      <c r="ER82">
        <f>IF(Dobór!$M$18="Ogrzewanie podłogowe 35/28",EG31,IF(Dobór!$M$18="Grzejniki niskotemperaturowe 55/45",ED31,Error))</f>
        <v>4.0692853337855768</v>
      </c>
    </row>
    <row r="83" spans="117:148">
      <c r="DM83" s="49">
        <v>3</v>
      </c>
      <c r="DQ83" s="51">
        <v>3</v>
      </c>
      <c r="EI83" s="52">
        <v>13</v>
      </c>
      <c r="EJ83" s="52">
        <f t="shared" si="50"/>
        <v>153</v>
      </c>
      <c r="EK83" s="52">
        <v>7</v>
      </c>
      <c r="ER83">
        <f>IF(Dobór!$M$18="Ogrzewanie podłogowe 35/28",EG32,IF(Dobór!$M$18="Grzejniki niskotemperaturowe 55/45",ED32,Error))</f>
        <v>4.2447895634115662</v>
      </c>
    </row>
    <row r="84" spans="117:148">
      <c r="DM84" s="49">
        <v>3</v>
      </c>
      <c r="DQ84" s="51">
        <v>3</v>
      </c>
      <c r="EI84" s="52">
        <v>17</v>
      </c>
      <c r="EJ84" s="52">
        <f t="shared" si="50"/>
        <v>170</v>
      </c>
      <c r="EK84" s="52">
        <v>8</v>
      </c>
      <c r="ER84">
        <f>IF(Dobór!$M$18="Ogrzewanie podłogowe 35/28",EG33,IF(Dobór!$M$18="Grzejniki niskotemperaturowe 55/45",ED33,Error))</f>
        <v>4.3693285585487507</v>
      </c>
    </row>
    <row r="85" spans="117:148">
      <c r="DM85" s="49">
        <v>3</v>
      </c>
      <c r="DQ85" s="51">
        <v>3</v>
      </c>
      <c r="EI85" s="52">
        <v>9</v>
      </c>
      <c r="EJ85" s="52">
        <f t="shared" si="50"/>
        <v>179</v>
      </c>
      <c r="EK85" s="52">
        <v>9</v>
      </c>
      <c r="ER85">
        <f>IF(Dobór!$M$18="Ogrzewanie podłogowe 35/28",EG34,IF(Dobór!$M$18="Grzejniki niskotemperaturowe 55/45",ED34,Error))</f>
        <v>4.5354999570810604</v>
      </c>
    </row>
    <row r="86" spans="117:148">
      <c r="DM86" s="49">
        <v>3</v>
      </c>
      <c r="DQ86" s="51">
        <v>3</v>
      </c>
      <c r="EI86" s="52">
        <v>11</v>
      </c>
      <c r="EJ86" s="52">
        <f t="shared" si="50"/>
        <v>190</v>
      </c>
      <c r="EK86" s="52">
        <v>10</v>
      </c>
      <c r="ER86">
        <f>IF(Dobór!$M$18="Ogrzewanie podłogowe 35/28",EG35,IF(Dobór!$M$18="Grzejniki niskotemperaturowe 55/45",ED35,Error))</f>
        <v>4.6149732539078396</v>
      </c>
    </row>
    <row r="87" spans="117:148">
      <c r="DM87" s="49">
        <v>3</v>
      </c>
      <c r="DQ87" s="51">
        <v>3</v>
      </c>
      <c r="EI87" s="52">
        <v>9</v>
      </c>
      <c r="EJ87" s="52">
        <f t="shared" si="50"/>
        <v>199</v>
      </c>
      <c r="EK87" s="52">
        <v>11</v>
      </c>
      <c r="ER87">
        <f>IF(Dobór!$M$18="Ogrzewanie podłogowe 35/28",EG36,IF(Dobór!$M$18="Grzejniki niskotemperaturowe 55/45",ED36,Error))</f>
        <v>4.6667397171031064</v>
      </c>
    </row>
    <row r="88" spans="117:148">
      <c r="DM88" s="49">
        <v>3</v>
      </c>
      <c r="DQ88" s="51">
        <v>3</v>
      </c>
      <c r="EI88" s="52">
        <v>4</v>
      </c>
      <c r="EJ88" s="52">
        <f t="shared" si="50"/>
        <v>203</v>
      </c>
      <c r="EK88" s="52">
        <v>12</v>
      </c>
      <c r="ER88">
        <f>IF(Dobór!$M$18="Ogrzewanie podłogowe 35/28",EG37,IF(Dobór!$M$18="Grzejniki niskotemperaturowe 55/45",ED37,Error))</f>
        <v>4.7154816093452885</v>
      </c>
    </row>
    <row r="89" spans="117:148">
      <c r="DM89" s="49">
        <v>3</v>
      </c>
      <c r="DQ89" s="51">
        <v>3</v>
      </c>
      <c r="EI89" s="52">
        <v>9</v>
      </c>
      <c r="EJ89" s="52">
        <f t="shared" si="50"/>
        <v>212</v>
      </c>
      <c r="EK89" s="52">
        <v>13</v>
      </c>
      <c r="ER89">
        <f>IF(Dobór!$M$18="Ogrzewanie podłogowe 35/28",EG38,IF(Dobór!$M$18="Grzejniki niskotemperaturowe 55/45",ED38,Error))</f>
        <v>4.7361733294358945</v>
      </c>
    </row>
    <row r="90" spans="117:148">
      <c r="DM90" s="49">
        <v>3</v>
      </c>
      <c r="DQ90" s="51">
        <v>3</v>
      </c>
      <c r="EI90" s="52">
        <v>9</v>
      </c>
      <c r="EJ90" s="52">
        <f t="shared" si="50"/>
        <v>221</v>
      </c>
      <c r="EK90" s="52">
        <v>14</v>
      </c>
      <c r="ER90">
        <f>IF(Dobór!$M$18="Ogrzewanie podłogowe 35/28",EG39,IF(Dobór!$M$18="Grzejniki niskotemperaturowe 55/45",ED39,Error))</f>
        <v>4.7767906039753756</v>
      </c>
    </row>
    <row r="91" spans="117:148">
      <c r="DM91" s="49">
        <v>3</v>
      </c>
      <c r="DQ91" s="51">
        <v>3</v>
      </c>
      <c r="EI91" s="52">
        <v>4</v>
      </c>
      <c r="EJ91" s="52">
        <f t="shared" si="50"/>
        <v>225</v>
      </c>
      <c r="EK91" s="52">
        <v>15</v>
      </c>
      <c r="ER91">
        <f>IF(Dobór!$M$18="Ogrzewanie podłogowe 35/28",EG40,IF(Dobór!$M$18="Grzejniki niskotemperaturowe 55/45",ED40,Error))</f>
        <v>4.8293963254593173</v>
      </c>
    </row>
    <row r="92" spans="117:148">
      <c r="DM92" s="49">
        <v>3</v>
      </c>
      <c r="DQ92" s="51">
        <v>3</v>
      </c>
      <c r="EI92" s="52"/>
      <c r="EJ92" s="52">
        <f t="shared" si="50"/>
        <v>225</v>
      </c>
      <c r="EK92" s="52"/>
    </row>
    <row r="93" spans="117:148">
      <c r="DM93" s="49">
        <v>3</v>
      </c>
      <c r="DQ93" s="51">
        <v>3</v>
      </c>
      <c r="EI93" s="52"/>
      <c r="EJ93" s="52">
        <f t="shared" si="50"/>
        <v>225</v>
      </c>
      <c r="EK93" s="52"/>
    </row>
    <row r="94" spans="117:148">
      <c r="DM94" s="49">
        <v>3</v>
      </c>
      <c r="DQ94" s="51">
        <v>3</v>
      </c>
      <c r="EI94" s="52">
        <v>13</v>
      </c>
      <c r="EJ94" s="52">
        <f t="shared" si="50"/>
        <v>238</v>
      </c>
      <c r="EK94" s="52">
        <v>16</v>
      </c>
    </row>
    <row r="95" spans="117:148">
      <c r="DM95" s="49">
        <v>3</v>
      </c>
      <c r="DQ95" s="51">
        <v>3</v>
      </c>
      <c r="EI95" s="52">
        <v>10</v>
      </c>
      <c r="EJ95" s="52">
        <f t="shared" si="50"/>
        <v>248</v>
      </c>
      <c r="EK95" s="52">
        <v>17</v>
      </c>
    </row>
    <row r="96" spans="117:148">
      <c r="DM96" s="49">
        <v>3</v>
      </c>
      <c r="DQ96" s="51">
        <v>3</v>
      </c>
      <c r="EI96" s="52">
        <v>12</v>
      </c>
      <c r="EJ96" s="52">
        <f t="shared" si="50"/>
        <v>260</v>
      </c>
      <c r="EK96" s="52">
        <v>18</v>
      </c>
    </row>
    <row r="97" spans="117:141">
      <c r="DM97" s="49">
        <v>3</v>
      </c>
      <c r="DQ97" s="51">
        <v>3</v>
      </c>
      <c r="EI97" s="52">
        <v>9</v>
      </c>
      <c r="EJ97" s="52">
        <f t="shared" si="50"/>
        <v>269</v>
      </c>
      <c r="EK97" s="52">
        <v>19</v>
      </c>
    </row>
    <row r="98" spans="117:141">
      <c r="DM98" s="49">
        <v>4</v>
      </c>
      <c r="DQ98" s="51">
        <v>4</v>
      </c>
      <c r="EI98" s="52">
        <v>10</v>
      </c>
      <c r="EJ98" s="52">
        <f t="shared" si="50"/>
        <v>279</v>
      </c>
      <c r="EK98" s="52">
        <v>20</v>
      </c>
    </row>
    <row r="99" spans="117:141">
      <c r="DM99" s="49">
        <v>4</v>
      </c>
      <c r="DQ99" s="51">
        <v>4</v>
      </c>
      <c r="EI99" s="52">
        <v>14</v>
      </c>
      <c r="EJ99" s="52">
        <f t="shared" si="50"/>
        <v>293</v>
      </c>
      <c r="EK99" s="52">
        <v>21</v>
      </c>
    </row>
    <row r="100" spans="117:141">
      <c r="DM100" s="49">
        <v>4</v>
      </c>
      <c r="DQ100" s="51">
        <v>4</v>
      </c>
      <c r="EI100" s="52">
        <v>8</v>
      </c>
      <c r="EJ100" s="52">
        <f t="shared" si="50"/>
        <v>301</v>
      </c>
      <c r="EK100" s="52">
        <v>22</v>
      </c>
    </row>
    <row r="101" spans="117:141">
      <c r="DM101" s="49">
        <v>4</v>
      </c>
      <c r="DQ101" s="51">
        <v>4</v>
      </c>
      <c r="EI101" s="52">
        <v>9</v>
      </c>
      <c r="EJ101" s="52">
        <f t="shared" si="50"/>
        <v>310</v>
      </c>
      <c r="EK101" s="52">
        <v>23</v>
      </c>
    </row>
    <row r="102" spans="117:141">
      <c r="DM102" s="49">
        <v>4</v>
      </c>
      <c r="DQ102" s="51">
        <v>4</v>
      </c>
      <c r="EI102" s="52">
        <v>3</v>
      </c>
      <c r="EJ102" s="52">
        <f t="shared" si="50"/>
        <v>313</v>
      </c>
      <c r="EK102" s="52">
        <v>24</v>
      </c>
    </row>
    <row r="103" spans="117:141">
      <c r="DM103" s="49">
        <v>4</v>
      </c>
      <c r="DQ103" s="51">
        <v>4</v>
      </c>
      <c r="EI103" s="52">
        <v>7</v>
      </c>
      <c r="EJ103" s="52">
        <f t="shared" si="50"/>
        <v>320</v>
      </c>
      <c r="EK103" s="52">
        <v>25</v>
      </c>
    </row>
    <row r="104" spans="117:141">
      <c r="DM104" s="49">
        <v>4</v>
      </c>
      <c r="DQ104" s="51">
        <v>4</v>
      </c>
      <c r="EI104" s="52">
        <v>3</v>
      </c>
      <c r="EJ104" s="52">
        <f t="shared" si="50"/>
        <v>323</v>
      </c>
      <c r="EK104" s="52">
        <v>26</v>
      </c>
    </row>
    <row r="105" spans="117:141">
      <c r="DM105" s="49">
        <v>4</v>
      </c>
      <c r="DQ105" s="51">
        <v>4</v>
      </c>
      <c r="EI105" s="52">
        <v>0</v>
      </c>
      <c r="EJ105" s="52">
        <f t="shared" si="50"/>
        <v>323</v>
      </c>
      <c r="EK105" s="52">
        <v>27</v>
      </c>
    </row>
    <row r="106" spans="117:141">
      <c r="DM106" s="49">
        <v>4</v>
      </c>
      <c r="DQ106" s="51">
        <v>4</v>
      </c>
      <c r="EI106" s="52">
        <v>1</v>
      </c>
      <c r="EJ106" s="52">
        <f t="shared" si="50"/>
        <v>324</v>
      </c>
      <c r="EK106" s="52">
        <v>28</v>
      </c>
    </row>
    <row r="107" spans="117:141">
      <c r="DM107" s="49">
        <v>4</v>
      </c>
      <c r="DQ107" s="51">
        <v>4</v>
      </c>
    </row>
    <row r="108" spans="117:141">
      <c r="DM108" s="49">
        <v>4</v>
      </c>
      <c r="DQ108" s="51">
        <v>4</v>
      </c>
    </row>
    <row r="109" spans="117:141">
      <c r="DM109" s="49">
        <v>4</v>
      </c>
      <c r="DQ109" s="51">
        <v>4</v>
      </c>
    </row>
    <row r="110" spans="117:141">
      <c r="DM110" s="49">
        <v>4</v>
      </c>
      <c r="DQ110" s="51">
        <v>4</v>
      </c>
    </row>
    <row r="111" spans="117:141">
      <c r="DM111" s="49">
        <v>5</v>
      </c>
      <c r="DQ111" s="51">
        <v>5</v>
      </c>
    </row>
    <row r="112" spans="117:141">
      <c r="DM112" s="49">
        <v>5</v>
      </c>
      <c r="DQ112" s="51">
        <v>5</v>
      </c>
    </row>
    <row r="113" spans="117:121">
      <c r="DM113" s="49">
        <v>5</v>
      </c>
      <c r="DQ113" s="51">
        <v>5</v>
      </c>
    </row>
    <row r="114" spans="117:121">
      <c r="DM114" s="49">
        <v>5</v>
      </c>
      <c r="DQ114" s="51">
        <v>5</v>
      </c>
    </row>
    <row r="115" spans="117:121">
      <c r="DM115" s="49">
        <v>5</v>
      </c>
      <c r="DQ115" s="51">
        <v>5</v>
      </c>
    </row>
    <row r="116" spans="117:121">
      <c r="DM116" s="49">
        <v>5</v>
      </c>
      <c r="DQ116" s="51">
        <v>5</v>
      </c>
    </row>
    <row r="117" spans="117:121">
      <c r="DM117" s="49">
        <v>5</v>
      </c>
      <c r="DQ117" s="51">
        <v>5</v>
      </c>
    </row>
    <row r="118" spans="117:121">
      <c r="DM118" s="49">
        <v>5</v>
      </c>
      <c r="DQ118" s="51">
        <v>5</v>
      </c>
    </row>
    <row r="119" spans="117:121">
      <c r="DM119" s="49">
        <v>5</v>
      </c>
      <c r="DQ119" s="51">
        <v>5</v>
      </c>
    </row>
    <row r="120" spans="117:121">
      <c r="DM120" s="49">
        <v>5</v>
      </c>
      <c r="DQ120" s="51">
        <v>5</v>
      </c>
    </row>
    <row r="121" spans="117:121">
      <c r="DM121" s="49">
        <v>5</v>
      </c>
      <c r="DQ121" s="51">
        <v>5</v>
      </c>
    </row>
    <row r="122" spans="117:121">
      <c r="DM122" s="49">
        <v>6</v>
      </c>
      <c r="DQ122" s="51">
        <v>6</v>
      </c>
    </row>
    <row r="123" spans="117:121">
      <c r="DM123" s="49">
        <v>6</v>
      </c>
      <c r="DQ123" s="51">
        <v>6</v>
      </c>
    </row>
    <row r="124" spans="117:121">
      <c r="DM124" s="49">
        <v>6</v>
      </c>
      <c r="DQ124" s="51">
        <v>6</v>
      </c>
    </row>
    <row r="125" spans="117:121">
      <c r="DM125" s="49">
        <v>6</v>
      </c>
      <c r="DQ125" s="51">
        <v>6</v>
      </c>
    </row>
    <row r="126" spans="117:121">
      <c r="DM126" s="49">
        <v>6</v>
      </c>
      <c r="DQ126" s="51">
        <v>6</v>
      </c>
    </row>
    <row r="127" spans="117:121">
      <c r="DM127" s="49">
        <v>6</v>
      </c>
      <c r="DQ127" s="51">
        <v>6</v>
      </c>
    </row>
    <row r="128" spans="117:121">
      <c r="DM128" s="49">
        <v>6</v>
      </c>
      <c r="DQ128" s="51">
        <v>6</v>
      </c>
    </row>
    <row r="129" spans="117:121">
      <c r="DM129" s="49">
        <v>6</v>
      </c>
      <c r="DQ129" s="51">
        <v>6</v>
      </c>
    </row>
    <row r="130" spans="117:121">
      <c r="DM130" s="49">
        <v>6</v>
      </c>
      <c r="DQ130" s="51">
        <v>6</v>
      </c>
    </row>
    <row r="131" spans="117:121">
      <c r="DM131" s="49">
        <v>6</v>
      </c>
      <c r="DQ131" s="51">
        <v>6</v>
      </c>
    </row>
    <row r="132" spans="117:121">
      <c r="DM132" s="49">
        <v>6</v>
      </c>
      <c r="DQ132" s="51">
        <v>6</v>
      </c>
    </row>
    <row r="133" spans="117:121">
      <c r="DM133" s="49">
        <v>6</v>
      </c>
      <c r="DQ133" s="51">
        <v>6</v>
      </c>
    </row>
    <row r="134" spans="117:121">
      <c r="DM134" s="49">
        <v>6</v>
      </c>
      <c r="DQ134" s="51">
        <v>6</v>
      </c>
    </row>
    <row r="135" spans="117:121">
      <c r="DM135" s="49">
        <v>6</v>
      </c>
      <c r="DQ135" s="51">
        <v>6</v>
      </c>
    </row>
    <row r="136" spans="117:121">
      <c r="DM136" s="49">
        <v>6</v>
      </c>
      <c r="DQ136" s="51">
        <v>6</v>
      </c>
    </row>
    <row r="137" spans="117:121">
      <c r="DM137" s="49">
        <v>6</v>
      </c>
      <c r="DQ137" s="51">
        <v>6</v>
      </c>
    </row>
    <row r="138" spans="117:121">
      <c r="DM138" s="49">
        <v>6</v>
      </c>
      <c r="DQ138" s="51">
        <v>6</v>
      </c>
    </row>
    <row r="139" spans="117:121">
      <c r="DM139" s="49">
        <v>6</v>
      </c>
      <c r="DQ139" s="51">
        <v>6</v>
      </c>
    </row>
    <row r="140" spans="117:121">
      <c r="DM140" s="49">
        <v>6</v>
      </c>
      <c r="DQ140" s="51">
        <v>6</v>
      </c>
    </row>
    <row r="141" spans="117:121">
      <c r="DM141" s="49">
        <v>6</v>
      </c>
      <c r="DQ141" s="51">
        <v>6</v>
      </c>
    </row>
    <row r="142" spans="117:121">
      <c r="DM142" s="49">
        <v>7</v>
      </c>
      <c r="DQ142" s="51">
        <v>7</v>
      </c>
    </row>
    <row r="143" spans="117:121">
      <c r="DM143" s="49">
        <v>7</v>
      </c>
      <c r="DQ143" s="51">
        <v>7</v>
      </c>
    </row>
    <row r="144" spans="117:121">
      <c r="DM144" s="49">
        <v>7</v>
      </c>
      <c r="DQ144" s="51">
        <v>7</v>
      </c>
    </row>
    <row r="145" spans="117:121">
      <c r="DM145" s="49">
        <v>7</v>
      </c>
      <c r="DQ145" s="51">
        <v>7</v>
      </c>
    </row>
    <row r="146" spans="117:121">
      <c r="DM146" s="49">
        <v>7</v>
      </c>
      <c r="DQ146" s="51">
        <v>7</v>
      </c>
    </row>
    <row r="147" spans="117:121">
      <c r="DM147" s="49">
        <v>7</v>
      </c>
      <c r="DQ147" s="51">
        <v>7</v>
      </c>
    </row>
    <row r="148" spans="117:121">
      <c r="DM148" s="49">
        <v>7</v>
      </c>
      <c r="DQ148" s="51">
        <v>7</v>
      </c>
    </row>
    <row r="149" spans="117:121">
      <c r="DM149" s="49">
        <v>7</v>
      </c>
      <c r="DQ149" s="51">
        <v>7</v>
      </c>
    </row>
    <row r="150" spans="117:121">
      <c r="DM150" s="49">
        <v>7</v>
      </c>
      <c r="DQ150" s="51">
        <v>7</v>
      </c>
    </row>
    <row r="151" spans="117:121">
      <c r="DM151" s="49">
        <v>7</v>
      </c>
      <c r="DQ151" s="51">
        <v>7</v>
      </c>
    </row>
    <row r="152" spans="117:121">
      <c r="DM152" s="49">
        <v>7</v>
      </c>
      <c r="DQ152" s="51">
        <v>7</v>
      </c>
    </row>
    <row r="153" spans="117:121">
      <c r="DM153" s="49">
        <v>7</v>
      </c>
      <c r="DQ153" s="51">
        <v>7</v>
      </c>
    </row>
    <row r="154" spans="117:121">
      <c r="DM154" s="49">
        <v>7</v>
      </c>
      <c r="DQ154" s="51">
        <v>7</v>
      </c>
    </row>
    <row r="155" spans="117:121">
      <c r="DM155" s="49">
        <v>8</v>
      </c>
      <c r="DQ155" s="51">
        <v>8</v>
      </c>
    </row>
    <row r="156" spans="117:121">
      <c r="DM156" s="49">
        <v>8</v>
      </c>
      <c r="DQ156" s="51">
        <v>8</v>
      </c>
    </row>
    <row r="157" spans="117:121">
      <c r="DM157" s="49">
        <v>8</v>
      </c>
      <c r="DQ157" s="51">
        <v>8</v>
      </c>
    </row>
    <row r="158" spans="117:121">
      <c r="DM158" s="49">
        <v>8</v>
      </c>
      <c r="DQ158" s="51">
        <v>8</v>
      </c>
    </row>
    <row r="159" spans="117:121">
      <c r="DM159" s="49">
        <v>8</v>
      </c>
      <c r="DQ159" s="51">
        <v>8</v>
      </c>
    </row>
    <row r="160" spans="117:121">
      <c r="DM160" s="49">
        <v>8</v>
      </c>
      <c r="DQ160" s="51">
        <v>8</v>
      </c>
    </row>
    <row r="161" spans="117:121">
      <c r="DM161" s="49">
        <v>8</v>
      </c>
      <c r="DQ161" s="51">
        <v>8</v>
      </c>
    </row>
    <row r="162" spans="117:121">
      <c r="DM162" s="49">
        <v>8</v>
      </c>
      <c r="DQ162" s="51">
        <v>8</v>
      </c>
    </row>
    <row r="163" spans="117:121">
      <c r="DM163" s="49">
        <v>8</v>
      </c>
      <c r="DQ163" s="51">
        <v>8</v>
      </c>
    </row>
    <row r="164" spans="117:121">
      <c r="DM164" s="49">
        <v>8</v>
      </c>
      <c r="DQ164" s="51">
        <v>8</v>
      </c>
    </row>
    <row r="165" spans="117:121">
      <c r="DM165" s="49">
        <v>8</v>
      </c>
      <c r="DQ165" s="51">
        <v>8</v>
      </c>
    </row>
    <row r="166" spans="117:121">
      <c r="DM166" s="49">
        <v>8</v>
      </c>
      <c r="DQ166" s="51">
        <v>8</v>
      </c>
    </row>
    <row r="167" spans="117:121">
      <c r="DM167" s="49">
        <v>8</v>
      </c>
      <c r="DQ167" s="51">
        <v>8</v>
      </c>
    </row>
    <row r="168" spans="117:121">
      <c r="DM168" s="49">
        <v>8</v>
      </c>
      <c r="DQ168" s="51">
        <v>8</v>
      </c>
    </row>
    <row r="169" spans="117:121">
      <c r="DM169" s="49">
        <v>8</v>
      </c>
      <c r="DQ169" s="51">
        <v>8</v>
      </c>
    </row>
    <row r="170" spans="117:121">
      <c r="DM170" s="49">
        <v>8</v>
      </c>
      <c r="DQ170" s="51">
        <v>8</v>
      </c>
    </row>
    <row r="171" spans="117:121">
      <c r="DM171" s="49">
        <v>8</v>
      </c>
      <c r="DQ171" s="51">
        <v>8</v>
      </c>
    </row>
    <row r="172" spans="117:121">
      <c r="DM172" s="49">
        <v>9</v>
      </c>
      <c r="DQ172" s="51">
        <v>9</v>
      </c>
    </row>
    <row r="173" spans="117:121">
      <c r="DM173" s="49">
        <v>9</v>
      </c>
      <c r="DQ173" s="51">
        <v>9</v>
      </c>
    </row>
    <row r="174" spans="117:121">
      <c r="DM174" s="49">
        <v>9</v>
      </c>
      <c r="DQ174" s="51">
        <v>9</v>
      </c>
    </row>
    <row r="175" spans="117:121">
      <c r="DM175" s="49">
        <v>9</v>
      </c>
      <c r="DQ175" s="51">
        <v>9</v>
      </c>
    </row>
    <row r="176" spans="117:121">
      <c r="DM176" s="49">
        <v>9</v>
      </c>
      <c r="DQ176" s="51">
        <v>9</v>
      </c>
    </row>
    <row r="177" spans="117:121">
      <c r="DM177" s="49">
        <v>9</v>
      </c>
      <c r="DQ177" s="51">
        <v>9</v>
      </c>
    </row>
    <row r="178" spans="117:121">
      <c r="DM178" s="49">
        <v>9</v>
      </c>
      <c r="DQ178" s="51">
        <v>9</v>
      </c>
    </row>
    <row r="179" spans="117:121">
      <c r="DM179" s="49">
        <v>9</v>
      </c>
      <c r="DQ179" s="51">
        <v>9</v>
      </c>
    </row>
    <row r="180" spans="117:121">
      <c r="DM180" s="49">
        <v>9</v>
      </c>
      <c r="DQ180" s="51">
        <v>9</v>
      </c>
    </row>
    <row r="181" spans="117:121">
      <c r="DM181" s="49">
        <v>10</v>
      </c>
      <c r="DQ181" s="51">
        <v>10</v>
      </c>
    </row>
    <row r="182" spans="117:121">
      <c r="DM182" s="49">
        <v>10</v>
      </c>
      <c r="DQ182" s="51">
        <v>10</v>
      </c>
    </row>
    <row r="183" spans="117:121">
      <c r="DM183" s="49">
        <v>10</v>
      </c>
      <c r="DQ183" s="51">
        <v>10</v>
      </c>
    </row>
    <row r="184" spans="117:121">
      <c r="DM184" s="49">
        <v>10</v>
      </c>
      <c r="DQ184" s="51">
        <v>10</v>
      </c>
    </row>
    <row r="185" spans="117:121">
      <c r="DM185" s="49">
        <v>10</v>
      </c>
      <c r="DQ185" s="51">
        <v>10</v>
      </c>
    </row>
    <row r="186" spans="117:121">
      <c r="DM186" s="49">
        <v>10</v>
      </c>
      <c r="DQ186" s="51">
        <v>10</v>
      </c>
    </row>
    <row r="187" spans="117:121">
      <c r="DM187" s="49">
        <v>10</v>
      </c>
      <c r="DQ187" s="51">
        <v>10</v>
      </c>
    </row>
    <row r="188" spans="117:121">
      <c r="DM188" s="49">
        <v>10</v>
      </c>
      <c r="DQ188" s="51">
        <v>10</v>
      </c>
    </row>
    <row r="189" spans="117:121">
      <c r="DM189" s="49">
        <v>10</v>
      </c>
      <c r="DQ189" s="51">
        <v>10</v>
      </c>
    </row>
    <row r="190" spans="117:121">
      <c r="DM190" s="49">
        <v>10</v>
      </c>
      <c r="DQ190" s="51">
        <v>10</v>
      </c>
    </row>
    <row r="191" spans="117:121">
      <c r="DM191" s="49">
        <v>10</v>
      </c>
      <c r="DQ191" s="51">
        <v>10</v>
      </c>
    </row>
    <row r="192" spans="117:121">
      <c r="DM192" s="49">
        <v>10</v>
      </c>
      <c r="DQ192" s="51">
        <v>11</v>
      </c>
    </row>
    <row r="193" spans="117:121">
      <c r="DM193" s="49">
        <v>10</v>
      </c>
      <c r="DQ193" s="51">
        <v>11</v>
      </c>
    </row>
    <row r="194" spans="117:121">
      <c r="DM194" s="49">
        <v>10</v>
      </c>
      <c r="DQ194" s="51">
        <v>11</v>
      </c>
    </row>
    <row r="195" spans="117:121">
      <c r="DM195" s="49">
        <v>10</v>
      </c>
      <c r="DQ195" s="51">
        <v>11</v>
      </c>
    </row>
    <row r="196" spans="117:121">
      <c r="DM196" s="49">
        <v>10</v>
      </c>
      <c r="DQ196" s="51">
        <v>11</v>
      </c>
    </row>
    <row r="197" spans="117:121">
      <c r="DM197" s="49">
        <v>10</v>
      </c>
      <c r="DQ197" s="51">
        <v>11</v>
      </c>
    </row>
    <row r="198" spans="117:121">
      <c r="DM198" s="49">
        <v>11</v>
      </c>
      <c r="DQ198" s="51">
        <v>11</v>
      </c>
    </row>
    <row r="199" spans="117:121">
      <c r="DM199" s="49">
        <v>11</v>
      </c>
      <c r="DQ199" s="51">
        <v>11</v>
      </c>
    </row>
    <row r="200" spans="117:121">
      <c r="DM200" s="49">
        <v>11</v>
      </c>
      <c r="DQ200" s="51">
        <v>11</v>
      </c>
    </row>
    <row r="201" spans="117:121">
      <c r="DM201" s="49">
        <v>11</v>
      </c>
      <c r="DQ201" s="51">
        <v>12</v>
      </c>
    </row>
    <row r="202" spans="117:121">
      <c r="DM202" s="49">
        <v>11</v>
      </c>
      <c r="DQ202" s="51">
        <v>12</v>
      </c>
    </row>
    <row r="203" spans="117:121">
      <c r="DM203" s="49">
        <v>11</v>
      </c>
      <c r="DQ203" s="51">
        <v>12</v>
      </c>
    </row>
    <row r="204" spans="117:121">
      <c r="DM204" s="49">
        <v>11</v>
      </c>
      <c r="DQ204" s="51">
        <v>12</v>
      </c>
    </row>
    <row r="205" spans="117:121">
      <c r="DM205" s="49">
        <v>11</v>
      </c>
      <c r="DQ205" s="51">
        <v>12</v>
      </c>
    </row>
    <row r="206" spans="117:121">
      <c r="DM206" s="49">
        <v>11</v>
      </c>
      <c r="DQ206" s="51">
        <v>13</v>
      </c>
    </row>
    <row r="207" spans="117:121">
      <c r="DM207" s="49">
        <v>11</v>
      </c>
      <c r="DQ207" s="51">
        <v>13</v>
      </c>
    </row>
    <row r="208" spans="117:121">
      <c r="DM208" s="49">
        <v>12</v>
      </c>
      <c r="DQ208" s="51">
        <v>13</v>
      </c>
    </row>
    <row r="209" spans="117:121">
      <c r="DM209" s="49">
        <v>12</v>
      </c>
      <c r="DQ209" s="51">
        <v>13</v>
      </c>
    </row>
    <row r="210" spans="117:121">
      <c r="DM210" s="49">
        <v>12</v>
      </c>
      <c r="DQ210" s="51">
        <v>13</v>
      </c>
    </row>
    <row r="211" spans="117:121">
      <c r="DM211" s="49">
        <v>12</v>
      </c>
      <c r="DQ211" s="51">
        <v>13</v>
      </c>
    </row>
    <row r="212" spans="117:121">
      <c r="DM212" s="49">
        <v>12</v>
      </c>
      <c r="DQ212" s="51">
        <v>13</v>
      </c>
    </row>
    <row r="213" spans="117:121">
      <c r="DM213" s="49">
        <v>12</v>
      </c>
      <c r="DQ213" s="51">
        <v>13</v>
      </c>
    </row>
    <row r="214" spans="117:121">
      <c r="DM214" s="49">
        <v>12</v>
      </c>
      <c r="DQ214" s="51">
        <v>13</v>
      </c>
    </row>
    <row r="215" spans="117:121">
      <c r="DM215" s="49">
        <v>13</v>
      </c>
      <c r="DQ215" s="51">
        <v>14</v>
      </c>
    </row>
    <row r="216" spans="117:121">
      <c r="DM216" s="49">
        <v>13</v>
      </c>
      <c r="DQ216" s="51">
        <v>14</v>
      </c>
    </row>
    <row r="217" spans="117:121">
      <c r="DM217" s="49">
        <v>13</v>
      </c>
      <c r="DQ217" s="51">
        <v>14</v>
      </c>
    </row>
    <row r="218" spans="117:121">
      <c r="DM218" s="49">
        <v>13</v>
      </c>
      <c r="DQ218" s="51">
        <v>14</v>
      </c>
    </row>
    <row r="219" spans="117:121">
      <c r="DM219" s="49">
        <v>13</v>
      </c>
      <c r="DQ219" s="51">
        <v>14</v>
      </c>
    </row>
    <row r="220" spans="117:121">
      <c r="DM220" s="49">
        <v>13</v>
      </c>
      <c r="DQ220" s="51">
        <v>14</v>
      </c>
    </row>
    <row r="221" spans="117:121">
      <c r="DM221" s="49">
        <v>13</v>
      </c>
      <c r="DQ221" s="51">
        <v>14</v>
      </c>
    </row>
    <row r="222" spans="117:121">
      <c r="DM222" s="49">
        <v>13</v>
      </c>
      <c r="DQ222" s="51">
        <v>14</v>
      </c>
    </row>
    <row r="223" spans="117:121">
      <c r="DM223" s="49">
        <v>13</v>
      </c>
      <c r="DQ223" s="51">
        <v>14</v>
      </c>
    </row>
    <row r="224" spans="117:121">
      <c r="DM224" s="49">
        <v>13</v>
      </c>
      <c r="DQ224" s="51">
        <v>15</v>
      </c>
    </row>
    <row r="225" spans="117:121">
      <c r="DM225" s="49">
        <v>13</v>
      </c>
      <c r="DQ225" s="51">
        <v>15</v>
      </c>
    </row>
    <row r="226" spans="117:121">
      <c r="DM226" s="49">
        <v>13</v>
      </c>
      <c r="DQ226" s="51">
        <v>15</v>
      </c>
    </row>
    <row r="227" spans="117:121">
      <c r="DM227" s="49">
        <v>14</v>
      </c>
      <c r="DQ227" s="51">
        <v>15</v>
      </c>
    </row>
    <row r="228" spans="117:121">
      <c r="DM228" s="49">
        <v>14</v>
      </c>
      <c r="DQ228" s="51">
        <v>16</v>
      </c>
    </row>
    <row r="229" spans="117:121">
      <c r="DM229" s="49">
        <v>14</v>
      </c>
      <c r="DQ229" s="51">
        <v>16</v>
      </c>
    </row>
    <row r="230" spans="117:121">
      <c r="DM230" s="49">
        <v>14</v>
      </c>
      <c r="DQ230" s="51">
        <v>17</v>
      </c>
    </row>
    <row r="231" spans="117:121">
      <c r="DM231" s="49">
        <v>14</v>
      </c>
      <c r="DQ231" s="51">
        <v>17</v>
      </c>
    </row>
    <row r="232" spans="117:121">
      <c r="DM232" s="49">
        <v>14</v>
      </c>
      <c r="DQ232" s="51">
        <v>17</v>
      </c>
    </row>
    <row r="233" spans="117:121">
      <c r="DM233" s="49">
        <v>14</v>
      </c>
      <c r="DQ233" s="51">
        <v>17</v>
      </c>
    </row>
    <row r="234" spans="117:121">
      <c r="DM234" s="49">
        <v>14</v>
      </c>
      <c r="DQ234" s="51">
        <v>17</v>
      </c>
    </row>
    <row r="235" spans="117:121">
      <c r="DM235" s="49">
        <v>14</v>
      </c>
      <c r="DQ235" s="51">
        <v>17</v>
      </c>
    </row>
    <row r="236" spans="117:121">
      <c r="DM236" s="49">
        <v>14</v>
      </c>
      <c r="DQ236" s="51">
        <v>17</v>
      </c>
    </row>
    <row r="237" spans="117:121">
      <c r="DM237" s="49">
        <v>14</v>
      </c>
      <c r="DQ237" s="51">
        <v>17</v>
      </c>
    </row>
    <row r="238" spans="117:121">
      <c r="DM238" s="49">
        <v>14</v>
      </c>
      <c r="DQ238" s="51">
        <v>17</v>
      </c>
    </row>
    <row r="239" spans="117:121">
      <c r="DM239" s="49">
        <v>14</v>
      </c>
    </row>
    <row r="240" spans="117:121">
      <c r="DM240" s="49">
        <v>14</v>
      </c>
    </row>
    <row r="241" spans="117:117">
      <c r="DM241" s="49">
        <v>14</v>
      </c>
    </row>
    <row r="242" spans="117:117">
      <c r="DM242" s="49">
        <v>14</v>
      </c>
    </row>
    <row r="243" spans="117:117">
      <c r="DM243" s="49">
        <v>14</v>
      </c>
    </row>
    <row r="244" spans="117:117">
      <c r="DM244" s="49">
        <v>15</v>
      </c>
    </row>
    <row r="245" spans="117:117">
      <c r="DM245" s="49">
        <v>15</v>
      </c>
    </row>
    <row r="246" spans="117:117">
      <c r="DM246" s="49">
        <v>15</v>
      </c>
    </row>
    <row r="247" spans="117:117">
      <c r="DM247" s="49">
        <v>15</v>
      </c>
    </row>
    <row r="248" spans="117:117">
      <c r="DM248" s="49">
        <v>15</v>
      </c>
    </row>
    <row r="249" spans="117:117">
      <c r="DM249" s="49">
        <v>15</v>
      </c>
    </row>
    <row r="250" spans="117:117">
      <c r="DM250" s="49">
        <v>15</v>
      </c>
    </row>
    <row r="251" spans="117:117">
      <c r="DM251" s="49">
        <v>15</v>
      </c>
    </row>
    <row r="252" spans="117:117">
      <c r="DM252" s="49">
        <v>16</v>
      </c>
    </row>
    <row r="253" spans="117:117">
      <c r="DM253" s="49">
        <v>16</v>
      </c>
    </row>
    <row r="254" spans="117:117">
      <c r="DM254" s="49">
        <v>16</v>
      </c>
    </row>
    <row r="255" spans="117:117">
      <c r="DM255" s="49">
        <v>16</v>
      </c>
    </row>
    <row r="256" spans="117:117">
      <c r="DM256" s="49">
        <v>16</v>
      </c>
    </row>
    <row r="257" spans="117:117">
      <c r="DM257" s="49">
        <v>16</v>
      </c>
    </row>
    <row r="258" spans="117:117">
      <c r="DM258" s="49">
        <v>16</v>
      </c>
    </row>
    <row r="259" spans="117:117">
      <c r="DM259" s="49">
        <v>16</v>
      </c>
    </row>
    <row r="260" spans="117:117">
      <c r="DM260" s="49">
        <v>16</v>
      </c>
    </row>
    <row r="261" spans="117:117">
      <c r="DM261" s="49">
        <v>16</v>
      </c>
    </row>
    <row r="262" spans="117:117">
      <c r="DM262" s="49">
        <v>16</v>
      </c>
    </row>
    <row r="263" spans="117:117">
      <c r="DM263" s="49">
        <v>16</v>
      </c>
    </row>
    <row r="264" spans="117:117">
      <c r="DM264" s="49">
        <v>16</v>
      </c>
    </row>
    <row r="265" spans="117:117">
      <c r="DM265" s="49">
        <v>16</v>
      </c>
    </row>
    <row r="266" spans="117:117">
      <c r="DM266" s="49">
        <v>16</v>
      </c>
    </row>
    <row r="267" spans="117:117">
      <c r="DM267" s="49">
        <v>17</v>
      </c>
    </row>
    <row r="268" spans="117:117">
      <c r="DM268" s="49">
        <v>17</v>
      </c>
    </row>
    <row r="269" spans="117:117">
      <c r="DM269" s="49">
        <v>17</v>
      </c>
    </row>
    <row r="270" spans="117:117">
      <c r="DM270" s="49">
        <v>17</v>
      </c>
    </row>
    <row r="271" spans="117:117">
      <c r="DM271" s="49">
        <v>17</v>
      </c>
    </row>
    <row r="272" spans="117:117">
      <c r="DM272" s="49">
        <v>17</v>
      </c>
    </row>
    <row r="273" spans="117:117">
      <c r="DM273" s="49">
        <v>17</v>
      </c>
    </row>
    <row r="274" spans="117:117">
      <c r="DM274" s="49">
        <v>17</v>
      </c>
    </row>
    <row r="275" spans="117:117">
      <c r="DM275" s="49">
        <v>17</v>
      </c>
    </row>
    <row r="276" spans="117:117">
      <c r="DM276" s="49">
        <v>17</v>
      </c>
    </row>
    <row r="277" spans="117:117">
      <c r="DM277" s="49">
        <v>17</v>
      </c>
    </row>
    <row r="278" spans="117:117">
      <c r="DM278" s="49">
        <v>17</v>
      </c>
    </row>
    <row r="279" spans="117:117">
      <c r="DM279" s="49">
        <v>17</v>
      </c>
    </row>
    <row r="280" spans="117:117">
      <c r="DM280" s="49">
        <v>17</v>
      </c>
    </row>
    <row r="281" spans="117:117">
      <c r="DM281" s="49">
        <v>17</v>
      </c>
    </row>
    <row r="282" spans="117:117">
      <c r="DM282" s="49">
        <v>17</v>
      </c>
    </row>
    <row r="283" spans="117:117">
      <c r="DM283" s="49">
        <v>17</v>
      </c>
    </row>
    <row r="284" spans="117:117">
      <c r="DM284" s="49">
        <v>17</v>
      </c>
    </row>
    <row r="285" spans="117:117">
      <c r="DM285" s="49">
        <v>17</v>
      </c>
    </row>
    <row r="286" spans="117:117">
      <c r="DM286" s="49">
        <v>18</v>
      </c>
    </row>
    <row r="287" spans="117:117">
      <c r="DM287" s="49">
        <v>18</v>
      </c>
    </row>
    <row r="288" spans="117:117">
      <c r="DM288" s="49">
        <v>18</v>
      </c>
    </row>
    <row r="289" spans="117:117">
      <c r="DM289" s="49">
        <v>18</v>
      </c>
    </row>
    <row r="290" spans="117:117">
      <c r="DM290" s="49">
        <v>18</v>
      </c>
    </row>
    <row r="291" spans="117:117">
      <c r="DM291" s="49">
        <v>18</v>
      </c>
    </row>
    <row r="292" spans="117:117">
      <c r="DM292" s="49">
        <v>18</v>
      </c>
    </row>
    <row r="293" spans="117:117">
      <c r="DM293" s="49">
        <v>18</v>
      </c>
    </row>
    <row r="294" spans="117:117">
      <c r="DM294" s="49">
        <v>18</v>
      </c>
    </row>
    <row r="295" spans="117:117">
      <c r="DM295" s="49">
        <v>18</v>
      </c>
    </row>
    <row r="296" spans="117:117">
      <c r="DM296" s="49">
        <v>18</v>
      </c>
    </row>
    <row r="297" spans="117:117">
      <c r="DM297" s="49">
        <v>18</v>
      </c>
    </row>
    <row r="298" spans="117:117">
      <c r="DM298" s="49">
        <v>19</v>
      </c>
    </row>
    <row r="299" spans="117:117">
      <c r="DM299" s="49">
        <v>19</v>
      </c>
    </row>
    <row r="300" spans="117:117">
      <c r="DM300" s="49">
        <v>19</v>
      </c>
    </row>
    <row r="301" spans="117:117">
      <c r="DM301" s="49">
        <v>19</v>
      </c>
    </row>
    <row r="302" spans="117:117">
      <c r="DM302" s="49">
        <v>19</v>
      </c>
    </row>
    <row r="303" spans="117:117">
      <c r="DM303" s="49">
        <v>19</v>
      </c>
    </row>
    <row r="304" spans="117:117">
      <c r="DM304" s="49">
        <v>19</v>
      </c>
    </row>
    <row r="305" spans="117:117">
      <c r="DM305" s="49">
        <v>19</v>
      </c>
    </row>
    <row r="306" spans="117:117">
      <c r="DM306" s="49">
        <v>19</v>
      </c>
    </row>
    <row r="307" spans="117:117">
      <c r="DM307" s="49">
        <v>19</v>
      </c>
    </row>
    <row r="308" spans="117:117">
      <c r="DM308" s="49">
        <v>19</v>
      </c>
    </row>
    <row r="309" spans="117:117">
      <c r="DM309" s="49">
        <v>19</v>
      </c>
    </row>
    <row r="310" spans="117:117">
      <c r="DM310" s="49">
        <v>19</v>
      </c>
    </row>
    <row r="311" spans="117:117">
      <c r="DM311" s="49">
        <v>20</v>
      </c>
    </row>
    <row r="312" spans="117:117">
      <c r="DM312" s="49">
        <v>20</v>
      </c>
    </row>
    <row r="313" spans="117:117">
      <c r="DM313" s="49">
        <v>20</v>
      </c>
    </row>
    <row r="314" spans="117:117">
      <c r="DM314" s="49">
        <v>20</v>
      </c>
    </row>
    <row r="315" spans="117:117">
      <c r="DM315" s="49">
        <v>20</v>
      </c>
    </row>
    <row r="316" spans="117:117">
      <c r="DM316" s="49">
        <v>20</v>
      </c>
    </row>
    <row r="317" spans="117:117">
      <c r="DM317" s="49">
        <v>20</v>
      </c>
    </row>
    <row r="318" spans="117:117">
      <c r="DM318" s="49">
        <v>20</v>
      </c>
    </row>
    <row r="319" spans="117:117">
      <c r="DM319" s="49">
        <v>20</v>
      </c>
    </row>
    <row r="320" spans="117:117">
      <c r="DM320" s="49">
        <v>20</v>
      </c>
    </row>
    <row r="321" spans="117:117">
      <c r="DM321" s="49">
        <v>21</v>
      </c>
    </row>
    <row r="322" spans="117:117">
      <c r="DM322" s="49">
        <v>21</v>
      </c>
    </row>
    <row r="323" spans="117:117">
      <c r="DM323" s="49">
        <v>21</v>
      </c>
    </row>
    <row r="324" spans="117:117">
      <c r="DM324" s="49">
        <v>21</v>
      </c>
    </row>
    <row r="325" spans="117:117">
      <c r="DM325" s="49">
        <v>21</v>
      </c>
    </row>
    <row r="326" spans="117:117">
      <c r="DM326" s="49">
        <v>21</v>
      </c>
    </row>
    <row r="327" spans="117:117">
      <c r="DM327" s="49">
        <v>21</v>
      </c>
    </row>
    <row r="328" spans="117:117">
      <c r="DM328" s="49">
        <v>21</v>
      </c>
    </row>
    <row r="329" spans="117:117">
      <c r="DM329" s="49">
        <v>21</v>
      </c>
    </row>
    <row r="330" spans="117:117">
      <c r="DM330" s="49">
        <v>21</v>
      </c>
    </row>
    <row r="331" spans="117:117">
      <c r="DM331" s="49">
        <v>21</v>
      </c>
    </row>
    <row r="332" spans="117:117">
      <c r="DM332" s="49">
        <v>21</v>
      </c>
    </row>
    <row r="333" spans="117:117">
      <c r="DM333" s="49">
        <v>21</v>
      </c>
    </row>
    <row r="334" spans="117:117">
      <c r="DM334" s="49">
        <v>21</v>
      </c>
    </row>
    <row r="335" spans="117:117">
      <c r="DM335" s="49">
        <v>21</v>
      </c>
    </row>
    <row r="336" spans="117:117">
      <c r="DM336" s="49">
        <v>22</v>
      </c>
    </row>
    <row r="337" spans="117:117">
      <c r="DM337" s="49">
        <v>22</v>
      </c>
    </row>
    <row r="338" spans="117:117">
      <c r="DM338" s="49">
        <v>22</v>
      </c>
    </row>
    <row r="339" spans="117:117">
      <c r="DM339" s="49">
        <v>22</v>
      </c>
    </row>
    <row r="340" spans="117:117">
      <c r="DM340" s="49">
        <v>22</v>
      </c>
    </row>
    <row r="341" spans="117:117">
      <c r="DM341" s="49">
        <v>22</v>
      </c>
    </row>
    <row r="342" spans="117:117">
      <c r="DM342" s="49">
        <v>22</v>
      </c>
    </row>
    <row r="343" spans="117:117">
      <c r="DM343" s="49">
        <v>22</v>
      </c>
    </row>
    <row r="344" spans="117:117">
      <c r="DM344" s="49">
        <v>22</v>
      </c>
    </row>
    <row r="345" spans="117:117">
      <c r="DM345" s="49">
        <v>23</v>
      </c>
    </row>
    <row r="346" spans="117:117">
      <c r="DM346" s="49">
        <v>23</v>
      </c>
    </row>
    <row r="347" spans="117:117">
      <c r="DM347" s="49">
        <v>23</v>
      </c>
    </row>
    <row r="348" spans="117:117">
      <c r="DM348" s="49">
        <v>23</v>
      </c>
    </row>
    <row r="349" spans="117:117">
      <c r="DM349" s="49">
        <v>23</v>
      </c>
    </row>
    <row r="350" spans="117:117">
      <c r="DM350" s="49">
        <v>23</v>
      </c>
    </row>
    <row r="351" spans="117:117">
      <c r="DM351" s="49">
        <v>23</v>
      </c>
    </row>
    <row r="352" spans="117:117">
      <c r="DM352" s="49">
        <v>23</v>
      </c>
    </row>
    <row r="353" spans="117:117">
      <c r="DM353" s="49">
        <v>23</v>
      </c>
    </row>
    <row r="354" spans="117:117">
      <c r="DM354" s="49">
        <v>24</v>
      </c>
    </row>
    <row r="355" spans="117:117">
      <c r="DM355" s="49">
        <v>24</v>
      </c>
    </row>
    <row r="356" spans="117:117">
      <c r="DM356" s="49">
        <v>24</v>
      </c>
    </row>
    <row r="357" spans="117:117">
      <c r="DM357" s="49">
        <v>25</v>
      </c>
    </row>
    <row r="358" spans="117:117">
      <c r="DM358" s="49">
        <v>25</v>
      </c>
    </row>
    <row r="359" spans="117:117">
      <c r="DM359" s="49">
        <v>25</v>
      </c>
    </row>
    <row r="360" spans="117:117">
      <c r="DM360" s="49">
        <v>25</v>
      </c>
    </row>
    <row r="361" spans="117:117">
      <c r="DM361" s="49">
        <v>25</v>
      </c>
    </row>
    <row r="362" spans="117:117">
      <c r="DM362" s="49">
        <v>25</v>
      </c>
    </row>
    <row r="363" spans="117:117">
      <c r="DM363" s="49">
        <v>25</v>
      </c>
    </row>
    <row r="364" spans="117:117">
      <c r="DM364" s="49">
        <v>26</v>
      </c>
    </row>
    <row r="365" spans="117:117">
      <c r="DM365" s="49">
        <v>26</v>
      </c>
    </row>
    <row r="366" spans="117:117">
      <c r="DM366" s="49">
        <v>26</v>
      </c>
    </row>
    <row r="367" spans="117:117">
      <c r="DM367" s="49">
        <v>28</v>
      </c>
    </row>
  </sheetData>
  <sheetProtection algorithmName="SHA-512" hashValue="ThRDbZPh+0M9QffodFMqwXpg9af498d4f4IbXuYzGy4w+ncOQJDlJsXUY+sqYDfWAA0RnpUoWsf2MzgssFatvw==" saltValue="XoswGynS0+QWoAQ6Xetebw==" spinCount="100000" sheet="1" objects="1" scenarios="1" selectLockedCells="1"/>
  <mergeCells count="8">
    <mergeCell ref="A2:A33"/>
    <mergeCell ref="DT3:DU3"/>
    <mergeCell ref="DV1:EG1"/>
    <mergeCell ref="EV6:EV7"/>
    <mergeCell ref="EN1:ER1"/>
    <mergeCell ref="EI1:EM1"/>
    <mergeCell ref="DR1:DU1"/>
    <mergeCell ref="EV3:EV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N367"/>
  <sheetViews>
    <sheetView zoomScale="70" zoomScaleNormal="70" workbookViewId="0">
      <selection activeCell="FL5" sqref="FL5"/>
    </sheetView>
  </sheetViews>
  <sheetFormatPr defaultRowHeight="13.8"/>
  <cols>
    <col min="2" max="2" width="7.234375" bestFit="1" customWidth="1"/>
    <col min="3" max="3" width="3.6171875" bestFit="1" customWidth="1"/>
    <col min="4" max="7" width="11.85546875" bestFit="1" customWidth="1"/>
    <col min="8" max="8" width="9.76171875" bestFit="1" customWidth="1"/>
    <col min="9" max="9" width="11.85546875" bestFit="1" customWidth="1"/>
    <col min="10" max="10" width="10.85546875" bestFit="1" customWidth="1"/>
    <col min="11" max="11" width="11.85546875" bestFit="1" customWidth="1"/>
    <col min="12" max="12" width="1.6171875" style="49" customWidth="1"/>
    <col min="13" max="13" width="7.140625" customWidth="1"/>
    <col min="14" max="14" width="3.6171875" bestFit="1" customWidth="1"/>
    <col min="15" max="15" width="6.47265625" bestFit="1" customWidth="1"/>
    <col min="16" max="16" width="9.76171875" bestFit="1" customWidth="1"/>
    <col min="17" max="18" width="8.76171875" bestFit="1" customWidth="1"/>
    <col min="19" max="22" width="8.76171875" customWidth="1"/>
    <col min="23" max="23" width="1.6171875" style="49" customWidth="1"/>
    <col min="24" max="24" width="7.140625" bestFit="1" customWidth="1"/>
    <col min="25" max="25" width="3.140625" bestFit="1" customWidth="1"/>
    <col min="26" max="26" width="6.47265625" bestFit="1" customWidth="1"/>
    <col min="27" max="27" width="13" bestFit="1" customWidth="1"/>
    <col min="28" max="28" width="8.76171875" bestFit="1" customWidth="1"/>
    <col min="29" max="29" width="6.37890625" bestFit="1" customWidth="1"/>
    <col min="30" max="33" width="6.37890625" customWidth="1"/>
    <col min="34" max="34" width="1.6171875" style="49" customWidth="1"/>
    <col min="35" max="35" width="8.140625" bestFit="1" customWidth="1"/>
    <col min="36" max="36" width="3.140625" bestFit="1" customWidth="1"/>
    <col min="37" max="37" width="7.140625" bestFit="1" customWidth="1"/>
    <col min="38" max="38" width="13.47265625" bestFit="1" customWidth="1"/>
    <col min="39" max="39" width="8.76171875" bestFit="1" customWidth="1"/>
    <col min="40" max="40" width="3.140625" customWidth="1"/>
    <col min="41" max="41" width="9.76171875" bestFit="1" customWidth="1"/>
    <col min="42" max="42" width="10.47265625" bestFit="1" customWidth="1"/>
    <col min="43" max="44" width="8" customWidth="1"/>
    <col min="45" max="45" width="1.6171875" style="49" customWidth="1"/>
    <col min="46" max="46" width="4.140625" bestFit="1" customWidth="1"/>
    <col min="47" max="47" width="3.140625" bestFit="1" customWidth="1"/>
    <col min="48" max="48" width="7.140625" bestFit="1" customWidth="1"/>
    <col min="49" max="49" width="13.47265625" bestFit="1" customWidth="1"/>
    <col min="50" max="51" width="3.140625" customWidth="1"/>
    <col min="52" max="52" width="1.6171875" style="49" customWidth="1"/>
    <col min="53" max="53" width="8.234375" bestFit="1" customWidth="1"/>
    <col min="54" max="54" width="3.140625" bestFit="1" customWidth="1"/>
    <col min="55" max="55" width="7.140625" bestFit="1" customWidth="1"/>
    <col min="56" max="56" width="13.47265625" bestFit="1" customWidth="1"/>
    <col min="57" max="58" width="3.140625" customWidth="1"/>
    <col min="59" max="59" width="1.76171875" style="49" customWidth="1"/>
    <col min="60" max="60" width="5.234375" bestFit="1" customWidth="1"/>
    <col min="61" max="61" width="3.140625" bestFit="1" customWidth="1"/>
    <col min="62" max="62" width="7.140625" bestFit="1" customWidth="1"/>
    <col min="63" max="63" width="13.47265625" bestFit="1" customWidth="1"/>
    <col min="64" max="65" width="3.140625" customWidth="1"/>
    <col min="66" max="66" width="1.6171875" style="49" customWidth="1"/>
    <col min="67" max="67" width="7.6171875" bestFit="1" customWidth="1"/>
    <col min="68" max="68" width="3.140625" bestFit="1" customWidth="1"/>
    <col min="69" max="69" width="7.140625" bestFit="1" customWidth="1"/>
    <col min="70" max="70" width="13.47265625" bestFit="1" customWidth="1"/>
    <col min="71" max="71" width="2.76171875" customWidth="1"/>
    <col min="72" max="72" width="3.140625" customWidth="1"/>
    <col min="73" max="73" width="1.6171875" style="49" customWidth="1"/>
    <col min="74" max="74" width="8.234375" bestFit="1" customWidth="1"/>
    <col min="75" max="75" width="3.140625" bestFit="1" customWidth="1"/>
    <col min="76" max="77" width="13.47265625" bestFit="1" customWidth="1"/>
    <col min="78" max="78" width="8.76171875" bestFit="1" customWidth="1"/>
    <col min="79" max="79" width="6.37890625" bestFit="1" customWidth="1"/>
    <col min="80" max="83" width="6.37890625" customWidth="1"/>
    <col min="84" max="84" width="1.6171875" style="49" customWidth="1"/>
    <col min="85" max="85" width="10.140625" bestFit="1" customWidth="1"/>
    <col min="86" max="86" width="3.140625" bestFit="1" customWidth="1"/>
    <col min="87" max="87" width="7.140625" bestFit="1" customWidth="1"/>
    <col min="88" max="88" width="13.47265625" bestFit="1" customWidth="1"/>
    <col min="89" max="89" width="8.76171875" bestFit="1" customWidth="1"/>
    <col min="90" max="90" width="6.37890625" bestFit="1" customWidth="1"/>
    <col min="91" max="94" width="6.37890625" customWidth="1"/>
    <col min="95" max="95" width="1.6171875" style="49" customWidth="1"/>
    <col min="96" max="96" width="7.47265625" bestFit="1" customWidth="1"/>
    <col min="97" max="97" width="3.140625" bestFit="1" customWidth="1"/>
    <col min="98" max="98" width="6.47265625" bestFit="1" customWidth="1"/>
    <col min="99" max="99" width="13" bestFit="1" customWidth="1"/>
    <col min="100" max="100" width="9.76171875" bestFit="1" customWidth="1"/>
    <col min="101" max="101" width="6.37890625" bestFit="1" customWidth="1"/>
    <col min="102" max="105" width="6.37890625" customWidth="1"/>
    <col min="106" max="106" width="1.6171875" style="49" customWidth="1"/>
    <col min="107" max="107" width="7.85546875" bestFit="1" customWidth="1"/>
    <col min="108" max="108" width="3.6171875" bestFit="1" customWidth="1"/>
    <col min="109" max="109" width="6.47265625" bestFit="1" customWidth="1"/>
    <col min="110" max="110" width="13" bestFit="1" customWidth="1"/>
    <col min="111" max="111" width="8.76171875" bestFit="1" customWidth="1"/>
    <col min="112" max="114" width="7.37890625" customWidth="1"/>
    <col min="117" max="117" width="9" style="49"/>
    <col min="118" max="118" width="9" style="101"/>
    <col min="121" max="121" width="9" style="51"/>
    <col min="132" max="132" width="4.234375" customWidth="1"/>
    <col min="133" max="133" width="16" bestFit="1" customWidth="1"/>
    <col min="134" max="134" width="13.140625" customWidth="1"/>
    <col min="135" max="135" width="6" customWidth="1"/>
    <col min="136" max="136" width="16" bestFit="1" customWidth="1"/>
    <col min="137" max="137" width="13.140625" customWidth="1"/>
    <col min="141" max="141" width="10.140625" bestFit="1" customWidth="1"/>
    <col min="146" max="146" width="4.234375" customWidth="1"/>
    <col min="147" max="147" width="16" bestFit="1" customWidth="1"/>
    <col min="148" max="148" width="13.140625" customWidth="1"/>
    <col min="160" max="160" width="12.6171875" bestFit="1" customWidth="1"/>
    <col min="161" max="161" width="12.6171875" customWidth="1"/>
    <col min="162" max="163" width="10.76171875" customWidth="1"/>
    <col min="164" max="164" width="1.47265625" customWidth="1"/>
    <col min="165" max="165" width="0.47265625" customWidth="1"/>
    <col min="166" max="166" width="9.234375" bestFit="1" customWidth="1"/>
    <col min="167" max="167" width="4.140625" customWidth="1"/>
    <col min="168" max="168" width="11" customWidth="1"/>
    <col min="169" max="169" width="10.85546875" customWidth="1"/>
  </cols>
  <sheetData>
    <row r="1" spans="1:17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M1" s="53">
        <v>2012</v>
      </c>
      <c r="DQ1" s="51" t="s">
        <v>121</v>
      </c>
      <c r="DR1" s="167" t="s">
        <v>182</v>
      </c>
      <c r="DS1" s="167"/>
      <c r="DT1" s="167"/>
      <c r="DU1" s="167"/>
      <c r="DV1" s="165" t="s">
        <v>180</v>
      </c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I1" s="167" t="s">
        <v>124</v>
      </c>
      <c r="EJ1" s="167"/>
      <c r="EK1" s="167"/>
      <c r="EL1" s="167"/>
      <c r="EM1" s="167"/>
      <c r="EN1" s="165" t="s">
        <v>180</v>
      </c>
      <c r="EO1" s="165"/>
      <c r="EP1" s="165"/>
      <c r="EQ1" s="165"/>
      <c r="ER1" s="165"/>
    </row>
    <row r="2" spans="1:170">
      <c r="A2" s="162" t="s">
        <v>107</v>
      </c>
      <c r="B2" t="s">
        <v>108</v>
      </c>
      <c r="C2" t="s">
        <v>109</v>
      </c>
      <c r="D2" t="s">
        <v>231</v>
      </c>
      <c r="E2" t="s">
        <v>229</v>
      </c>
      <c r="F2" t="s">
        <v>222</v>
      </c>
      <c r="G2" t="s">
        <v>230</v>
      </c>
      <c r="H2" t="s">
        <v>237</v>
      </c>
      <c r="I2" t="s">
        <v>240</v>
      </c>
      <c r="J2" t="s">
        <v>222</v>
      </c>
      <c r="K2" t="s">
        <v>230</v>
      </c>
      <c r="M2" t="s">
        <v>110</v>
      </c>
      <c r="N2" t="s">
        <v>109</v>
      </c>
      <c r="O2" t="s">
        <v>231</v>
      </c>
      <c r="P2" t="s">
        <v>229</v>
      </c>
      <c r="Q2" t="s">
        <v>222</v>
      </c>
      <c r="R2" t="s">
        <v>230</v>
      </c>
      <c r="S2" t="s">
        <v>237</v>
      </c>
      <c r="T2" t="s">
        <v>240</v>
      </c>
      <c r="U2" t="s">
        <v>222</v>
      </c>
      <c r="V2" t="s">
        <v>230</v>
      </c>
      <c r="X2" t="s">
        <v>111</v>
      </c>
      <c r="Y2" t="s">
        <v>109</v>
      </c>
      <c r="Z2" t="s">
        <v>231</v>
      </c>
      <c r="AA2" t="s">
        <v>229</v>
      </c>
      <c r="AB2" t="s">
        <v>222</v>
      </c>
      <c r="AC2" t="s">
        <v>230</v>
      </c>
      <c r="AD2" t="s">
        <v>237</v>
      </c>
      <c r="AE2" t="s">
        <v>240</v>
      </c>
      <c r="AF2" t="s">
        <v>222</v>
      </c>
      <c r="AG2" t="s">
        <v>230</v>
      </c>
      <c r="AI2" t="s">
        <v>112</v>
      </c>
      <c r="AJ2" t="s">
        <v>109</v>
      </c>
      <c r="AK2" t="s">
        <v>231</v>
      </c>
      <c r="AL2" t="s">
        <v>229</v>
      </c>
      <c r="AM2" t="s">
        <v>222</v>
      </c>
      <c r="AN2" t="s">
        <v>230</v>
      </c>
      <c r="AO2" t="s">
        <v>237</v>
      </c>
      <c r="AP2" t="s">
        <v>240</v>
      </c>
      <c r="AQ2" t="s">
        <v>222</v>
      </c>
      <c r="AR2" t="s">
        <v>230</v>
      </c>
      <c r="AT2" t="s">
        <v>113</v>
      </c>
      <c r="AU2" t="s">
        <v>109</v>
      </c>
      <c r="BA2" t="s">
        <v>114</v>
      </c>
      <c r="BB2" t="s">
        <v>109</v>
      </c>
      <c r="BH2" t="s">
        <v>115</v>
      </c>
      <c r="BI2" t="s">
        <v>109</v>
      </c>
      <c r="BO2" t="s">
        <v>116</v>
      </c>
      <c r="BP2" t="s">
        <v>109</v>
      </c>
      <c r="BV2" t="s">
        <v>117</v>
      </c>
      <c r="BW2" t="s">
        <v>109</v>
      </c>
      <c r="BX2" t="s">
        <v>231</v>
      </c>
      <c r="BY2" t="s">
        <v>229</v>
      </c>
      <c r="BZ2" t="s">
        <v>222</v>
      </c>
      <c r="CA2" t="s">
        <v>230</v>
      </c>
      <c r="CB2" t="s">
        <v>237</v>
      </c>
      <c r="CC2" t="s">
        <v>240</v>
      </c>
      <c r="CD2" t="s">
        <v>222</v>
      </c>
      <c r="CE2" t="s">
        <v>230</v>
      </c>
      <c r="CG2" t="s">
        <v>118</v>
      </c>
      <c r="CH2" t="s">
        <v>109</v>
      </c>
      <c r="CI2" t="s">
        <v>231</v>
      </c>
      <c r="CJ2" t="s">
        <v>229</v>
      </c>
      <c r="CK2" t="s">
        <v>222</v>
      </c>
      <c r="CL2" t="s">
        <v>230</v>
      </c>
      <c r="CM2" t="s">
        <v>237</v>
      </c>
      <c r="CN2" t="s">
        <v>240</v>
      </c>
      <c r="CO2" t="s">
        <v>222</v>
      </c>
      <c r="CP2" t="s">
        <v>230</v>
      </c>
      <c r="CR2" t="s">
        <v>119</v>
      </c>
      <c r="CS2" t="s">
        <v>109</v>
      </c>
      <c r="CT2" t="s">
        <v>231</v>
      </c>
      <c r="CU2" t="s">
        <v>229</v>
      </c>
      <c r="CV2" t="s">
        <v>222</v>
      </c>
      <c r="CW2" t="s">
        <v>230</v>
      </c>
      <c r="CX2" t="s">
        <v>237</v>
      </c>
      <c r="CY2" t="s">
        <v>240</v>
      </c>
      <c r="CZ2" t="s">
        <v>222</v>
      </c>
      <c r="DA2" t="s">
        <v>230</v>
      </c>
      <c r="DC2" t="s">
        <v>120</v>
      </c>
      <c r="DD2" t="s">
        <v>109</v>
      </c>
      <c r="DE2" t="s">
        <v>231</v>
      </c>
      <c r="DF2" t="s">
        <v>229</v>
      </c>
      <c r="DG2" t="s">
        <v>222</v>
      </c>
      <c r="DH2" t="s">
        <v>230</v>
      </c>
      <c r="DI2" t="s">
        <v>237</v>
      </c>
      <c r="DJ2" t="s">
        <v>240</v>
      </c>
      <c r="DK2" t="s">
        <v>222</v>
      </c>
      <c r="DL2" t="s">
        <v>230</v>
      </c>
      <c r="DM2" s="49">
        <v>-18</v>
      </c>
      <c r="DQ2" s="51">
        <v>-18</v>
      </c>
      <c r="DR2" s="50" t="s">
        <v>122</v>
      </c>
      <c r="DS2" s="50" t="s">
        <v>123</v>
      </c>
      <c r="DT2" s="87">
        <v>55</v>
      </c>
      <c r="DU2" s="88">
        <v>35</v>
      </c>
      <c r="DV2" s="97">
        <v>55</v>
      </c>
      <c r="DW2" s="97">
        <v>55</v>
      </c>
      <c r="DX2" s="97">
        <v>55</v>
      </c>
      <c r="DY2" s="98">
        <v>35</v>
      </c>
      <c r="DZ2" s="98">
        <v>35</v>
      </c>
      <c r="EA2" s="98">
        <v>35</v>
      </c>
      <c r="EB2" s="97">
        <v>55</v>
      </c>
      <c r="EC2" s="97">
        <v>55</v>
      </c>
      <c r="ED2" s="97">
        <v>55</v>
      </c>
      <c r="EE2" s="98">
        <v>35</v>
      </c>
      <c r="EF2" s="98">
        <v>35</v>
      </c>
      <c r="EG2" s="98">
        <v>35</v>
      </c>
      <c r="EI2" s="100" t="s">
        <v>122</v>
      </c>
      <c r="EJ2" s="100"/>
      <c r="EK2" s="100" t="s">
        <v>123</v>
      </c>
      <c r="EL2" s="97">
        <v>55</v>
      </c>
      <c r="EM2" s="97">
        <v>55</v>
      </c>
      <c r="EN2" s="97">
        <v>55</v>
      </c>
      <c r="EO2" s="97">
        <v>55</v>
      </c>
      <c r="EP2" s="97">
        <v>55</v>
      </c>
      <c r="EQ2" s="97">
        <v>55</v>
      </c>
      <c r="ER2" s="97">
        <v>55</v>
      </c>
      <c r="FA2" t="s">
        <v>179</v>
      </c>
      <c r="FB2" t="s">
        <v>179</v>
      </c>
      <c r="FD2" t="s">
        <v>190</v>
      </c>
      <c r="FE2" t="s">
        <v>190</v>
      </c>
      <c r="FF2" t="s">
        <v>134</v>
      </c>
      <c r="FG2" t="s">
        <v>134</v>
      </c>
      <c r="FJ2" t="s">
        <v>83</v>
      </c>
      <c r="FL2" t="s">
        <v>189</v>
      </c>
      <c r="FN2" t="s">
        <v>192</v>
      </c>
    </row>
    <row r="3" spans="1:170" ht="14.1">
      <c r="A3" s="162"/>
      <c r="B3">
        <v>1</v>
      </c>
      <c r="C3">
        <v>1</v>
      </c>
      <c r="D3" s="84">
        <f>(C3*'Dane dla CO'!$AB$53+'Dane dla CO'!$AD$53)/(C3*'Dane dla CO'!$P$35+'Dane dla CO'!$Q$35)</f>
        <v>1.2191358024691357</v>
      </c>
      <c r="E3" s="84">
        <f>C3*'Dane dla CO'!$N$96+'Dane dla CO'!$N$97</f>
        <v>108.00000000000001</v>
      </c>
      <c r="F3" s="84">
        <f>IF(C3&lt;'Dane dla CO'!$Z$67,0,IF(D3&gt;1,E3,D3*E3))</f>
        <v>108.00000000000001</v>
      </c>
      <c r="G3" s="84">
        <f>E3-F3</f>
        <v>0</v>
      </c>
      <c r="H3" s="84">
        <f>(C3*'Dane dla CWU'!$AB$53+'Dane dla CWU'!$AD$53)/(C3*'Dane dla CO'!$P$35+'Dane dla CO'!$Q$35)</f>
        <v>1.1471193415637859</v>
      </c>
      <c r="I3" s="84">
        <f>$E$42/365</f>
        <v>10.319026666666666</v>
      </c>
      <c r="J3" s="84">
        <f>IF(C3&lt;'Dane dla CWU'!$Z$67,0,IF(H3&gt;1,I3,H3*I3))</f>
        <v>0</v>
      </c>
      <c r="K3" s="84">
        <f>I3-J3</f>
        <v>10.319026666666666</v>
      </c>
      <c r="M3">
        <v>1</v>
      </c>
      <c r="N3">
        <v>-14</v>
      </c>
      <c r="O3">
        <f>(N3*'Dane dla CO'!$AB$53+'Dane dla CO'!$AD$53)/(N3*'Dane dla CO'!$P$35+'Dane dla CO'!$Q$35)</f>
        <v>0.53267347807577692</v>
      </c>
      <c r="P3">
        <f>N3*'Dane dla CO'!$N$96+'Dane dla CO'!$N$97</f>
        <v>216.00000000000003</v>
      </c>
      <c r="Q3">
        <f>IF(N3&lt;'Dane dla CO'!$Z$67,0,IF(O3&gt;1,P3,O3*P3))</f>
        <v>0</v>
      </c>
      <c r="R3">
        <f>P3-Q3</f>
        <v>216.00000000000003</v>
      </c>
      <c r="S3" s="84">
        <f>(N3*'Dane dla CWU'!$AB$53+'Dane dla CWU'!$AD$53)/(N3*'Dane dla CO'!$P$35+'Dane dla CO'!$Q$35)</f>
        <v>0.31165744288349645</v>
      </c>
      <c r="T3" s="84">
        <f>$E$42/365</f>
        <v>10.319026666666666</v>
      </c>
      <c r="U3" s="84">
        <f>IF(N3&lt;'Dane dla CWU'!$Z$67,0,IF(S3&gt;1,T3,S3*T3))</f>
        <v>0</v>
      </c>
      <c r="V3" s="84">
        <f>T3-U3</f>
        <v>10.319026666666666</v>
      </c>
      <c r="X3">
        <v>1</v>
      </c>
      <c r="Y3">
        <v>7</v>
      </c>
      <c r="Z3">
        <f>(Y3*'Dane dla CO'!$AB$53+'Dane dla CO'!$AD$53)/(Y3*'Dane dla CO'!$P$35+'Dane dla CO'!$Q$35)</f>
        <v>2.2145061728395059</v>
      </c>
      <c r="AA3">
        <f>Y3*'Dane dla CO'!$N$96+'Dane dla CO'!$N$97</f>
        <v>64.800000000000011</v>
      </c>
      <c r="AB3">
        <f>IF(Y3&lt;'Dane dla CO'!$Z$67,0,IF(Z3&gt;1,AA3,Z3*AA3))</f>
        <v>64.800000000000011</v>
      </c>
      <c r="AC3">
        <f>AA3-AB3</f>
        <v>0</v>
      </c>
      <c r="AD3" s="84">
        <f>(Y3*'Dane dla CWU'!$AB$53+'Dane dla CWU'!$AD$53)/(Y3*'Dane dla CO'!$P$35+'Dane dla CO'!$Q$35)</f>
        <v>2.3585390946502054</v>
      </c>
      <c r="AE3" s="84">
        <f>$E$42/365</f>
        <v>10.319026666666666</v>
      </c>
      <c r="AF3" s="84">
        <f>IF(Y3&lt;'Dane dla CWU'!$Z$67,0,IF(AD3&gt;1,AE3,AD3*AE3))</f>
        <v>0</v>
      </c>
      <c r="AG3" s="84">
        <f>AE3-AF3</f>
        <v>10.319026666666666</v>
      </c>
      <c r="AI3">
        <v>1</v>
      </c>
      <c r="AJ3">
        <v>3</v>
      </c>
      <c r="AK3">
        <f>(AJ3*'Dane dla CO'!$AB$53+'Dane dla CO'!$AD$53)/(AJ3*'Dane dla CO'!$P$35+'Dane dla CO'!$Q$35)</f>
        <v>1.4403292181069955</v>
      </c>
      <c r="AL3">
        <f>AJ3*'Dane dla CO'!$N$96+'Dane dla CO'!$N$97</f>
        <v>93.600000000000023</v>
      </c>
      <c r="AM3">
        <f>IF(AJ3&lt;'Dane dla CO'!$Z$67,0,IF(AK3&gt;1,AL3,AK3*AL3))</f>
        <v>93.600000000000023</v>
      </c>
      <c r="AN3">
        <f>AL3-AM3</f>
        <v>0</v>
      </c>
      <c r="AO3" s="84">
        <f>(AJ3*'Dane dla CWU'!$AB$53+'Dane dla CWU'!$AD$53)/(AJ3*'Dane dla CO'!$P$35+'Dane dla CO'!$Q$35)</f>
        <v>1.4163237311385457</v>
      </c>
      <c r="AP3" s="84">
        <f>$E$42/365</f>
        <v>10.319026666666666</v>
      </c>
      <c r="AQ3" s="84">
        <f>IF(AJ3&lt;'Dane dla CWU'!$Z$67,0,IF(AO3&gt;1,AP3,AO3*AP3))</f>
        <v>0</v>
      </c>
      <c r="AR3" s="84">
        <f>AP3-AQ3</f>
        <v>10.319026666666666</v>
      </c>
      <c r="AT3">
        <v>1</v>
      </c>
      <c r="AU3">
        <v>21</v>
      </c>
      <c r="BA3">
        <v>1</v>
      </c>
      <c r="BB3">
        <v>14</v>
      </c>
      <c r="BH3">
        <v>1</v>
      </c>
      <c r="BI3">
        <v>28</v>
      </c>
      <c r="BO3">
        <v>1</v>
      </c>
      <c r="BP3">
        <v>21</v>
      </c>
      <c r="BV3">
        <v>1</v>
      </c>
      <c r="BW3">
        <v>17</v>
      </c>
      <c r="CB3" s="84"/>
      <c r="CC3" s="84">
        <f>$E$42/365</f>
        <v>10.319026666666666</v>
      </c>
      <c r="CD3" s="84">
        <f>CC3</f>
        <v>10.319026666666666</v>
      </c>
      <c r="CE3" s="84">
        <f>CC3-CD3</f>
        <v>0</v>
      </c>
      <c r="CG3">
        <v>1</v>
      </c>
      <c r="CH3">
        <v>11</v>
      </c>
      <c r="CI3">
        <f>(CH3*'Dane dla CO'!$AB$53+'Dane dla CO'!$AD$53)/(CH3*'Dane dla CO'!$P$35+'Dane dla CO'!$Q$35)</f>
        <v>4.5370370370370363</v>
      </c>
      <c r="CJ3">
        <f>CH3*'Dane dla CO'!$N$96+'Dane dla CO'!$N$97</f>
        <v>36</v>
      </c>
      <c r="CK3">
        <f>IF(CH3&lt;'Dane dla CO'!$Z$67,0,IF(CI3&gt;1,CJ3,CI3*CJ3))</f>
        <v>36</v>
      </c>
      <c r="CL3">
        <f>CJ3-CK3</f>
        <v>0</v>
      </c>
      <c r="CM3" s="84">
        <f>(CH3*'Dane dla CWU'!$AB$53+'Dane dla CWU'!$AD$53)/(CH3*'Dane dla CO'!$P$35+'Dane dla CO'!$Q$35)</f>
        <v>5.1851851851851842</v>
      </c>
      <c r="CN3" s="84">
        <f t="shared" ref="CN3:CN33" si="0">$E$42/365</f>
        <v>10.319026666666666</v>
      </c>
      <c r="CO3" s="84">
        <f>IF(CH3&lt;'Dane dla CWU'!$Z$67,0,IF(CM3&gt;1,CN3,CM3*CN3))</f>
        <v>10.319026666666666</v>
      </c>
      <c r="CP3" s="84">
        <f t="shared" ref="CP3:CP33" si="1">CN3-CO3</f>
        <v>0</v>
      </c>
      <c r="CR3">
        <v>1</v>
      </c>
      <c r="CS3">
        <v>3</v>
      </c>
      <c r="CT3">
        <f>(CS3*'Dane dla CO'!$AB$53+'Dane dla CO'!$AD$53)/(CS3*'Dane dla CO'!$P$35+'Dane dla CO'!$Q$35)</f>
        <v>1.4403292181069955</v>
      </c>
      <c r="CU3">
        <f>CS3*'Dane dla CO'!$N$96+'Dane dla CO'!$N$97</f>
        <v>93.600000000000023</v>
      </c>
      <c r="CV3">
        <f>IF(CS3&lt;'Dane dla CO'!$Z$67,0,IF(CT3&gt;1,CU3,CT3*CU3))</f>
        <v>93.600000000000023</v>
      </c>
      <c r="CW3">
        <f>CU3-CV3</f>
        <v>0</v>
      </c>
      <c r="CX3" s="84">
        <f>(CS3*'Dane dla CWU'!$AB$53+'Dane dla CWU'!$AD$53)/(CS3*'Dane dla CO'!$P$35+'Dane dla CO'!$Q$35)</f>
        <v>1.4163237311385457</v>
      </c>
      <c r="CY3" s="84">
        <f t="shared" ref="CY3:CY32" si="2">$E$42/365</f>
        <v>10.319026666666666</v>
      </c>
      <c r="CZ3" s="84">
        <f>IF(CS3&lt;'Dane dla CWU'!$Z$67,0,IF(CX3&gt;1,CY3,CX3*CY3))</f>
        <v>0</v>
      </c>
      <c r="DA3" s="84">
        <f t="shared" ref="DA3:DA32" si="3">CY3-CZ3</f>
        <v>10.319026666666666</v>
      </c>
      <c r="DC3">
        <v>1</v>
      </c>
      <c r="DD3">
        <v>1</v>
      </c>
      <c r="DE3">
        <f>(DD3*'Dane dla CO'!$AB$53+'Dane dla CO'!$AD$53)/(DD3*'Dane dla CO'!$P$35+'Dane dla CO'!$Q$35)</f>
        <v>1.2191358024691357</v>
      </c>
      <c r="DF3">
        <f>DD3*'Dane dla CO'!$N$96+'Dane dla CO'!$N$97</f>
        <v>108.00000000000001</v>
      </c>
      <c r="DG3">
        <f>IF(DD3&lt;'Dane dla CO'!$Z$67,0,IF(DE3&gt;1,DF3,DE3*DF3))</f>
        <v>108.00000000000001</v>
      </c>
      <c r="DH3">
        <f>DF3-DG3</f>
        <v>0</v>
      </c>
      <c r="DI3" s="84">
        <f>(DD3*'Dane dla CWU'!$AB$53+'Dane dla CWU'!$AD$53)/(DD3*'Dane dla CO'!$P$35+'Dane dla CO'!$Q$35)</f>
        <v>1.1471193415637859</v>
      </c>
      <c r="DJ3" s="84">
        <f t="shared" ref="DJ3:DJ33" si="4">$E$42/365</f>
        <v>10.319026666666666</v>
      </c>
      <c r="DK3" s="84">
        <f>IF(DD3&lt;'Dane dla CWU'!$Z$67,0,IF(DI3&gt;1,DJ3,DI3*DJ3))</f>
        <v>0</v>
      </c>
      <c r="DL3" s="84">
        <f t="shared" ref="DL3:DL33" si="5">DJ3-DK3</f>
        <v>10.319026666666666</v>
      </c>
      <c r="DM3" s="49">
        <v>-16</v>
      </c>
      <c r="DN3" s="101" t="s">
        <v>61</v>
      </c>
      <c r="DO3" t="s">
        <v>57</v>
      </c>
      <c r="DP3" t="s">
        <v>61</v>
      </c>
      <c r="DQ3" s="51">
        <v>-16</v>
      </c>
      <c r="DR3" s="91"/>
      <c r="DS3" s="91"/>
      <c r="DT3" s="163" t="s">
        <v>156</v>
      </c>
      <c r="DU3" s="164"/>
      <c r="DV3" s="91" t="s">
        <v>177</v>
      </c>
      <c r="DW3" s="91" t="s">
        <v>178</v>
      </c>
      <c r="DX3" s="91" t="s">
        <v>155</v>
      </c>
      <c r="DY3" s="91" t="s">
        <v>177</v>
      </c>
      <c r="DZ3" s="91" t="s">
        <v>178</v>
      </c>
      <c r="EA3" s="91" t="s">
        <v>155</v>
      </c>
      <c r="EB3" s="93" t="s">
        <v>122</v>
      </c>
      <c r="EC3" s="91" t="s">
        <v>181</v>
      </c>
      <c r="ED3" s="91" t="s">
        <v>179</v>
      </c>
      <c r="EE3" s="93" t="s">
        <v>122</v>
      </c>
      <c r="EF3" s="91" t="s">
        <v>181</v>
      </c>
      <c r="EG3" s="91" t="s">
        <v>179</v>
      </c>
      <c r="EI3" s="91"/>
      <c r="EJ3" s="91"/>
      <c r="EK3" s="91"/>
      <c r="EL3" s="126" t="s">
        <v>156</v>
      </c>
      <c r="EM3" s="91" t="s">
        <v>177</v>
      </c>
      <c r="EN3" s="91" t="s">
        <v>178</v>
      </c>
      <c r="EO3" s="91" t="s">
        <v>155</v>
      </c>
      <c r="EP3" s="93" t="s">
        <v>122</v>
      </c>
      <c r="EQ3" s="91" t="s">
        <v>181</v>
      </c>
      <c r="ER3" s="91" t="s">
        <v>179</v>
      </c>
      <c r="EV3" s="166" t="s">
        <v>76</v>
      </c>
      <c r="EW3" s="66" t="s">
        <v>143</v>
      </c>
      <c r="EX3" s="1"/>
      <c r="EY3" s="1"/>
      <c r="EZ3" s="102">
        <f>ROUND('Dane dla CO'!Z54,0)</f>
        <v>-2</v>
      </c>
      <c r="FA3" s="84">
        <f>IF(EZ3&lt;EZ4,FB57,FB57)</f>
        <v>3.0565129151604</v>
      </c>
      <c r="FB3" s="84">
        <f>IF(Dobór!$M$18="Ogrzewanie podłogowe 35/28",FA3,FA3/1.05)</f>
        <v>2.9109646811051428</v>
      </c>
      <c r="FD3">
        <f>IF(EZ3='Energia 221.A26'!B2,'Energia 221.A26'!H2,IF(EZ3='Energia 221.A26'!B3,'Energia 221.A26'!H3,IF(EZ3='Energia 221.A26'!B4,'Energia 221.A26'!H4,IF(EZ3='Energia 221.A26'!B5,'Energia 221.A26'!H5,IF(EZ3='Energia 221.A26'!B6,'Energia 221.A26'!H6,IF(EZ3='Energia 221.A26'!B7,'Energia 221.A26'!H7,IF(EZ3='Energia 221.A26'!B8,'Energia 221.A26'!H8,IF(EZ3='Energia 221.A26'!B9,'Energia 221.A26'!H9,IF(EZ3='Energia 221.A26'!B10,'Energia 221.A26'!H10,IF(EZ3='Energia 221.A26'!B11,'Energia 221.A26'!H11,IF(EZ3='Energia 221.A26'!B12,'Energia 221.A26'!H12,IF(EZ3='Energia 221.A26'!B13,'Energia 221.A26'!H13,IF(EZ3='Energia 221.A26'!B14,'Energia 221.A26'!H14,IF(EZ3='Energia 221.A26'!B15,'Energia 221.A26'!H15,IF(EZ3='Energia 221.A26'!B16,'Energia 221.A26'!H16,IF(EZ3='Energia 221.A26'!B17,'Energia 221.A26'!H17,IF(EZ3='Energia 221.A26'!B18,'Energia 221.A26'!H18,IF(EZ3='Energia 221.A26'!B19,'Energia 221.A26'!H19,IF(EZ3='Energia 221.A26'!B20,'Energia 221.A26'!H20,IF(EZ3='Energia 221.A26'!B21,'Energia 221.A26'!H21,IF(EZ3='Energia 221.A26'!B22,'Energia 221.A26'!H22,IF(EZ3='Energia 221.A26'!B23,'Energia 221.A26'!H23,IF(EZ3='Energia 221.A26'!B24,'Energia 221.A26'!H24,IF(EZ3='Energia 221.A26'!B25,'Energia 221.A26'!H25,IF(EZ3='Energia 221.A26'!B26,'Energia 221.A26'!H26,IF(EZ3='Energia 221.A26'!B27,'Energia 221.A26'!H27,IF(EZ3='Energia 221.A26'!B28,'Energia 221.A26'!H28,IF(EZ3='Energia 221.A26'!B29,'Energia 221.A26'!H29,IF(EZ3='Energia 221.A26'!B30,'Energia 221.A26'!H30,IF(EZ3='Energia 221.A26'!B31,'Energia 221.A26'!H31,IF(EZ3='Energia 221.A26'!B32,'Energia 221.A26'!H32,IF(EZ3='Energia 221.A26'!B33,'Energia 221.A26'!H33,IF(EZ3='Energia 221.A26'!B34,'Energia 221.A26'!H34,IF(EZ3='Energia 221.A26'!B35,'Energia 221.A26'!H35,IF(EZ3='Energia 221.A26'!B36,'Energia 221.A26'!H36,'Energia 221.A26'!H7)))))))))))))))))))))))))))))))))))</f>
        <v>14436.000000000002</v>
      </c>
      <c r="FE3" s="84">
        <f>'Energia 221.A26'!H2-'SCOP 221.A26 ver 2'!FD3</f>
        <v>5745.5999999999967</v>
      </c>
      <c r="FF3">
        <f>FD3/FB3*'Dane dla CO'!C56</f>
        <v>3025.100255306716</v>
      </c>
      <c r="FG3">
        <f>FE3/2/FC57*'Dane dla CO'!C56+FE3/2*'Dane dla CO'!G54</f>
        <v>1590.894859354838</v>
      </c>
      <c r="FH3" s="84"/>
      <c r="FJ3">
        <f>FF3+FG3</f>
        <v>4615.995114661554</v>
      </c>
      <c r="FL3" s="103">
        <f>FJ3</f>
        <v>4615.995114661554</v>
      </c>
      <c r="FM3" s="103"/>
      <c r="FN3">
        <f>FE3/2/'Dane dla CO'!H40</f>
        <v>295.85993820803276</v>
      </c>
    </row>
    <row r="4" spans="1:170" ht="14.1">
      <c r="A4" s="162"/>
      <c r="B4">
        <v>2</v>
      </c>
      <c r="C4">
        <v>7</v>
      </c>
      <c r="D4" s="84">
        <f>(C4*'Dane dla CO'!$AB$53+'Dane dla CO'!$AD$53)/(C4*'Dane dla CO'!$P$35+'Dane dla CO'!$Q$35)</f>
        <v>2.2145061728395059</v>
      </c>
      <c r="E4" s="84">
        <f>C4*'Dane dla CO'!$N$96+'Dane dla CO'!$N$97</f>
        <v>64.800000000000011</v>
      </c>
      <c r="F4" s="84">
        <f>IF(C4&lt;'Dane dla CO'!$Z$67,0,IF(D4&gt;1,E4,D4*E4))</f>
        <v>64.800000000000011</v>
      </c>
      <c r="G4" s="84">
        <f t="shared" ref="G4:G33" si="6">E4-F4</f>
        <v>0</v>
      </c>
      <c r="H4" s="84">
        <f>(C4*'Dane dla CWU'!$AB$53+'Dane dla CWU'!$AD$53)/(C4*'Dane dla CO'!$P$35+'Dane dla CO'!$Q$35)</f>
        <v>2.3585390946502054</v>
      </c>
      <c r="I4" s="84">
        <f t="shared" ref="I4:I33" si="7">$E$42/365</f>
        <v>10.319026666666666</v>
      </c>
      <c r="J4" s="84">
        <f>IF(C4&lt;'Dane dla CWU'!$Z$67,0,IF(H4&gt;1,I4,H4*I4))</f>
        <v>0</v>
      </c>
      <c r="K4" s="84">
        <f t="shared" ref="K4:K33" si="8">I4-J4</f>
        <v>10.319026666666666</v>
      </c>
      <c r="M4">
        <v>2</v>
      </c>
      <c r="N4">
        <v>-16</v>
      </c>
      <c r="O4">
        <f>(N4*'Dane dla CO'!$AB$53+'Dane dla CO'!$AD$53)/(N4*'Dane dla CO'!$P$35+'Dane dla CO'!$Q$35)</f>
        <v>0.49133811230585428</v>
      </c>
      <c r="P4">
        <f>N4*'Dane dla CO'!$N$96+'Dane dla CO'!$N$97</f>
        <v>230.40000000000003</v>
      </c>
      <c r="Q4">
        <f>IF(N4&lt;'Dane dla CO'!$Z$67,0,IF(O4&gt;1,P4,O4*P4))</f>
        <v>0</v>
      </c>
      <c r="R4">
        <f t="shared" ref="R4:R31" si="9">P4-Q4</f>
        <v>230.40000000000003</v>
      </c>
      <c r="S4" s="84">
        <f>(N4*'Dane dla CWU'!$AB$53+'Dane dla CWU'!$AD$53)/(N4*'Dane dla CO'!$P$35+'Dane dla CO'!$Q$35)</f>
        <v>0.26135005973715653</v>
      </c>
      <c r="T4" s="84">
        <f t="shared" ref="T4:T31" si="10">$E$42/365</f>
        <v>10.319026666666666</v>
      </c>
      <c r="U4" s="84">
        <f>IF(N4&lt;'Dane dla CWU'!$Z$67,0,IF(S4&gt;1,T4,S4*T4))</f>
        <v>0</v>
      </c>
      <c r="V4" s="84">
        <f t="shared" ref="V4:V31" si="11">T4-U4</f>
        <v>10.319026666666666</v>
      </c>
      <c r="X4">
        <v>2</v>
      </c>
      <c r="Y4">
        <v>7</v>
      </c>
      <c r="Z4">
        <f>(Y4*'Dane dla CO'!$AB$53+'Dane dla CO'!$AD$53)/(Y4*'Dane dla CO'!$P$35+'Dane dla CO'!$Q$35)</f>
        <v>2.2145061728395059</v>
      </c>
      <c r="AA4">
        <f>Y4*'Dane dla CO'!$N$96+'Dane dla CO'!$N$97</f>
        <v>64.800000000000011</v>
      </c>
      <c r="AB4">
        <f>IF(Y4&lt;'Dane dla CO'!$Z$67,0,IF(Z4&gt;1,AA4,Z4*AA4))</f>
        <v>64.800000000000011</v>
      </c>
      <c r="AC4">
        <f t="shared" ref="AC4:AC33" si="12">AA4-AB4</f>
        <v>0</v>
      </c>
      <c r="AD4" s="84">
        <f>(Y4*'Dane dla CWU'!$AB$53+'Dane dla CWU'!$AD$53)/(Y4*'Dane dla CO'!$P$35+'Dane dla CO'!$Q$35)</f>
        <v>2.3585390946502054</v>
      </c>
      <c r="AE4" s="84">
        <f t="shared" ref="AE4:AE33" si="13">$E$42/365</f>
        <v>10.319026666666666</v>
      </c>
      <c r="AF4" s="84">
        <f>IF(Y4&lt;'Dane dla CWU'!$Z$67,0,IF(AD4&gt;1,AE4,AD4*AE4))</f>
        <v>0</v>
      </c>
      <c r="AG4" s="84">
        <f t="shared" ref="AG4:AG33" si="14">AE4-AF4</f>
        <v>10.319026666666666</v>
      </c>
      <c r="AI4">
        <v>2</v>
      </c>
      <c r="AJ4">
        <v>7</v>
      </c>
      <c r="AK4">
        <f>(AJ4*'Dane dla CO'!$AB$53+'Dane dla CO'!$AD$53)/(AJ4*'Dane dla CO'!$P$35+'Dane dla CO'!$Q$35)</f>
        <v>2.2145061728395059</v>
      </c>
      <c r="AL4">
        <f>AJ4*'Dane dla CO'!$N$96+'Dane dla CO'!$N$97</f>
        <v>64.800000000000011</v>
      </c>
      <c r="AM4">
        <f>IF(AJ4&lt;'Dane dla CO'!$Z$67,0,IF(AK4&gt;1,AL4,AK4*AL4))</f>
        <v>64.800000000000011</v>
      </c>
      <c r="AN4">
        <f t="shared" ref="AN4:AN28" si="15">AL4-AM4</f>
        <v>0</v>
      </c>
      <c r="AO4" s="84">
        <f>(AJ4*'Dane dla CWU'!$AB$53+'Dane dla CWU'!$AD$53)/(AJ4*'Dane dla CO'!$P$35+'Dane dla CO'!$Q$35)</f>
        <v>2.3585390946502054</v>
      </c>
      <c r="AP4" s="84">
        <f t="shared" ref="AP4:AP32" si="16">$E$42/365</f>
        <v>10.319026666666666</v>
      </c>
      <c r="AQ4" s="84">
        <f>IF(AJ4&lt;'Dane dla CWU'!$Z$67,0,IF(AO4&gt;1,AP4,AO4*AP4))</f>
        <v>0</v>
      </c>
      <c r="AR4" s="84">
        <f t="shared" ref="AR4:AR32" si="17">AP4-AQ4</f>
        <v>10.319026666666666</v>
      </c>
      <c r="AT4">
        <v>2</v>
      </c>
      <c r="AU4">
        <v>21</v>
      </c>
      <c r="BA4">
        <v>2</v>
      </c>
      <c r="BB4">
        <v>13</v>
      </c>
      <c r="BH4">
        <v>2</v>
      </c>
      <c r="BI4">
        <v>25</v>
      </c>
      <c r="BO4">
        <v>2</v>
      </c>
      <c r="BP4">
        <v>23</v>
      </c>
      <c r="BV4">
        <v>2</v>
      </c>
      <c r="BW4">
        <v>17</v>
      </c>
      <c r="CB4" s="84"/>
      <c r="CC4" s="84">
        <f t="shared" ref="CC4:CC32" si="18">$E$42/365</f>
        <v>10.319026666666666</v>
      </c>
      <c r="CD4" s="84">
        <f t="shared" ref="CD4:CD14" si="19">CC4</f>
        <v>10.319026666666666</v>
      </c>
      <c r="CE4" s="84">
        <f t="shared" ref="CE4:CE32" si="20">CC4-CD4</f>
        <v>0</v>
      </c>
      <c r="CG4">
        <v>2</v>
      </c>
      <c r="CH4">
        <v>14</v>
      </c>
      <c r="CI4">
        <f>(CH4*'Dane dla CO'!$AB$53+'Dane dla CO'!$AD$53)/(CH4*'Dane dla CO'!$P$35+'Dane dla CO'!$Q$35)</f>
        <v>18.472222222222211</v>
      </c>
      <c r="CJ4">
        <f>CH4*'Dane dla CO'!$N$96+'Dane dla CO'!$N$97</f>
        <v>14.400000000000006</v>
      </c>
      <c r="CK4">
        <f>IF(CH4&lt;'Dane dla CO'!$Z$67,0,IF(CI4&gt;1,CJ4,CI4*CJ4))</f>
        <v>14.400000000000006</v>
      </c>
      <c r="CL4">
        <f t="shared" ref="CL4:CL33" si="21">CJ4-CK4</f>
        <v>0</v>
      </c>
      <c r="CM4" s="84">
        <f>(CH4*'Dane dla CWU'!$AB$53+'Dane dla CWU'!$AD$53)/(CH4*'Dane dla CO'!$P$35+'Dane dla CO'!$Q$35)</f>
        <v>22.145061728395049</v>
      </c>
      <c r="CN4" s="84">
        <f t="shared" si="0"/>
        <v>10.319026666666666</v>
      </c>
      <c r="CO4" s="84">
        <f>IF(CH4&lt;'Dane dla CWU'!$Z$67,0,IF(CM4&gt;1,CN4,CM4*CN4))</f>
        <v>10.319026666666666</v>
      </c>
      <c r="CP4" s="84">
        <f t="shared" si="1"/>
        <v>0</v>
      </c>
      <c r="CR4">
        <v>2</v>
      </c>
      <c r="CS4">
        <v>7</v>
      </c>
      <c r="CT4">
        <f>(CS4*'Dane dla CO'!$AB$53+'Dane dla CO'!$AD$53)/(CS4*'Dane dla CO'!$P$35+'Dane dla CO'!$Q$35)</f>
        <v>2.2145061728395059</v>
      </c>
      <c r="CU4">
        <f>CS4*'Dane dla CO'!$N$96+'Dane dla CO'!$N$97</f>
        <v>64.800000000000011</v>
      </c>
      <c r="CV4">
        <f>IF(CS4&lt;'Dane dla CO'!$Z$67,0,IF(CT4&gt;1,CU4,CT4*CU4))</f>
        <v>64.800000000000011</v>
      </c>
      <c r="CW4">
        <f t="shared" ref="CW4:CW32" si="22">CU4-CV4</f>
        <v>0</v>
      </c>
      <c r="CX4" s="84">
        <f>(CS4*'Dane dla CWU'!$AB$53+'Dane dla CWU'!$AD$53)/(CS4*'Dane dla CO'!$P$35+'Dane dla CO'!$Q$35)</f>
        <v>2.3585390946502054</v>
      </c>
      <c r="CY4" s="84">
        <f t="shared" si="2"/>
        <v>10.319026666666666</v>
      </c>
      <c r="CZ4" s="84">
        <f>IF(CS4&lt;'Dane dla CWU'!$Z$67,0,IF(CX4&gt;1,CY4,CX4*CY4))</f>
        <v>0</v>
      </c>
      <c r="DA4" s="84">
        <f t="shared" si="3"/>
        <v>10.319026666666666</v>
      </c>
      <c r="DC4">
        <v>2</v>
      </c>
      <c r="DD4">
        <v>-1</v>
      </c>
      <c r="DE4">
        <f>(DD4*'Dane dla CO'!$AB$53+'Dane dla CO'!$AD$53)/(DD4*'Dane dla CO'!$P$35+'Dane dla CO'!$Q$35)</f>
        <v>1.0532407407407407</v>
      </c>
      <c r="DF4">
        <f>DD4*'Dane dla CO'!$N$96+'Dane dla CO'!$N$97</f>
        <v>122.40000000000002</v>
      </c>
      <c r="DG4">
        <f>IF(DD4&lt;'Dane dla CO'!$Z$67,0,IF(DE4&gt;1,DF4,DE4*DF4))</f>
        <v>122.40000000000002</v>
      </c>
      <c r="DH4">
        <f t="shared" ref="DH4:DH33" si="23">DF4-DG4</f>
        <v>0</v>
      </c>
      <c r="DI4" s="84">
        <f>(DD4*'Dane dla CWU'!$AB$53+'Dane dla CWU'!$AD$53)/(DD4*'Dane dla CO'!$P$35+'Dane dla CO'!$Q$35)</f>
        <v>0.94521604938271586</v>
      </c>
      <c r="DJ4" s="84">
        <f t="shared" si="4"/>
        <v>10.319026666666666</v>
      </c>
      <c r="DK4" s="84">
        <f>IF(DD4&lt;'Dane dla CWU'!$Z$67,0,IF(DI4&gt;1,DJ4,DI4*DJ4))</f>
        <v>0</v>
      </c>
      <c r="DL4" s="84">
        <f t="shared" si="5"/>
        <v>10.319026666666666</v>
      </c>
      <c r="DM4" s="49">
        <v>-14</v>
      </c>
      <c r="DN4" s="124" t="s">
        <v>221</v>
      </c>
      <c r="DO4" s="125" t="s">
        <v>212</v>
      </c>
      <c r="DP4" s="125" t="s">
        <v>224</v>
      </c>
      <c r="DQ4" s="51">
        <v>-14</v>
      </c>
      <c r="DR4" s="94"/>
      <c r="DS4" s="94"/>
      <c r="DT4" s="85"/>
      <c r="DU4" s="86"/>
      <c r="DV4" s="92"/>
      <c r="DW4" s="92"/>
      <c r="DX4" s="92"/>
      <c r="DY4" s="86"/>
      <c r="DZ4" s="86"/>
      <c r="EA4" s="86"/>
      <c r="EB4" s="92"/>
      <c r="EC4" s="92"/>
      <c r="ED4" s="92"/>
      <c r="EE4" s="96"/>
      <c r="EF4" s="96"/>
      <c r="EG4" s="96"/>
      <c r="EI4" s="94"/>
      <c r="EJ4" s="94"/>
      <c r="EK4" s="94"/>
      <c r="EL4" s="85"/>
      <c r="EM4" s="92"/>
      <c r="EN4" s="92"/>
      <c r="EO4" s="92"/>
      <c r="EP4" s="92"/>
      <c r="EQ4" s="92"/>
      <c r="ER4" s="92"/>
      <c r="EV4" s="166"/>
      <c r="EW4" s="67" t="s">
        <v>144</v>
      </c>
      <c r="EX4" s="59"/>
      <c r="EY4" s="21"/>
      <c r="EZ4" s="102">
        <f>ROUND('Dane dla CO'!Z67,0)</f>
        <v>-3</v>
      </c>
      <c r="FA4" s="84">
        <f>FB58</f>
        <v>3.0246247586183959</v>
      </c>
      <c r="FB4" s="84">
        <f>IF(Dobór!$M$18="Ogrzewanie podłogowe 35/28",FA4,FA4/1.05)</f>
        <v>2.8805950082079961</v>
      </c>
      <c r="FC4">
        <f>FD4/FB4</f>
        <v>5201.4253851397798</v>
      </c>
      <c r="FD4">
        <f>IF(EZ4='Energia 221.A26'!B2,'Energia 221.A26'!H2,IF(EZ4='Energia 221.A26'!B3,'Energia 221.A26'!H3,IF(EZ4='Energia 221.A26'!B4,'Energia 221.A26'!H4,IF(EZ4='Energia 221.A26'!B5,'Energia 221.A26'!H5,IF(EZ4='Energia 221.A26'!B6,'Energia 221.A26'!H6,IF(EZ4='Energia 221.A26'!B7,'Energia 221.A26'!H7,IF(EZ4='Energia 221.A26'!B8,'Energia 221.A26'!H8,IF(EZ4='Energia 221.A26'!B9,'Energia 221.A26'!H9,IF(EZ4='Energia 221.A26'!B10,'Energia 221.A26'!H10,IF(EZ4='Energia 221.A26'!B11,'Energia 221.A26'!H11,IF(EZ4='Energia 221.A26'!B12,'Energia 221.A26'!H12,IF(EZ4='Energia 221.A26'!B13,'Energia 221.A26'!H13,IF(EZ4='Energia 221.A26'!B14,'Energia 221.A26'!H14,IF(EZ4='Energia 221.A26'!B15,'Energia 221.A26'!H15,IF(EZ4='Energia 221.A26'!B16,'Energia 221.A26'!H16,IF(EZ4='Energia 221.A26'!B17,'Energia 221.A26'!H17,IF(EZ4='Energia 221.A26'!B18,'Energia 221.A26'!H18,IF(EZ4='Energia 221.A26'!B19,'Energia 221.A26'!H19,IF(EZ4='Energia 221.A26'!B20,'Energia 221.A26'!H20,IF(EZ4='Energia 221.A26'!B21,'Energia 221.A26'!H21,IF(EZ4='Energia 221.A26'!B22,'Energia 221.A26'!H22,IF(EZ4='Energia 221.A26'!B23,'Energia 221.A26'!H23,IF(EZ4='Energia 221.A26'!B24,'Energia 221.A26'!H24,IF(EZ4='Energia 221.A26'!B25,'Energia 221.A26'!H25,IF(EZ4='Energia 221.A26'!B26,'Energia 221.A26'!H26,IF(EZ4='Energia 221.A26'!B27,'Energia 221.A26'!H27,IF(EZ4='Energia 221.A26'!B28,'Energia 221.A26'!H28,IF(EZ4='Energia 221.A26'!B29,'Energia 221.A26'!H29,IF(EZ4='Energia 221.A26'!B30,'Energia 221.A26'!H30,IF(EZ4='Energia 221.A26'!B31,'Energia 221.A26'!H31,IF(EZ4='Energia 221.A26'!B32,'Energia 221.A26'!H32,IF(EZ4='Energia 221.A26'!B33,'Energia 221.A26'!H33,IF(EZ4='Energia 221.A26'!B34,'Energia 221.A26'!H34,IF(EZ4='Energia 221.A26'!B35,'Energia 221.A26'!H35,IF(EZ4='Energia 221.A26'!B36,'Energia 221.A26'!H36,'Energia 221.A26'!H7)))))))))))))))))))))))))))))))))))</f>
        <v>14983.200000000003</v>
      </c>
      <c r="FE4" s="84">
        <f>'Energia 221.A26'!H2-'SCOP 221.A26 ver 2'!FD4</f>
        <v>5198.399999999996</v>
      </c>
      <c r="FF4">
        <f>FD4/FB4*'Dane dla CO'!C56</f>
        <v>3172.8694849352655</v>
      </c>
      <c r="FG4">
        <f>FE4*'Dane dla CO'!G54</f>
        <v>1455.551999999999</v>
      </c>
      <c r="FH4" s="84"/>
      <c r="FI4" s="84"/>
      <c r="FJ4">
        <f>FG4+FF4</f>
        <v>4628.4214849352647</v>
      </c>
      <c r="FL4" s="103">
        <f>FJ4</f>
        <v>4628.4214849352647</v>
      </c>
      <c r="FM4" s="103"/>
      <c r="FN4">
        <f>IF(EZ4=-15,FN3,FE3/'Dane dla CO'!H40)</f>
        <v>591.71987641606552</v>
      </c>
    </row>
    <row r="5" spans="1:170">
      <c r="A5" s="162"/>
      <c r="B5">
        <v>3</v>
      </c>
      <c r="C5">
        <v>6</v>
      </c>
      <c r="D5" s="84">
        <f>(C5*'Dane dla CO'!$AB$53+'Dane dla CO'!$AD$53)/(C5*'Dane dla CO'!$P$35+'Dane dla CO'!$Q$35)</f>
        <v>1.9564471879286691</v>
      </c>
      <c r="E5" s="84">
        <f>C5*'Dane dla CO'!$N$96+'Dane dla CO'!$N$97</f>
        <v>72.000000000000014</v>
      </c>
      <c r="F5" s="84">
        <f>IF(C5&lt;'Dane dla CO'!$Z$67,0,IF(D5&gt;1,E5,D5*E5))</f>
        <v>72.000000000000014</v>
      </c>
      <c r="G5" s="84">
        <f t="shared" si="6"/>
        <v>0</v>
      </c>
      <c r="H5" s="84">
        <f>(C5*'Dane dla CWU'!$AB$53+'Dane dla CWU'!$AD$53)/(C5*'Dane dla CO'!$P$35+'Dane dla CO'!$Q$35)</f>
        <v>2.0444673068129853</v>
      </c>
      <c r="I5" s="84">
        <f t="shared" si="7"/>
        <v>10.319026666666666</v>
      </c>
      <c r="J5" s="84">
        <f>IF(C5&lt;'Dane dla CWU'!$Z$67,0,IF(H5&gt;1,I5,H5*I5))</f>
        <v>0</v>
      </c>
      <c r="K5" s="84">
        <f t="shared" si="8"/>
        <v>10.319026666666666</v>
      </c>
      <c r="M5">
        <v>3</v>
      </c>
      <c r="N5">
        <v>-18</v>
      </c>
      <c r="O5">
        <f>(N5*'Dane dla CO'!$AB$53+'Dane dla CO'!$AD$53)/(N5*'Dane dla CO'!$P$35+'Dane dla CO'!$Q$35)</f>
        <v>0.45501309390198275</v>
      </c>
      <c r="P5">
        <f>N5*'Dane dla CO'!$N$96+'Dane dla CO'!$N$97</f>
        <v>244.80000000000004</v>
      </c>
      <c r="Q5">
        <f>IF(N5&lt;'Dane dla CO'!$Z$67,0,IF(O5&gt;1,P5,O5*P5))</f>
        <v>0</v>
      </c>
      <c r="R5">
        <f t="shared" si="9"/>
        <v>244.80000000000004</v>
      </c>
      <c r="S5" s="84">
        <f>(N5*'Dane dla CWU'!$AB$53+'Dane dla CWU'!$AD$53)/(N5*'Dane dla CO'!$P$35+'Dane dla CO'!$Q$35)</f>
        <v>0.21714054121461526</v>
      </c>
      <c r="T5" s="84">
        <f t="shared" si="10"/>
        <v>10.319026666666666</v>
      </c>
      <c r="U5" s="84">
        <f>IF(N5&lt;'Dane dla CWU'!$Z$67,0,IF(S5&gt;1,T5,S5*T5))</f>
        <v>0</v>
      </c>
      <c r="V5" s="84">
        <f t="shared" si="11"/>
        <v>10.319026666666666</v>
      </c>
      <c r="X5">
        <v>3</v>
      </c>
      <c r="Y5">
        <v>2</v>
      </c>
      <c r="Z5">
        <f>(Y5*'Dane dla CO'!$AB$53+'Dane dla CO'!$AD$53)/(Y5*'Dane dla CO'!$P$35+'Dane dla CO'!$Q$35)</f>
        <v>1.321225071225071</v>
      </c>
      <c r="AA5">
        <f>Y5*'Dane dla CO'!$N$96+'Dane dla CO'!$N$97</f>
        <v>100.80000000000001</v>
      </c>
      <c r="AB5">
        <f>IF(Y5&lt;'Dane dla CO'!$Z$67,0,IF(Z5&gt;1,AA5,Z5*AA5))</f>
        <v>100.80000000000001</v>
      </c>
      <c r="AC5">
        <f t="shared" si="12"/>
        <v>0</v>
      </c>
      <c r="AD5" s="84">
        <f>(Y5*'Dane dla CWU'!$AB$53+'Dane dla CWU'!$AD$53)/(Y5*'Dane dla CO'!$P$35+'Dane dla CO'!$Q$35)</f>
        <v>1.2713675213675213</v>
      </c>
      <c r="AE5" s="84">
        <f t="shared" si="13"/>
        <v>10.319026666666666</v>
      </c>
      <c r="AF5" s="84">
        <f>IF(Y5&lt;'Dane dla CWU'!$Z$67,0,IF(AD5&gt;1,AE5,AD5*AE5))</f>
        <v>0</v>
      </c>
      <c r="AG5" s="84">
        <f t="shared" si="14"/>
        <v>10.319026666666666</v>
      </c>
      <c r="AI5">
        <v>3</v>
      </c>
      <c r="AJ5">
        <v>8</v>
      </c>
      <c r="AK5">
        <f>(AJ5*'Dane dla CO'!$AB$53+'Dane dla CO'!$AD$53)/(AJ5*'Dane dla CO'!$P$35+'Dane dla CO'!$Q$35)</f>
        <v>2.5462962962962963</v>
      </c>
      <c r="AL5">
        <f>AJ5*'Dane dla CO'!$N$96+'Dane dla CO'!$N$97</f>
        <v>57.600000000000009</v>
      </c>
      <c r="AM5">
        <f>IF(AJ5&lt;'Dane dla CO'!$Z$67,0,IF(AK5&gt;1,AL5,AK5*AL5))</f>
        <v>57.600000000000009</v>
      </c>
      <c r="AN5">
        <f t="shared" si="15"/>
        <v>0</v>
      </c>
      <c r="AO5" s="84">
        <f>(AJ5*'Dane dla CWU'!$AB$53+'Dane dla CWU'!$AD$53)/(AJ5*'Dane dla CO'!$P$35+'Dane dla CO'!$Q$35)</f>
        <v>2.7623456790123457</v>
      </c>
      <c r="AP5" s="84">
        <f t="shared" si="16"/>
        <v>10.319026666666666</v>
      </c>
      <c r="AQ5" s="84">
        <f>IF(AJ5&lt;'Dane dla CWU'!$Z$67,0,IF(AO5&gt;1,AP5,AO5*AP5))</f>
        <v>10.319026666666666</v>
      </c>
      <c r="AR5" s="84">
        <f t="shared" si="17"/>
        <v>0</v>
      </c>
      <c r="AT5">
        <v>3</v>
      </c>
      <c r="AU5">
        <v>19</v>
      </c>
      <c r="BA5">
        <v>3</v>
      </c>
      <c r="BB5">
        <v>16</v>
      </c>
      <c r="BH5">
        <v>3</v>
      </c>
      <c r="BI5">
        <v>25</v>
      </c>
      <c r="BO5">
        <v>3</v>
      </c>
      <c r="BP5">
        <v>22</v>
      </c>
      <c r="BV5">
        <v>3</v>
      </c>
      <c r="BW5">
        <v>15</v>
      </c>
      <c r="CB5" s="84"/>
      <c r="CC5" s="84">
        <f t="shared" si="18"/>
        <v>10.319026666666666</v>
      </c>
      <c r="CD5" s="84">
        <f t="shared" si="19"/>
        <v>10.319026666666666</v>
      </c>
      <c r="CE5" s="84">
        <f t="shared" si="20"/>
        <v>0</v>
      </c>
      <c r="CG5">
        <v>3</v>
      </c>
      <c r="CH5">
        <v>13</v>
      </c>
      <c r="CI5">
        <f>(CH5*'Dane dla CO'!$AB$53+'Dane dla CO'!$AD$53)/(CH5*'Dane dla CO'!$P$35+'Dane dla CO'!$Q$35)</f>
        <v>9.1820987654320927</v>
      </c>
      <c r="CJ5">
        <f>CH5*'Dane dla CO'!$N$96+'Dane dla CO'!$N$97</f>
        <v>21.600000000000009</v>
      </c>
      <c r="CK5">
        <f>IF(CH5&lt;'Dane dla CO'!$Z$67,0,IF(CI5&gt;1,CJ5,CI5*CJ5))</f>
        <v>21.600000000000009</v>
      </c>
      <c r="CL5">
        <f t="shared" si="21"/>
        <v>0</v>
      </c>
      <c r="CM5" s="84">
        <f>(CH5*'Dane dla CWU'!$AB$53+'Dane dla CWU'!$AD$53)/(CH5*'Dane dla CO'!$P$35+'Dane dla CO'!$Q$35)</f>
        <v>10.838477366255137</v>
      </c>
      <c r="CN5" s="84">
        <f t="shared" si="0"/>
        <v>10.319026666666666</v>
      </c>
      <c r="CO5" s="84">
        <f>IF(CH5&lt;'Dane dla CWU'!$Z$67,0,IF(CM5&gt;1,CN5,CM5*CN5))</f>
        <v>10.319026666666666</v>
      </c>
      <c r="CP5" s="84">
        <f t="shared" si="1"/>
        <v>0</v>
      </c>
      <c r="CR5">
        <v>3</v>
      </c>
      <c r="CS5">
        <v>6</v>
      </c>
      <c r="CT5">
        <f>(CS5*'Dane dla CO'!$AB$53+'Dane dla CO'!$AD$53)/(CS5*'Dane dla CO'!$P$35+'Dane dla CO'!$Q$35)</f>
        <v>1.9564471879286691</v>
      </c>
      <c r="CU5">
        <f>CS5*'Dane dla CO'!$N$96+'Dane dla CO'!$N$97</f>
        <v>72.000000000000014</v>
      </c>
      <c r="CV5">
        <f>IF(CS5&lt;'Dane dla CO'!$Z$67,0,IF(CT5&gt;1,CU5,CT5*CU5))</f>
        <v>72.000000000000014</v>
      </c>
      <c r="CW5">
        <f t="shared" si="22"/>
        <v>0</v>
      </c>
      <c r="CX5" s="84">
        <f>(CS5*'Dane dla CWU'!$AB$53+'Dane dla CWU'!$AD$53)/(CS5*'Dane dla CO'!$P$35+'Dane dla CO'!$Q$35)</f>
        <v>2.0444673068129853</v>
      </c>
      <c r="CY5" s="84">
        <f t="shared" si="2"/>
        <v>10.319026666666666</v>
      </c>
      <c r="CZ5" s="84">
        <f>IF(CS5&lt;'Dane dla CWU'!$Z$67,0,IF(CX5&gt;1,CY5,CX5*CY5))</f>
        <v>0</v>
      </c>
      <c r="DA5" s="84">
        <f t="shared" si="3"/>
        <v>10.319026666666666</v>
      </c>
      <c r="DC5">
        <v>3</v>
      </c>
      <c r="DD5">
        <v>0</v>
      </c>
      <c r="DE5">
        <f>(DD5*'Dane dla CO'!$AB$53+'Dane dla CO'!$AD$53)/(DD5*'Dane dla CO'!$P$35+'Dane dla CO'!$Q$35)</f>
        <v>1.1306584362139918</v>
      </c>
      <c r="DF5">
        <f>DD5*'Dane dla CO'!$N$96+'Dane dla CO'!$N$97</f>
        <v>115.20000000000002</v>
      </c>
      <c r="DG5">
        <f>IF(DD5&lt;'Dane dla CO'!$Z$67,0,IF(DE5&gt;1,DF5,DE5*DF5))</f>
        <v>115.20000000000002</v>
      </c>
      <c r="DH5">
        <f t="shared" si="23"/>
        <v>0</v>
      </c>
      <c r="DI5" s="84">
        <f>(DD5*'Dane dla CWU'!$AB$53+'Dane dla CWU'!$AD$53)/(DD5*'Dane dla CO'!$P$35+'Dane dla CO'!$Q$35)</f>
        <v>1.0394375857338818</v>
      </c>
      <c r="DJ5" s="84">
        <f t="shared" si="4"/>
        <v>10.319026666666666</v>
      </c>
      <c r="DK5" s="84">
        <f>IF(DD5&lt;'Dane dla CWU'!$Z$67,0,IF(DI5&gt;1,DJ5,DI5*DJ5))</f>
        <v>0</v>
      </c>
      <c r="DL5" s="84">
        <f t="shared" si="5"/>
        <v>10.319026666666666</v>
      </c>
      <c r="DM5" s="49">
        <v>-14</v>
      </c>
      <c r="DN5" s="94">
        <f>DO5*'Dane dla CO'!$N$80</f>
        <v>1234.2857142857144</v>
      </c>
      <c r="DO5" s="94">
        <f>(15-DS5)/35*'Dane dla CO'!$N$75</f>
        <v>10.8</v>
      </c>
      <c r="DP5" s="94">
        <f>IF(DR5&gt;0,DN5/DR5,DN5)</f>
        <v>1234.2857142857144</v>
      </c>
      <c r="DQ5" s="51">
        <v>-14</v>
      </c>
      <c r="DR5" s="127">
        <v>0</v>
      </c>
      <c r="DS5" s="127">
        <v>-20</v>
      </c>
      <c r="DT5" s="89">
        <f>Wykresy!Y3</f>
        <v>55</v>
      </c>
      <c r="DU5" s="90">
        <f>Wykresy!AE3</f>
        <v>35</v>
      </c>
      <c r="DV5" s="92"/>
      <c r="DW5" s="92"/>
      <c r="DX5" s="92"/>
      <c r="DY5" s="86"/>
      <c r="DZ5" s="86"/>
      <c r="EA5" s="86"/>
      <c r="EB5" s="85"/>
      <c r="EC5" s="85"/>
      <c r="ED5" s="85"/>
      <c r="EE5" s="86"/>
      <c r="EF5" s="86"/>
      <c r="EG5" s="86"/>
      <c r="EI5" s="127">
        <v>0</v>
      </c>
      <c r="EJ5" s="127">
        <v>0</v>
      </c>
      <c r="EK5" s="127">
        <v>-20</v>
      </c>
      <c r="EL5" s="89">
        <v>55</v>
      </c>
      <c r="EM5" s="92"/>
      <c r="EN5" s="92"/>
      <c r="EO5" s="92"/>
      <c r="EP5" s="85"/>
      <c r="EQ5" s="85"/>
      <c r="ER5" s="85"/>
      <c r="EV5" s="82"/>
      <c r="EW5" s="1"/>
      <c r="EX5" s="1"/>
      <c r="EY5" s="1"/>
      <c r="EZ5" s="1"/>
      <c r="FL5" s="103">
        <f>FL3-FL4</f>
        <v>-12.426370273710745</v>
      </c>
      <c r="FM5" s="103"/>
    </row>
    <row r="6" spans="1:170" ht="14.1">
      <c r="A6" s="162"/>
      <c r="B6">
        <v>4</v>
      </c>
      <c r="C6">
        <v>6</v>
      </c>
      <c r="D6" s="84">
        <f>(C6*'Dane dla CO'!$AB$53+'Dane dla CO'!$AD$53)/(C6*'Dane dla CO'!$P$35+'Dane dla CO'!$Q$35)</f>
        <v>1.9564471879286691</v>
      </c>
      <c r="E6" s="84">
        <f>C6*'Dane dla CO'!$N$96+'Dane dla CO'!$N$97</f>
        <v>72.000000000000014</v>
      </c>
      <c r="F6" s="84">
        <f>IF(C6&lt;'Dane dla CO'!$Z$67,0,IF(D6&gt;1,E6,D6*E6))</f>
        <v>72.000000000000014</v>
      </c>
      <c r="G6" s="84">
        <f t="shared" si="6"/>
        <v>0</v>
      </c>
      <c r="H6" s="84">
        <f>(C6*'Dane dla CWU'!$AB$53+'Dane dla CWU'!$AD$53)/(C6*'Dane dla CO'!$P$35+'Dane dla CO'!$Q$35)</f>
        <v>2.0444673068129853</v>
      </c>
      <c r="I6" s="84">
        <f t="shared" si="7"/>
        <v>10.319026666666666</v>
      </c>
      <c r="J6" s="84">
        <f>IF(C6&lt;'Dane dla CWU'!$Z$67,0,IF(H6&gt;1,I6,H6*I6))</f>
        <v>0</v>
      </c>
      <c r="K6" s="84">
        <f t="shared" si="8"/>
        <v>10.319026666666666</v>
      </c>
      <c r="M6">
        <v>4</v>
      </c>
      <c r="N6">
        <v>-14</v>
      </c>
      <c r="O6">
        <f>(N6*'Dane dla CO'!$AB$53+'Dane dla CO'!$AD$53)/(N6*'Dane dla CO'!$P$35+'Dane dla CO'!$Q$35)</f>
        <v>0.53267347807577692</v>
      </c>
      <c r="P6">
        <f>N6*'Dane dla CO'!$N$96+'Dane dla CO'!$N$97</f>
        <v>216.00000000000003</v>
      </c>
      <c r="Q6">
        <f>IF(N6&lt;'Dane dla CO'!$Z$67,0,IF(O6&gt;1,P6,O6*P6))</f>
        <v>0</v>
      </c>
      <c r="R6">
        <f t="shared" si="9"/>
        <v>216.00000000000003</v>
      </c>
      <c r="S6" s="84">
        <f>(N6*'Dane dla CWU'!$AB$53+'Dane dla CWU'!$AD$53)/(N6*'Dane dla CO'!$P$35+'Dane dla CO'!$Q$35)</f>
        <v>0.31165744288349645</v>
      </c>
      <c r="T6" s="84">
        <f t="shared" si="10"/>
        <v>10.319026666666666</v>
      </c>
      <c r="U6" s="84">
        <f>IF(N6&lt;'Dane dla CWU'!$Z$67,0,IF(S6&gt;1,T6,S6*T6))</f>
        <v>0</v>
      </c>
      <c r="V6" s="84">
        <f t="shared" si="11"/>
        <v>10.319026666666666</v>
      </c>
      <c r="X6">
        <v>4</v>
      </c>
      <c r="Y6">
        <v>0</v>
      </c>
      <c r="Z6">
        <f>(Y6*'Dane dla CO'!$AB$53+'Dane dla CO'!$AD$53)/(Y6*'Dane dla CO'!$P$35+'Dane dla CO'!$Q$35)</f>
        <v>1.1306584362139918</v>
      </c>
      <c r="AA6">
        <f>Y6*'Dane dla CO'!$N$96+'Dane dla CO'!$N$97</f>
        <v>115.20000000000002</v>
      </c>
      <c r="AB6">
        <f>IF(Y6&lt;'Dane dla CO'!$Z$67,0,IF(Z6&gt;1,AA6,Z6*AA6))</f>
        <v>115.20000000000002</v>
      </c>
      <c r="AC6">
        <f t="shared" si="12"/>
        <v>0</v>
      </c>
      <c r="AD6" s="84">
        <f>(Y6*'Dane dla CWU'!$AB$53+'Dane dla CWU'!$AD$53)/(Y6*'Dane dla CO'!$P$35+'Dane dla CO'!$Q$35)</f>
        <v>1.0394375857338818</v>
      </c>
      <c r="AE6" s="84">
        <f t="shared" si="13"/>
        <v>10.319026666666666</v>
      </c>
      <c r="AF6" s="84">
        <f>IF(Y6&lt;'Dane dla CWU'!$Z$67,0,IF(AD6&gt;1,AE6,AD6*AE6))</f>
        <v>0</v>
      </c>
      <c r="AG6" s="84">
        <f t="shared" si="14"/>
        <v>10.319026666666666</v>
      </c>
      <c r="AI6">
        <v>4</v>
      </c>
      <c r="AJ6">
        <v>12</v>
      </c>
      <c r="AK6">
        <f>(AJ6*'Dane dla CO'!$AB$53+'Dane dla CO'!$AD$53)/(AJ6*'Dane dla CO'!$P$35+'Dane dla CO'!$Q$35)</f>
        <v>6.0853909465020575</v>
      </c>
      <c r="AL6">
        <f>AJ6*'Dane dla CO'!$N$96+'Dane dla CO'!$N$97</f>
        <v>28.800000000000011</v>
      </c>
      <c r="AM6">
        <f>IF(AJ6&lt;'Dane dla CO'!$Z$67,0,IF(AK6&gt;1,AL6,AK6*AL6))</f>
        <v>28.800000000000011</v>
      </c>
      <c r="AN6">
        <f t="shared" si="15"/>
        <v>0</v>
      </c>
      <c r="AO6" s="84">
        <f>(AJ6*'Dane dla CWU'!$AB$53+'Dane dla CWU'!$AD$53)/(AJ6*'Dane dla CO'!$P$35+'Dane dla CO'!$Q$35)</f>
        <v>7.0696159122085049</v>
      </c>
      <c r="AP6" s="84">
        <f t="shared" si="16"/>
        <v>10.319026666666666</v>
      </c>
      <c r="AQ6" s="84">
        <f>IF(AJ6&lt;'Dane dla CWU'!$Z$67,0,IF(AO6&gt;1,AP6,AO6*AP6))</f>
        <v>10.319026666666666</v>
      </c>
      <c r="AR6" s="84">
        <f t="shared" si="17"/>
        <v>0</v>
      </c>
      <c r="AT6">
        <v>4</v>
      </c>
      <c r="AU6">
        <v>16</v>
      </c>
      <c r="BA6">
        <v>4</v>
      </c>
      <c r="BB6">
        <v>17</v>
      </c>
      <c r="BH6">
        <v>4</v>
      </c>
      <c r="BI6">
        <v>22</v>
      </c>
      <c r="BO6">
        <v>4</v>
      </c>
      <c r="BP6">
        <v>22</v>
      </c>
      <c r="BV6">
        <v>4</v>
      </c>
      <c r="BW6">
        <v>19</v>
      </c>
      <c r="CB6" s="84"/>
      <c r="CC6" s="84">
        <f t="shared" si="18"/>
        <v>10.319026666666666</v>
      </c>
      <c r="CD6" s="84">
        <f t="shared" si="19"/>
        <v>10.319026666666666</v>
      </c>
      <c r="CE6" s="84">
        <f t="shared" si="20"/>
        <v>0</v>
      </c>
      <c r="CG6">
        <v>4</v>
      </c>
      <c r="CH6">
        <v>13</v>
      </c>
      <c r="CI6">
        <f>(CH6*'Dane dla CO'!$AB$53+'Dane dla CO'!$AD$53)/(CH6*'Dane dla CO'!$P$35+'Dane dla CO'!$Q$35)</f>
        <v>9.1820987654320927</v>
      </c>
      <c r="CJ6">
        <f>CH6*'Dane dla CO'!$N$96+'Dane dla CO'!$N$97</f>
        <v>21.600000000000009</v>
      </c>
      <c r="CK6">
        <f>IF(CH6&lt;'Dane dla CO'!$Z$67,0,IF(CI6&gt;1,CJ6,CI6*CJ6))</f>
        <v>21.600000000000009</v>
      </c>
      <c r="CL6">
        <f t="shared" si="21"/>
        <v>0</v>
      </c>
      <c r="CM6" s="84">
        <f>(CH6*'Dane dla CWU'!$AB$53+'Dane dla CWU'!$AD$53)/(CH6*'Dane dla CO'!$P$35+'Dane dla CO'!$Q$35)</f>
        <v>10.838477366255137</v>
      </c>
      <c r="CN6" s="84">
        <f t="shared" si="0"/>
        <v>10.319026666666666</v>
      </c>
      <c r="CO6" s="84">
        <f>IF(CH6&lt;'Dane dla CWU'!$Z$67,0,IF(CM6&gt;1,CN6,CM6*CN6))</f>
        <v>10.319026666666666</v>
      </c>
      <c r="CP6" s="84">
        <f t="shared" si="1"/>
        <v>0</v>
      </c>
      <c r="CR6">
        <v>4</v>
      </c>
      <c r="CS6">
        <v>7</v>
      </c>
      <c r="CT6">
        <f>(CS6*'Dane dla CO'!$AB$53+'Dane dla CO'!$AD$53)/(CS6*'Dane dla CO'!$P$35+'Dane dla CO'!$Q$35)</f>
        <v>2.2145061728395059</v>
      </c>
      <c r="CU6">
        <f>CS6*'Dane dla CO'!$N$96+'Dane dla CO'!$N$97</f>
        <v>64.800000000000011</v>
      </c>
      <c r="CV6">
        <f>IF(CS6&lt;'Dane dla CO'!$Z$67,0,IF(CT6&gt;1,CU6,CT6*CU6))</f>
        <v>64.800000000000011</v>
      </c>
      <c r="CW6">
        <f t="shared" si="22"/>
        <v>0</v>
      </c>
      <c r="CX6" s="84">
        <f>(CS6*'Dane dla CWU'!$AB$53+'Dane dla CWU'!$AD$53)/(CS6*'Dane dla CO'!$P$35+'Dane dla CO'!$Q$35)</f>
        <v>2.3585390946502054</v>
      </c>
      <c r="CY6" s="84">
        <f t="shared" si="2"/>
        <v>10.319026666666666</v>
      </c>
      <c r="CZ6" s="84">
        <f>IF(CS6&lt;'Dane dla CWU'!$Z$67,0,IF(CX6&gt;1,CY6,CX6*CY6))</f>
        <v>0</v>
      </c>
      <c r="DA6" s="84">
        <f t="shared" si="3"/>
        <v>10.319026666666666</v>
      </c>
      <c r="DC6">
        <v>4</v>
      </c>
      <c r="DD6">
        <v>0</v>
      </c>
      <c r="DE6">
        <f>(DD6*'Dane dla CO'!$AB$53+'Dane dla CO'!$AD$53)/(DD6*'Dane dla CO'!$P$35+'Dane dla CO'!$Q$35)</f>
        <v>1.1306584362139918</v>
      </c>
      <c r="DF6">
        <f>DD6*'Dane dla CO'!$N$96+'Dane dla CO'!$N$97</f>
        <v>115.20000000000002</v>
      </c>
      <c r="DG6">
        <f>IF(DD6&lt;'Dane dla CO'!$Z$67,0,IF(DE6&gt;1,DF6,DE6*DF6))</f>
        <v>115.20000000000002</v>
      </c>
      <c r="DH6">
        <f t="shared" si="23"/>
        <v>0</v>
      </c>
      <c r="DI6" s="84">
        <f>(DD6*'Dane dla CWU'!$AB$53+'Dane dla CWU'!$AD$53)/(DD6*'Dane dla CO'!$P$35+'Dane dla CO'!$Q$35)</f>
        <v>1.0394375857338818</v>
      </c>
      <c r="DJ6" s="84">
        <f t="shared" si="4"/>
        <v>10.319026666666666</v>
      </c>
      <c r="DK6" s="84">
        <f>IF(DD6&lt;'Dane dla CWU'!$Z$67,0,IF(DI6&gt;1,DJ6,DI6*DJ6))</f>
        <v>0</v>
      </c>
      <c r="DL6" s="84">
        <f t="shared" si="5"/>
        <v>10.319026666666666</v>
      </c>
      <c r="DM6" s="49">
        <v>-14</v>
      </c>
      <c r="DN6" s="94">
        <f>DO6*'Dane dla CO'!$N$80</f>
        <v>1199.0204081632655</v>
      </c>
      <c r="DO6" s="94">
        <f>(15-DS6)/35*'Dane dla CO'!$N$75</f>
        <v>10.491428571428573</v>
      </c>
      <c r="DP6" s="94">
        <f t="shared" ref="DP6:DP40" si="24">IF(DR6&gt;0,DN6/DR6,DN6)</f>
        <v>1199.0204081632655</v>
      </c>
      <c r="DQ6" s="51">
        <v>-14</v>
      </c>
      <c r="DR6" s="127">
        <v>0</v>
      </c>
      <c r="DS6" s="127">
        <v>-19</v>
      </c>
      <c r="DT6" s="89">
        <f>Wykresy!Y4</f>
        <v>54.4</v>
      </c>
      <c r="DU6" s="90">
        <f>Wykresy!AE4</f>
        <v>34.633333333333333</v>
      </c>
      <c r="DV6" s="92"/>
      <c r="DW6" s="92"/>
      <c r="DX6" s="92"/>
      <c r="DY6" s="86"/>
      <c r="DZ6" s="86"/>
      <c r="EA6" s="86"/>
      <c r="EB6" s="85"/>
      <c r="EC6" s="85"/>
      <c r="ED6" s="85"/>
      <c r="EE6" s="86"/>
      <c r="EF6" s="86"/>
      <c r="EG6" s="86"/>
      <c r="EI6" s="127">
        <v>0</v>
      </c>
      <c r="EJ6" s="127">
        <f>EJ5+EI6</f>
        <v>0</v>
      </c>
      <c r="EK6" s="127">
        <v>-19</v>
      </c>
      <c r="EL6" s="89">
        <v>55</v>
      </c>
      <c r="EM6" s="92"/>
      <c r="EN6" s="92"/>
      <c r="EO6" s="92"/>
      <c r="EP6" s="85"/>
      <c r="EQ6" s="85"/>
      <c r="ER6" s="85"/>
      <c r="EV6" s="166" t="s">
        <v>184</v>
      </c>
      <c r="EW6" s="66" t="s">
        <v>143</v>
      </c>
      <c r="EX6" s="1"/>
      <c r="EY6" s="1"/>
      <c r="EZ6" s="102">
        <f>EZ7</f>
        <v>7</v>
      </c>
      <c r="FA6" s="84">
        <f>IF(EZ6=EK10,EO10,IF(EZ6=EK11,EO11,IF(EZ6=EK12,EO12,IF(EZ6=EK13,EO13,IF(EZ6=EK14,EO14,IF(EZ6=EK15,EO15,IF(EZ6=EK16,EO16,IF(EZ6=EK17,EO17,IF(EZ6=EK18,EO18,IF(EZ6=EK19,EO19,IF(EZ6=EK20,EO20,IF(EZ6=EK21,EO21,IF(EZ6=EK22,EO22,IF(EZ6=EK23,EO23,IF(EZ6=EK24,EO24,IF(EZ6=EK25,EO25,IF(EZ6=EK26,EO26,IF(EZ6=EK27,EO27,IF(EZ6=EK28,EO28,IF(EZ6=EK29,EO29,IF(EZ6=EK30,EO30,IF(EZ6=EK31,EO31,IF(EZ6=EK32,EO32,IF(EZ6=EK33,EO33,IF(EZ6=EK34,EO34,IF(EZ6=EK35,EO35,IF(EZ6=EK36,EO36,IF(EZ6=EK37,EO37,IF(EZ6=EK38,EO38,IF(EZ6=EK39,EO39,IF(EZ6=EK40,EO40,IF(EZ6=EK41,EO41,IF(EZ6=EK42,EO42,IF(EZ6=EK43,EO43,IF(EZ6=EK44,EO44,IF(EZ6=EK45,EO45,IF(EZ6=EK46,EO46,IF(EZ6=EK47,EO47,IF(EZ6=EK48,EO48,IF(EZ6=EK49,EO49,IF(EZ6=EK50,EO50,IF(EZ6=EK51,EO51,IF(EZ6=EK52,EO52,EO53)))))))))))))))))))))))))))))))))))))))))))</f>
        <v>2.1660649819494586</v>
      </c>
      <c r="FB6" s="84">
        <f>ER10</f>
        <v>2.3193609364497711</v>
      </c>
      <c r="FC6">
        <f>IF(EZ6=EK10,EO10,IF(EZ6=EK11,EO11,IF(EZ6=EK12,EO12,IF(EZ6=EK13,EO13,IF(EZ6=EK14,EO14,IF(EZ6=EK15,EO15,IF(EZ6=EK16,EO16,IF(EZ6=EK17,EO17,IF(EZ6=EK18,EO18,IF(EZ6=EK19,EO19,IF(EZ6=EK20,EO20,IF(EZ6=EK21,EO21,IF(EZ6=EK22,EO22,IF(EZ6=EK23,EO23,IF(EZ6=EK24,EO24,IF(EZ6=EK25,EO25,IF(EZ6=EK26,EO26,IF(EZ6=EK27,EO27,IF(EZ6=EK28,EO28,IF(EZ6=EK29,EO29,IF(EZ6=EK30,EO30,IF(EZ6=EK31,EO31,IF(EZ6=EK32,EO32,IF(EZ6=EK33,EO33,IF(EZ6=EK34,EO34,IF(EZ6=EK35,EO35,IF(EZ6=EK36,EO36,IF(EZ6=EK37,EO37,IF(EZ6=EK38,EO38,IF(EZ6=EK39,EO39,IF(EZ6=EO40,ER40,IF(EZ6=EK41,EO41,IF(EZ6=EK42,EO42,IF(EZ6=EK43,EO43,IF(EZ6=EK44,EO44,IF(EZ6=EK45,EO45,IF(EZ6=EK46,EO46,IF(EZ6=EK47,EO47,IF(EZ6=EK48,EO48,IF(EZ6=EK49,EO49,IF(EZ6=EK50,EO50,IF(EZ6=EK51,EO51,IF(EZ6=EK52,EO52,EO53)))))))))))))))))))))))))))))))))))))))))))</f>
        <v>2.1660649819494586</v>
      </c>
      <c r="FD6" s="84">
        <f>'Energia 221.A26'!J2</f>
        <v>3776.7637599999998</v>
      </c>
      <c r="FE6">
        <f>4*'SCOP 221.A26'!I3</f>
        <v>41.276106666666664</v>
      </c>
      <c r="FF6" s="84">
        <f>FD6/FA6*'Dane dla CO'!C56</f>
        <v>1063.5996208786664</v>
      </c>
      <c r="FG6">
        <f>FE6*'Dane dla CO'!G54</f>
        <v>11.557309866666667</v>
      </c>
      <c r="FH6" s="84"/>
      <c r="FL6" s="103">
        <f>FF6+FG6</f>
        <v>1075.1569307453331</v>
      </c>
      <c r="FM6" s="103"/>
      <c r="FN6">
        <f>FE6/2/'Dane dla CO'!H40</f>
        <v>2.1254431857191896</v>
      </c>
    </row>
    <row r="7" spans="1:170" ht="14.1">
      <c r="A7" s="162"/>
      <c r="B7">
        <v>5</v>
      </c>
      <c r="C7">
        <v>5</v>
      </c>
      <c r="D7" s="84">
        <f>(C7*'Dane dla CO'!$AB$53+'Dane dla CO'!$AD$53)/(C7*'Dane dla CO'!$P$35+'Dane dla CO'!$Q$35)</f>
        <v>1.75</v>
      </c>
      <c r="E7" s="84">
        <f>C7*'Dane dla CO'!$N$96+'Dane dla CO'!$N$97</f>
        <v>79.200000000000017</v>
      </c>
      <c r="F7" s="84">
        <f>IF(C7&lt;'Dane dla CO'!$Z$67,0,IF(D7&gt;1,E7,D7*E7))</f>
        <v>79.200000000000017</v>
      </c>
      <c r="G7" s="84">
        <f t="shared" si="6"/>
        <v>0</v>
      </c>
      <c r="H7" s="84">
        <f>(C7*'Dane dla CWU'!$AB$53+'Dane dla CWU'!$AD$53)/(C7*'Dane dla CO'!$P$35+'Dane dla CO'!$Q$35)</f>
        <v>1.7932098765432098</v>
      </c>
      <c r="I7" s="84">
        <f t="shared" si="7"/>
        <v>10.319026666666666</v>
      </c>
      <c r="J7" s="84">
        <f>IF(C7&lt;'Dane dla CWU'!$Z$67,0,IF(H7&gt;1,I7,H7*I7))</f>
        <v>0</v>
      </c>
      <c r="K7" s="84">
        <f t="shared" si="8"/>
        <v>10.319026666666666</v>
      </c>
      <c r="M7">
        <v>5</v>
      </c>
      <c r="N7">
        <v>-11</v>
      </c>
      <c r="O7">
        <f>(N7*'Dane dla CO'!$AB$53+'Dane dla CO'!$AD$53)/(N7*'Dane dla CO'!$P$35+'Dane dla CO'!$Q$35)</f>
        <v>0.60660018993352327</v>
      </c>
      <c r="P7">
        <f>N7*'Dane dla CO'!$N$96+'Dane dla CO'!$N$97</f>
        <v>194.40000000000003</v>
      </c>
      <c r="Q7">
        <f>IF(N7&lt;'Dane dla CO'!$Z$67,0,IF(O7&gt;1,P7,O7*P7))</f>
        <v>0</v>
      </c>
      <c r="R7">
        <f t="shared" si="9"/>
        <v>194.40000000000003</v>
      </c>
      <c r="S7" s="84">
        <f>(N7*'Dane dla CWU'!$AB$53+'Dane dla CWU'!$AD$53)/(N7*'Dane dla CO'!$P$35+'Dane dla CO'!$Q$35)</f>
        <v>0.40163026274137387</v>
      </c>
      <c r="T7" s="84">
        <f t="shared" si="10"/>
        <v>10.319026666666666</v>
      </c>
      <c r="U7" s="84">
        <f>IF(N7&lt;'Dane dla CWU'!$Z$67,0,IF(S7&gt;1,T7,S7*T7))</f>
        <v>0</v>
      </c>
      <c r="V7" s="84">
        <f t="shared" si="11"/>
        <v>10.319026666666666</v>
      </c>
      <c r="X7">
        <v>5</v>
      </c>
      <c r="Y7">
        <v>-2</v>
      </c>
      <c r="Z7">
        <f>(Y7*'Dane dla CO'!$AB$53+'Dane dla CO'!$AD$53)/(Y7*'Dane dla CO'!$P$35+'Dane dla CO'!$Q$35)</f>
        <v>0.98493100944081324</v>
      </c>
      <c r="AA7">
        <f>Y7*'Dane dla CO'!$N$96+'Dane dla CO'!$N$97</f>
        <v>129.60000000000002</v>
      </c>
      <c r="AB7">
        <f>IF(Y7&lt;'Dane dla CO'!$Z$67,0,IF(Z7&gt;1,AA7,Z7*AA7))</f>
        <v>127.64705882352942</v>
      </c>
      <c r="AC7">
        <f t="shared" si="12"/>
        <v>1.9529411764706026</v>
      </c>
      <c r="AD7" s="84">
        <f>(Y7*'Dane dla CWU'!$AB$53+'Dane dla CWU'!$AD$53)/(Y7*'Dane dla CO'!$P$35+'Dane dla CO'!$Q$35)</f>
        <v>0.86207939966109892</v>
      </c>
      <c r="AE7" s="84">
        <f t="shared" si="13"/>
        <v>10.319026666666666</v>
      </c>
      <c r="AF7" s="84">
        <f>IF(Y7&lt;'Dane dla CWU'!$Z$67,0,IF(AD7&gt;1,AE7,AD7*AE7))</f>
        <v>0</v>
      </c>
      <c r="AG7" s="84">
        <f t="shared" si="14"/>
        <v>10.319026666666666</v>
      </c>
      <c r="AI7">
        <v>5</v>
      </c>
      <c r="AJ7">
        <v>7</v>
      </c>
      <c r="AK7">
        <f>(AJ7*'Dane dla CO'!$AB$53+'Dane dla CO'!$AD$53)/(AJ7*'Dane dla CO'!$P$35+'Dane dla CO'!$Q$35)</f>
        <v>2.2145061728395059</v>
      </c>
      <c r="AL7">
        <f>AJ7*'Dane dla CO'!$N$96+'Dane dla CO'!$N$97</f>
        <v>64.800000000000011</v>
      </c>
      <c r="AM7">
        <f>IF(AJ7&lt;'Dane dla CO'!$Z$67,0,IF(AK7&gt;1,AL7,AK7*AL7))</f>
        <v>64.800000000000011</v>
      </c>
      <c r="AN7">
        <f t="shared" si="15"/>
        <v>0</v>
      </c>
      <c r="AO7" s="84">
        <f>(AJ7*'Dane dla CWU'!$AB$53+'Dane dla CWU'!$AD$53)/(AJ7*'Dane dla CO'!$P$35+'Dane dla CO'!$Q$35)</f>
        <v>2.3585390946502054</v>
      </c>
      <c r="AP7" s="84">
        <f t="shared" si="16"/>
        <v>10.319026666666666</v>
      </c>
      <c r="AQ7" s="84">
        <f>IF(AJ7&lt;'Dane dla CWU'!$Z$67,0,IF(AO7&gt;1,AP7,AO7*AP7))</f>
        <v>0</v>
      </c>
      <c r="AR7" s="84">
        <f t="shared" si="17"/>
        <v>10.319026666666666</v>
      </c>
      <c r="AT7">
        <v>5</v>
      </c>
      <c r="AU7">
        <v>18</v>
      </c>
      <c r="BA7">
        <v>5</v>
      </c>
      <c r="BB7">
        <v>14</v>
      </c>
      <c r="BH7">
        <v>5</v>
      </c>
      <c r="BI7">
        <v>25</v>
      </c>
      <c r="BO7">
        <v>5</v>
      </c>
      <c r="BP7">
        <v>26</v>
      </c>
      <c r="BV7">
        <v>5</v>
      </c>
      <c r="BW7">
        <v>17</v>
      </c>
      <c r="CB7" s="84"/>
      <c r="CC7" s="84">
        <f t="shared" si="18"/>
        <v>10.319026666666666</v>
      </c>
      <c r="CD7" s="84">
        <f t="shared" si="19"/>
        <v>10.319026666666666</v>
      </c>
      <c r="CE7" s="84">
        <f t="shared" si="20"/>
        <v>0</v>
      </c>
      <c r="CG7">
        <v>5</v>
      </c>
      <c r="CH7">
        <v>12</v>
      </c>
      <c r="CI7">
        <f>(CH7*'Dane dla CO'!$AB$53+'Dane dla CO'!$AD$53)/(CH7*'Dane dla CO'!$P$35+'Dane dla CO'!$Q$35)</f>
        <v>6.0853909465020575</v>
      </c>
      <c r="CJ7">
        <f>CH7*'Dane dla CO'!$N$96+'Dane dla CO'!$N$97</f>
        <v>28.800000000000011</v>
      </c>
      <c r="CK7">
        <f>IF(CH7&lt;'Dane dla CO'!$Z$67,0,IF(CI7&gt;1,CJ7,CI7*CJ7))</f>
        <v>28.800000000000011</v>
      </c>
      <c r="CL7">
        <f t="shared" si="21"/>
        <v>0</v>
      </c>
      <c r="CM7" s="84">
        <f>(CH7*'Dane dla CWU'!$AB$53+'Dane dla CWU'!$AD$53)/(CH7*'Dane dla CO'!$P$35+'Dane dla CO'!$Q$35)</f>
        <v>7.0696159122085049</v>
      </c>
      <c r="CN7" s="84">
        <f t="shared" si="0"/>
        <v>10.319026666666666</v>
      </c>
      <c r="CO7" s="84">
        <f>IF(CH7&lt;'Dane dla CWU'!$Z$67,0,IF(CM7&gt;1,CN7,CM7*CN7))</f>
        <v>10.319026666666666</v>
      </c>
      <c r="CP7" s="84">
        <f t="shared" si="1"/>
        <v>0</v>
      </c>
      <c r="CR7">
        <v>5</v>
      </c>
      <c r="CS7">
        <v>8</v>
      </c>
      <c r="CT7">
        <f>(CS7*'Dane dla CO'!$AB$53+'Dane dla CO'!$AD$53)/(CS7*'Dane dla CO'!$P$35+'Dane dla CO'!$Q$35)</f>
        <v>2.5462962962962963</v>
      </c>
      <c r="CU7">
        <f>CS7*'Dane dla CO'!$N$96+'Dane dla CO'!$N$97</f>
        <v>57.600000000000009</v>
      </c>
      <c r="CV7">
        <f>IF(CS7&lt;'Dane dla CO'!$Z$67,0,IF(CT7&gt;1,CU7,CT7*CU7))</f>
        <v>57.600000000000009</v>
      </c>
      <c r="CW7">
        <f t="shared" si="22"/>
        <v>0</v>
      </c>
      <c r="CX7" s="84">
        <f>(CS7*'Dane dla CWU'!$AB$53+'Dane dla CWU'!$AD$53)/(CS7*'Dane dla CO'!$P$35+'Dane dla CO'!$Q$35)</f>
        <v>2.7623456790123457</v>
      </c>
      <c r="CY7" s="84">
        <f t="shared" si="2"/>
        <v>10.319026666666666</v>
      </c>
      <c r="CZ7" s="84">
        <f>IF(CS7&lt;'Dane dla CWU'!$Z$67,0,IF(CX7&gt;1,CY7,CX7*CY7))</f>
        <v>10.319026666666666</v>
      </c>
      <c r="DA7" s="84">
        <f t="shared" si="3"/>
        <v>0</v>
      </c>
      <c r="DC7">
        <v>5</v>
      </c>
      <c r="DD7">
        <v>0</v>
      </c>
      <c r="DE7">
        <f>(DD7*'Dane dla CO'!$AB$53+'Dane dla CO'!$AD$53)/(DD7*'Dane dla CO'!$P$35+'Dane dla CO'!$Q$35)</f>
        <v>1.1306584362139918</v>
      </c>
      <c r="DF7">
        <f>DD7*'Dane dla CO'!$N$96+'Dane dla CO'!$N$97</f>
        <v>115.20000000000002</v>
      </c>
      <c r="DG7">
        <f>IF(DD7&lt;'Dane dla CO'!$Z$67,0,IF(DE7&gt;1,DF7,DE7*DF7))</f>
        <v>115.20000000000002</v>
      </c>
      <c r="DH7">
        <f t="shared" si="23"/>
        <v>0</v>
      </c>
      <c r="DI7" s="84">
        <f>(DD7*'Dane dla CWU'!$AB$53+'Dane dla CWU'!$AD$53)/(DD7*'Dane dla CO'!$P$35+'Dane dla CO'!$Q$35)</f>
        <v>1.0394375857338818</v>
      </c>
      <c r="DJ7" s="84">
        <f t="shared" si="4"/>
        <v>10.319026666666666</v>
      </c>
      <c r="DK7" s="84">
        <f>IF(DD7&lt;'Dane dla CWU'!$Z$67,0,IF(DI7&gt;1,DJ7,DI7*DJ7))</f>
        <v>0</v>
      </c>
      <c r="DL7" s="84">
        <f t="shared" si="5"/>
        <v>10.319026666666666</v>
      </c>
      <c r="DM7" s="49">
        <v>-13</v>
      </c>
      <c r="DN7" s="94">
        <f>DO7*'Dane dla CO'!$N$80</f>
        <v>1163.7551020408164</v>
      </c>
      <c r="DO7" s="94">
        <f>(15-DS7)/35*'Dane dla CO'!$N$75</f>
        <v>10.182857142857143</v>
      </c>
      <c r="DP7" s="94">
        <f t="shared" si="24"/>
        <v>1163.7551020408164</v>
      </c>
      <c r="DQ7" s="51">
        <v>-13</v>
      </c>
      <c r="DR7" s="127">
        <v>1</v>
      </c>
      <c r="DS7" s="127">
        <v>-18</v>
      </c>
      <c r="DT7" s="89">
        <f>Wykresy!Y5</f>
        <v>53.8</v>
      </c>
      <c r="DU7" s="90">
        <f>Wykresy!AE5</f>
        <v>34.266666666666666</v>
      </c>
      <c r="DV7" s="92"/>
      <c r="DW7" s="92"/>
      <c r="DX7" s="92"/>
      <c r="DY7" s="86"/>
      <c r="DZ7" s="86"/>
      <c r="EA7" s="86"/>
      <c r="EB7" s="85"/>
      <c r="EC7" s="85"/>
      <c r="ED7" s="85"/>
      <c r="EE7" s="86"/>
      <c r="EF7" s="86"/>
      <c r="EG7" s="86"/>
      <c r="EI7" s="127">
        <v>1</v>
      </c>
      <c r="EJ7" s="127">
        <f t="shared" ref="EJ7:EJ53" si="25">EJ6+EI7</f>
        <v>1</v>
      </c>
      <c r="EK7" s="127">
        <v>-18</v>
      </c>
      <c r="EL7" s="89">
        <v>55</v>
      </c>
      <c r="EM7" s="92"/>
      <c r="EN7" s="92"/>
      <c r="EO7" s="92"/>
      <c r="EP7" s="85"/>
      <c r="EQ7" s="85"/>
      <c r="ER7" s="85"/>
      <c r="EV7" s="166"/>
      <c r="EW7" s="67" t="s">
        <v>144</v>
      </c>
      <c r="EX7" s="59"/>
      <c r="EY7" s="21"/>
      <c r="EZ7" s="102">
        <f>ROUND('Dane dla CWU'!Z67,0)</f>
        <v>7</v>
      </c>
      <c r="FA7" s="84">
        <f>IF(EZ7=EK10,ER10,IF(EZ7=EK11,ER11,IF(EZ7=EK12,ER12,IF(EZ7=EK13,ER13,IF(EZ7=EK14,ER14,IF(EZ7=EK15,ER15,IF(EZ7=EK16,ER16,IF(EZ7=EK17,ER17,IF(EZ7=EK18,ER18,IF(EZ7=EK19,ER19,IF(EZ7=EK20,ER20,IF(EZ7=EK21,ER21,IF(EZ7=EK22,ER22,IF(EZ7=EK23,ER23,IF(EZ7=EK24,ER24,IF(EZ7=EK25,ER25,IF(EZ7=EK26,ER26,IF(EZ7=EK27,ER27,IF(EZ7=EK28,ER28,IF(EZ7=EK29,ER29,IF(EZ7=EK30,ER30,IF(EZ7=EK31,ER31,IF(EZ7=EK32,ER32,IF(EZ7=EK33,ER33,IF(EZ7=EK34,ER34,IF(EZ7=EK35,ER35,IF(EZ7=EK36,ER36,IF(EZ7=EK37,ER37,IF(EZ7=EK38,ER38,IF(EZ7=EK39,ER39,IF(EZ7=EK40,ER40,IF(EZ7=EK41,ER41,IF(EZ7=EK42,ER42,IF(EZ7=EK43,ER43,IF(EZ7=EK44,ER44,IF(EZ7=EK45,ER45,IF(EZ7=EK46,ER46,IF(EZ7=EK47,ER47,IF(EZ7=EK48,ER48,IF(EZ7=EK49,ER49,IF(EZ7=EK50,ER50,IF(EZ7=EK51,ER51,IF(EZ7=EK52,ER52,ER53)))))))))))))))))))))))))))))))))))))))))))</f>
        <v>2.5999949704657044</v>
      </c>
      <c r="FB7" s="84">
        <f>IF(EZ7=EK10,ER10,IF(EZ7=EK11,ER11,IF(EZ7=EK12,ER12,IF(EZ7=EK13,ER13,IF(EZ7=EK14,ER14,IF(EZ7=EK15,ER15,IF(EZ7=EK16,ER16,IF(EZ7=EK17,ER17,IF(EZ7=EK18,ER18,IF(EZ7=EK19,ER19,IF(EZ7=EK20,ER20,IF(EZ7=EK21,ER21,IF(EZ7=EK22,ER22,IF(EZ7=EK23,ER23,IF(EZ7=EK24,ER24,IF(EZ7=EK25,ER25,IF(EZ7=EK26,ER26,IF(EZ7=EK27,ER27,IF(EZ7=EK28,ER28,IF(EZ7=EK29,ER29,IF(EZ7=EK30,ER30,IF(EZ7=EK31,ER31,IF(EZ7=EK32,ER32,IF(EZ7=EK33,ER33,IF(EZ7=EK34,ER34,IF(EZ7=EK35,ER35,IF(EZ7=EK36,ER36,IF(EZ7=EK37,ER37,IF(EZ7=EK38,ER38,IF(EZ7=EK39,ER39,IF(EZ7=EK40,ER40,IF(EZ7=EK41,ER41,IF(EZ7=EK42,ER42,IF(EZ7=EK43,ER43,IF(EZ7=EK44,ER44,IF(EZ7=EK45,ER45,IF(EZ7=EK46,ER46,IF(EZ7=EK47,ER47,IF(EZ7=EK48,ER48,IF(EZ7=EK49,ER49,IF(EZ7=EK50,ER50,IF(EZ7=EK51,ER51,IF(EZ7=EK52,ER52,ER53)))))))))))))))))))))))))))))))))))))))))))</f>
        <v>2.5999949704657044</v>
      </c>
      <c r="FC7">
        <f>FD7/FB7</f>
        <v>896.96328383625553</v>
      </c>
      <c r="FD7">
        <f>IF(EZ7='Energia 221.A26'!B2,'Energia 221.A26'!J2,IF(EZ7='Energia 221.A26'!B3,'Energia 221.A26'!J3,IF(EZ7='Energia 221.A26'!B4,'Energia 221.A26'!J4,IF(EZ7='Energia 221.A26'!B5,'Energia 221.A26'!J5,IF(EZ7='Energia 221.A26'!B6,'Energia 221.A26'!J6,IF(EZ7='Energia 221.A26'!B7,'Energia 221.A26'!J7,IF(EZ7='Energia 221.A26'!B8,'Energia 221.A26'!J8,IF(EZ7='Energia 221.A26'!B9,'Energia 221.A26'!J9,IF(EZ7='Energia 221.A26'!B10,'Energia 221.A26'!J10,IF(EZ7='Energia 221.A26'!B11,'Energia 221.A26'!J11,IF(EZ7='Energia 221.A26'!B12,'Energia 221.A26'!J12,IF(EZ7='Energia 221.A26'!B13,'Energia 221.A26'!J13,IF(EZ7='Energia 221.A26'!B14,'Energia 221.A26'!J14,IF(EZ7='Energia 221.A26'!B15,'Energia 221.A26'!J15,IF(EZ7='Energia 221.A26'!B16,'Energia 221.A26'!J16,IF(EZ7='Energia 221.A26'!B17,'Energia 221.A26'!J17,IF(EZ7='Energia 221.A26'!B18,'Energia 221.A26'!J18,IF(EZ7='Energia 221.A26'!B19,'Energia 221.A26'!J19,IF(EZ7='Energia 221.A26'!B20,'Energia 221.A26'!J20,IF(EZ7='Energia 221.A26'!B21,'Energia 221.A26'!J21,IF(EZ7='Energia 221.A26'!B22,'Energia 221.A26'!J22,IF(EZ7='Energia 221.A26'!B23,'Energia 221.A26'!J23,IF(EZ7='Energia 221.A26'!B24,'Energia 221.A26'!J24,IF(EZ7='Energia 221.A26'!B25,'Energia 221.A26'!J25,IF(EZ7='Energia 221.A26'!B26,'Energia 221.A26'!J26,IF(EZ7='Energia 221.A26'!B27,'Energia 221.A26'!J27,IF(EZ7='Energia 221.A26'!B28,'Energia 221.A26'!J28,IF(EZ7='Energia 221.A26'!B29,'Energia 221.A26'!J29,IF(EZ7='Energia 221.A26'!B30,'Energia 221.A26'!J30,IF(EZ7='Energia 221.A26'!B31,'Energia 221.A26'!J31,IF(EZ7='Energia 221.A26'!B32,'Energia 221.A26'!J32,IF(EZ7='Energia 221.A26'!B33,'Energia 221.A26'!J33,IF(EZ7='Energia 221.A26'!B34,'Energia 221.A26'!J34,IF(EZ7='Energia 221.A26'!B35,'Energia 221.A26'!J35,IF(EZ7='Energia 221.A26'!B36,'Energia 221.A26'!J36,'Energia 221.A26'!J37)))))))))))))))))))))))))))))))))))</f>
        <v>2332.1000266666665</v>
      </c>
      <c r="FE7">
        <f>'SCOP 221.A26'!E42-'SCOP 221.A26 ver 2'!FD7</f>
        <v>1434.3447066666668</v>
      </c>
      <c r="FF7">
        <f>FD7/FB7*'Dane dla CO'!C56</f>
        <v>547.14760314011585</v>
      </c>
      <c r="FG7">
        <f>FE7*'Dane dla CO'!G54</f>
        <v>401.61651786666675</v>
      </c>
      <c r="FH7" s="84"/>
      <c r="FI7" s="84"/>
      <c r="FL7" s="103">
        <f>IF(EZ7=-15,FL6,FF7+FG7)</f>
        <v>948.7641210067826</v>
      </c>
      <c r="FM7" s="103"/>
      <c r="FN7">
        <f>IF(EZ7=-15,FN6,FE7/'Dane dla CO'!H40)</f>
        <v>147.71830140748369</v>
      </c>
    </row>
    <row r="8" spans="1:170">
      <c r="A8" s="162"/>
      <c r="B8">
        <v>6</v>
      </c>
      <c r="C8">
        <v>4</v>
      </c>
      <c r="D8" s="84">
        <f>(C8*'Dane dla CO'!$AB$53+'Dane dla CO'!$AD$53)/(C8*'Dane dla CO'!$P$35+'Dane dla CO'!$Q$35)</f>
        <v>1.5810886644219975</v>
      </c>
      <c r="E8" s="84">
        <f>C8*'Dane dla CO'!$N$96+'Dane dla CO'!$N$97</f>
        <v>86.4</v>
      </c>
      <c r="F8" s="84">
        <f>IF(C8&lt;'Dane dla CO'!$Z$67,0,IF(D8&gt;1,E8,D8*E8))</f>
        <v>86.4</v>
      </c>
      <c r="G8" s="84">
        <f t="shared" si="6"/>
        <v>0</v>
      </c>
      <c r="H8" s="84">
        <f>(C8*'Dane dla CWU'!$AB$53+'Dane dla CWU'!$AD$53)/(C8*'Dane dla CO'!$P$35+'Dane dla CO'!$Q$35)</f>
        <v>1.5876356154133928</v>
      </c>
      <c r="I8" s="84">
        <f t="shared" si="7"/>
        <v>10.319026666666666</v>
      </c>
      <c r="J8" s="84">
        <f>IF(C8&lt;'Dane dla CWU'!$Z$67,0,IF(H8&gt;1,I8,H8*I8))</f>
        <v>0</v>
      </c>
      <c r="K8" s="84">
        <f t="shared" si="8"/>
        <v>10.319026666666666</v>
      </c>
      <c r="M8">
        <v>6</v>
      </c>
      <c r="N8">
        <v>-11</v>
      </c>
      <c r="O8">
        <f>(N8*'Dane dla CO'!$AB$53+'Dane dla CO'!$AD$53)/(N8*'Dane dla CO'!$P$35+'Dane dla CO'!$Q$35)</f>
        <v>0.60660018993352327</v>
      </c>
      <c r="P8">
        <f>N8*'Dane dla CO'!$N$96+'Dane dla CO'!$N$97</f>
        <v>194.40000000000003</v>
      </c>
      <c r="Q8">
        <f>IF(N8&lt;'Dane dla CO'!$Z$67,0,IF(O8&gt;1,P8,O8*P8))</f>
        <v>0</v>
      </c>
      <c r="R8">
        <f t="shared" si="9"/>
        <v>194.40000000000003</v>
      </c>
      <c r="S8" s="84">
        <f>(N8*'Dane dla CWU'!$AB$53+'Dane dla CWU'!$AD$53)/(N8*'Dane dla CO'!$P$35+'Dane dla CO'!$Q$35)</f>
        <v>0.40163026274137387</v>
      </c>
      <c r="T8" s="84">
        <f t="shared" si="10"/>
        <v>10.319026666666666</v>
      </c>
      <c r="U8" s="84">
        <f>IF(N8&lt;'Dane dla CWU'!$Z$67,0,IF(S8&gt;1,T8,S8*T8))</f>
        <v>0</v>
      </c>
      <c r="V8" s="84">
        <f t="shared" si="11"/>
        <v>10.319026666666666</v>
      </c>
      <c r="X8">
        <v>6</v>
      </c>
      <c r="Y8">
        <v>-1</v>
      </c>
      <c r="Z8">
        <f>(Y8*'Dane dla CO'!$AB$53+'Dane dla CO'!$AD$53)/(Y8*'Dane dla CO'!$P$35+'Dane dla CO'!$Q$35)</f>
        <v>1.0532407407407407</v>
      </c>
      <c r="AA8">
        <f>Y8*'Dane dla CO'!$N$96+'Dane dla CO'!$N$97</f>
        <v>122.40000000000002</v>
      </c>
      <c r="AB8">
        <f>IF(Y8&lt;'Dane dla CO'!$Z$67,0,IF(Z8&gt;1,AA8,Z8*AA8))</f>
        <v>122.40000000000002</v>
      </c>
      <c r="AC8">
        <f t="shared" si="12"/>
        <v>0</v>
      </c>
      <c r="AD8" s="84">
        <f>(Y8*'Dane dla CWU'!$AB$53+'Dane dla CWU'!$AD$53)/(Y8*'Dane dla CO'!$P$35+'Dane dla CO'!$Q$35)</f>
        <v>0.94521604938271586</v>
      </c>
      <c r="AE8" s="84">
        <f t="shared" si="13"/>
        <v>10.319026666666666</v>
      </c>
      <c r="AF8" s="84">
        <f>IF(Y8&lt;'Dane dla CWU'!$Z$67,0,IF(AD8&gt;1,AE8,AD8*AE8))</f>
        <v>0</v>
      </c>
      <c r="AG8" s="84">
        <f t="shared" si="14"/>
        <v>10.319026666666666</v>
      </c>
      <c r="AI8">
        <v>6</v>
      </c>
      <c r="AJ8">
        <v>6</v>
      </c>
      <c r="AK8">
        <f>(AJ8*'Dane dla CO'!$AB$53+'Dane dla CO'!$AD$53)/(AJ8*'Dane dla CO'!$P$35+'Dane dla CO'!$Q$35)</f>
        <v>1.9564471879286691</v>
      </c>
      <c r="AL8">
        <f>AJ8*'Dane dla CO'!$N$96+'Dane dla CO'!$N$97</f>
        <v>72.000000000000014</v>
      </c>
      <c r="AM8">
        <f>IF(AJ8&lt;'Dane dla CO'!$Z$67,0,IF(AK8&gt;1,AL8,AK8*AL8))</f>
        <v>72.000000000000014</v>
      </c>
      <c r="AN8">
        <f t="shared" si="15"/>
        <v>0</v>
      </c>
      <c r="AO8" s="84">
        <f>(AJ8*'Dane dla CWU'!$AB$53+'Dane dla CWU'!$AD$53)/(AJ8*'Dane dla CO'!$P$35+'Dane dla CO'!$Q$35)</f>
        <v>2.0444673068129853</v>
      </c>
      <c r="AP8" s="84">
        <f t="shared" si="16"/>
        <v>10.319026666666666</v>
      </c>
      <c r="AQ8" s="84">
        <f>IF(AJ8&lt;'Dane dla CWU'!$Z$67,0,IF(AO8&gt;1,AP8,AO8*AP8))</f>
        <v>0</v>
      </c>
      <c r="AR8" s="84">
        <f t="shared" si="17"/>
        <v>10.319026666666666</v>
      </c>
      <c r="AT8">
        <v>6</v>
      </c>
      <c r="AU8">
        <v>17</v>
      </c>
      <c r="BA8">
        <v>6</v>
      </c>
      <c r="BB8">
        <v>14</v>
      </c>
      <c r="BH8">
        <v>6</v>
      </c>
      <c r="BI8">
        <v>26</v>
      </c>
      <c r="BO8">
        <v>6</v>
      </c>
      <c r="BP8">
        <v>22</v>
      </c>
      <c r="BV8">
        <v>6</v>
      </c>
      <c r="BW8">
        <v>16</v>
      </c>
      <c r="CB8" s="84"/>
      <c r="CC8" s="84">
        <f t="shared" si="18"/>
        <v>10.319026666666666</v>
      </c>
      <c r="CD8" s="84">
        <f t="shared" si="19"/>
        <v>10.319026666666666</v>
      </c>
      <c r="CE8" s="84">
        <f t="shared" si="20"/>
        <v>0</v>
      </c>
      <c r="CG8">
        <v>6</v>
      </c>
      <c r="CK8">
        <f>IF(CH8&lt;'Dane dla CO'!$Z$67,0,IF(CI8&gt;1,CJ8,CI8*CJ8))</f>
        <v>0</v>
      </c>
      <c r="CM8" s="84">
        <f>(CH8*'Dane dla CWU'!$AB$53+'Dane dla CWU'!$AD$53)/(CH8*'Dane dla CO'!$P$35+'Dane dla CO'!$Q$35)</f>
        <v>1.0394375857338818</v>
      </c>
      <c r="CN8" s="84">
        <f t="shared" si="0"/>
        <v>10.319026666666666</v>
      </c>
      <c r="CO8" s="84">
        <f>IF(CH8&lt;'Dane dla CWU'!$Z$67,0,IF(CM8&gt;1,CN8,CM8*CN8))</f>
        <v>0</v>
      </c>
      <c r="CP8" s="84">
        <f t="shared" si="1"/>
        <v>10.319026666666666</v>
      </c>
      <c r="CR8">
        <v>6</v>
      </c>
      <c r="CS8">
        <v>5</v>
      </c>
      <c r="CT8">
        <f>(CS8*'Dane dla CO'!$AB$53+'Dane dla CO'!$AD$53)/(CS8*'Dane dla CO'!$P$35+'Dane dla CO'!$Q$35)</f>
        <v>1.75</v>
      </c>
      <c r="CU8">
        <f>CS8*'Dane dla CO'!$N$96+'Dane dla CO'!$N$97</f>
        <v>79.200000000000017</v>
      </c>
      <c r="CV8">
        <f>IF(CS8&lt;'Dane dla CO'!$Z$67,0,IF(CT8&gt;1,CU8,CT8*CU8))</f>
        <v>79.200000000000017</v>
      </c>
      <c r="CW8">
        <f t="shared" si="22"/>
        <v>0</v>
      </c>
      <c r="CX8" s="84">
        <f>(CS8*'Dane dla CWU'!$AB$53+'Dane dla CWU'!$AD$53)/(CS8*'Dane dla CO'!$P$35+'Dane dla CO'!$Q$35)</f>
        <v>1.7932098765432098</v>
      </c>
      <c r="CY8" s="84">
        <f t="shared" si="2"/>
        <v>10.319026666666666</v>
      </c>
      <c r="CZ8" s="84">
        <f>IF(CS8&lt;'Dane dla CWU'!$Z$67,0,IF(CX8&gt;1,CY8,CX8*CY8))</f>
        <v>0</v>
      </c>
      <c r="DA8" s="84">
        <f t="shared" si="3"/>
        <v>10.319026666666666</v>
      </c>
      <c r="DC8">
        <v>6</v>
      </c>
      <c r="DD8">
        <v>-3</v>
      </c>
      <c r="DE8">
        <f>(DD8*'Dane dla CO'!$AB$53+'Dane dla CO'!$AD$53)/(DD8*'Dane dla CO'!$P$35+'Dane dla CO'!$Q$35)</f>
        <v>0.92421124828532231</v>
      </c>
      <c r="DF8">
        <f>DD8*'Dane dla CO'!$N$96+'Dane dla CO'!$N$97</f>
        <v>136.80000000000001</v>
      </c>
      <c r="DG8">
        <f>IF(DD8&lt;'Dane dla CO'!$Z$67,0,IF(DE8&gt;1,DF8,DE8*DF8))</f>
        <v>0</v>
      </c>
      <c r="DH8">
        <f t="shared" si="23"/>
        <v>136.80000000000001</v>
      </c>
      <c r="DI8" s="84">
        <f>(DD8*'Dane dla CWU'!$AB$53+'Dane dla CWU'!$AD$53)/(DD8*'Dane dla CO'!$P$35+'Dane dla CO'!$Q$35)</f>
        <v>0.78818015546410591</v>
      </c>
      <c r="DJ8" s="84">
        <f t="shared" si="4"/>
        <v>10.319026666666666</v>
      </c>
      <c r="DK8" s="84">
        <f>IF(DD8&lt;'Dane dla CWU'!$Z$67,0,IF(DI8&gt;1,DJ8,DI8*DJ8))</f>
        <v>0</v>
      </c>
      <c r="DL8" s="84">
        <f t="shared" si="5"/>
        <v>10.319026666666666</v>
      </c>
      <c r="DM8" s="49">
        <v>-12</v>
      </c>
      <c r="DN8" s="94">
        <f>DO8*'Dane dla CO'!$N$80</f>
        <v>1128.4897959183675</v>
      </c>
      <c r="DO8" s="94">
        <f>(15-DS8)/35*'Dane dla CO'!$N$75</f>
        <v>9.8742857142857154</v>
      </c>
      <c r="DP8" s="94">
        <f t="shared" si="24"/>
        <v>1128.4897959183675</v>
      </c>
      <c r="DQ8" s="51">
        <v>-12</v>
      </c>
      <c r="DR8" s="127">
        <v>0</v>
      </c>
      <c r="DS8" s="127">
        <v>-17</v>
      </c>
      <c r="DT8" s="89">
        <f>Wykresy!Y6</f>
        <v>53.2</v>
      </c>
      <c r="DU8" s="90">
        <f>Wykresy!AE6</f>
        <v>33.9</v>
      </c>
      <c r="DV8" s="92"/>
      <c r="DW8" s="92"/>
      <c r="DX8" s="92"/>
      <c r="DY8" s="86"/>
      <c r="DZ8" s="86"/>
      <c r="EA8" s="86"/>
      <c r="EB8" s="85"/>
      <c r="EC8" s="85"/>
      <c r="ED8" s="85"/>
      <c r="EE8" s="86"/>
      <c r="EF8" s="86"/>
      <c r="EG8" s="86"/>
      <c r="EI8" s="127">
        <v>0</v>
      </c>
      <c r="EJ8" s="127">
        <f t="shared" si="25"/>
        <v>1</v>
      </c>
      <c r="EK8" s="127">
        <v>-17</v>
      </c>
      <c r="EL8" s="89">
        <v>55</v>
      </c>
      <c r="EM8" s="92"/>
      <c r="EN8" s="92"/>
      <c r="EO8" s="92"/>
      <c r="EP8" s="85"/>
      <c r="EQ8" s="85"/>
      <c r="ER8" s="85"/>
      <c r="FC8">
        <f>FC4+FC7</f>
        <v>6098.3886689760357</v>
      </c>
      <c r="FL8" s="103">
        <f>FL6-FL7</f>
        <v>126.39280973855045</v>
      </c>
      <c r="FM8" s="103"/>
      <c r="FN8">
        <f>FN7+FN4</f>
        <v>739.43817782354927</v>
      </c>
    </row>
    <row r="9" spans="1:170">
      <c r="A9" s="162"/>
      <c r="B9">
        <v>7</v>
      </c>
      <c r="C9">
        <v>3</v>
      </c>
      <c r="D9" s="84">
        <f>(C9*'Dane dla CO'!$AB$53+'Dane dla CO'!$AD$53)/(C9*'Dane dla CO'!$P$35+'Dane dla CO'!$Q$35)</f>
        <v>1.4403292181069955</v>
      </c>
      <c r="E9" s="84">
        <f>C9*'Dane dla CO'!$N$96+'Dane dla CO'!$N$97</f>
        <v>93.600000000000023</v>
      </c>
      <c r="F9" s="84">
        <f>IF(C9&lt;'Dane dla CO'!$Z$67,0,IF(D9&gt;1,E9,D9*E9))</f>
        <v>93.600000000000023</v>
      </c>
      <c r="G9" s="84">
        <f t="shared" si="6"/>
        <v>0</v>
      </c>
      <c r="H9" s="84">
        <f>(C9*'Dane dla CWU'!$AB$53+'Dane dla CWU'!$AD$53)/(C9*'Dane dla CO'!$P$35+'Dane dla CO'!$Q$35)</f>
        <v>1.4163237311385457</v>
      </c>
      <c r="I9" s="84">
        <f t="shared" si="7"/>
        <v>10.319026666666666</v>
      </c>
      <c r="J9" s="84">
        <f>IF(C9&lt;'Dane dla CWU'!$Z$67,0,IF(H9&gt;1,I9,H9*I9))</f>
        <v>0</v>
      </c>
      <c r="K9" s="84">
        <f t="shared" si="8"/>
        <v>10.319026666666666</v>
      </c>
      <c r="M9">
        <v>7</v>
      </c>
      <c r="N9">
        <v>-9</v>
      </c>
      <c r="O9">
        <f>(N9*'Dane dla CO'!$AB$53+'Dane dla CO'!$AD$53)/(N9*'Dane dla CO'!$P$35+'Dane dla CO'!$Q$35)</f>
        <v>0.66615226337448552</v>
      </c>
      <c r="P9">
        <f>N9*'Dane dla CO'!$N$96+'Dane dla CO'!$N$97</f>
        <v>180.00000000000003</v>
      </c>
      <c r="Q9">
        <f>IF(N9&lt;'Dane dla CO'!$Z$67,0,IF(O9&gt;1,P9,O9*P9))</f>
        <v>0</v>
      </c>
      <c r="R9">
        <f t="shared" si="9"/>
        <v>180.00000000000003</v>
      </c>
      <c r="S9" s="84">
        <f>(N9*'Dane dla CWU'!$AB$53+'Dane dla CWU'!$AD$53)/(N9*'Dane dla CO'!$P$35+'Dane dla CO'!$Q$35)</f>
        <v>0.47410836762688607</v>
      </c>
      <c r="T9" s="84">
        <f t="shared" si="10"/>
        <v>10.319026666666666</v>
      </c>
      <c r="U9" s="84">
        <f>IF(N9&lt;'Dane dla CWU'!$Z$67,0,IF(S9&gt;1,T9,S9*T9))</f>
        <v>0</v>
      </c>
      <c r="V9" s="84">
        <f t="shared" si="11"/>
        <v>10.319026666666666</v>
      </c>
      <c r="X9">
        <v>7</v>
      </c>
      <c r="Y9">
        <v>-2</v>
      </c>
      <c r="Z9">
        <f>(Y9*'Dane dla CO'!$AB$53+'Dane dla CO'!$AD$53)/(Y9*'Dane dla CO'!$P$35+'Dane dla CO'!$Q$35)</f>
        <v>0.98493100944081324</v>
      </c>
      <c r="AA9">
        <f>Y9*'Dane dla CO'!$N$96+'Dane dla CO'!$N$97</f>
        <v>129.60000000000002</v>
      </c>
      <c r="AB9">
        <f>IF(Y9&lt;'Dane dla CO'!$Z$67,0,IF(Z9&gt;1,AA9,Z9*AA9))</f>
        <v>127.64705882352942</v>
      </c>
      <c r="AC9">
        <f t="shared" si="12"/>
        <v>1.9529411764706026</v>
      </c>
      <c r="AD9" s="84">
        <f>(Y9*'Dane dla CWU'!$AB$53+'Dane dla CWU'!$AD$53)/(Y9*'Dane dla CO'!$P$35+'Dane dla CO'!$Q$35)</f>
        <v>0.86207939966109892</v>
      </c>
      <c r="AE9" s="84">
        <f t="shared" si="13"/>
        <v>10.319026666666666</v>
      </c>
      <c r="AF9" s="84">
        <f>IF(Y9&lt;'Dane dla CWU'!$Z$67,0,IF(AD9&gt;1,AE9,AD9*AE9))</f>
        <v>0</v>
      </c>
      <c r="AG9" s="84">
        <f t="shared" si="14"/>
        <v>10.319026666666666</v>
      </c>
      <c r="AI9">
        <v>7</v>
      </c>
      <c r="AJ9">
        <v>8</v>
      </c>
      <c r="AK9">
        <f>(AJ9*'Dane dla CO'!$AB$53+'Dane dla CO'!$AD$53)/(AJ9*'Dane dla CO'!$P$35+'Dane dla CO'!$Q$35)</f>
        <v>2.5462962962962963</v>
      </c>
      <c r="AL9">
        <f>AJ9*'Dane dla CO'!$N$96+'Dane dla CO'!$N$97</f>
        <v>57.600000000000009</v>
      </c>
      <c r="AM9">
        <f>IF(AJ9&lt;'Dane dla CO'!$Z$67,0,IF(AK9&gt;1,AL9,AK9*AL9))</f>
        <v>57.600000000000009</v>
      </c>
      <c r="AN9">
        <f t="shared" si="15"/>
        <v>0</v>
      </c>
      <c r="AO9" s="84">
        <f>(AJ9*'Dane dla CWU'!$AB$53+'Dane dla CWU'!$AD$53)/(AJ9*'Dane dla CO'!$P$35+'Dane dla CO'!$Q$35)</f>
        <v>2.7623456790123457</v>
      </c>
      <c r="AP9" s="84">
        <f t="shared" si="16"/>
        <v>10.319026666666666</v>
      </c>
      <c r="AQ9" s="84">
        <f>IF(AJ9&lt;'Dane dla CWU'!$Z$67,0,IF(AO9&gt;1,AP9,AO9*AP9))</f>
        <v>10.319026666666666</v>
      </c>
      <c r="AR9" s="84">
        <f t="shared" si="17"/>
        <v>0</v>
      </c>
      <c r="AT9">
        <v>7</v>
      </c>
      <c r="AU9">
        <v>11</v>
      </c>
      <c r="BA9">
        <v>7</v>
      </c>
      <c r="BB9">
        <v>18</v>
      </c>
      <c r="BH9">
        <v>7</v>
      </c>
      <c r="BI9">
        <v>26</v>
      </c>
      <c r="BO9">
        <v>7</v>
      </c>
      <c r="BP9">
        <v>21</v>
      </c>
      <c r="BV9">
        <v>7</v>
      </c>
      <c r="BW9">
        <v>14</v>
      </c>
      <c r="CB9" s="84"/>
      <c r="CC9" s="84">
        <f t="shared" si="18"/>
        <v>10.319026666666666</v>
      </c>
      <c r="CD9" s="84">
        <f t="shared" si="19"/>
        <v>10.319026666666666</v>
      </c>
      <c r="CE9" s="84">
        <f t="shared" si="20"/>
        <v>0</v>
      </c>
      <c r="CG9">
        <v>7</v>
      </c>
      <c r="CH9">
        <v>11</v>
      </c>
      <c r="CI9">
        <f>(CH9*'Dane dla CO'!$AB$53+'Dane dla CO'!$AD$53)/(CH9*'Dane dla CO'!$P$35+'Dane dla CO'!$Q$35)</f>
        <v>4.5370370370370363</v>
      </c>
      <c r="CJ9">
        <f>CH9*'Dane dla CO'!$N$96+'Dane dla CO'!$N$97</f>
        <v>36</v>
      </c>
      <c r="CK9">
        <f>IF(CH9&lt;'Dane dla CO'!$Z$67,0,IF(CI9&gt;1,CJ9,CI9*CJ9))</f>
        <v>36</v>
      </c>
      <c r="CL9">
        <f t="shared" si="21"/>
        <v>0</v>
      </c>
      <c r="CM9" s="84">
        <f>(CH9*'Dane dla CWU'!$AB$53+'Dane dla CWU'!$AD$53)/(CH9*'Dane dla CO'!$P$35+'Dane dla CO'!$Q$35)</f>
        <v>5.1851851851851842</v>
      </c>
      <c r="CN9" s="84">
        <f t="shared" si="0"/>
        <v>10.319026666666666</v>
      </c>
      <c r="CO9" s="84">
        <f>IF(CH9&lt;'Dane dla CWU'!$Z$67,0,IF(CM9&gt;1,CN9,CM9*CN9))</f>
        <v>10.319026666666666</v>
      </c>
      <c r="CP9" s="84">
        <f t="shared" si="1"/>
        <v>0</v>
      </c>
      <c r="CR9">
        <v>7</v>
      </c>
      <c r="CS9">
        <v>5</v>
      </c>
      <c r="CT9">
        <f>(CS9*'Dane dla CO'!$AB$53+'Dane dla CO'!$AD$53)/(CS9*'Dane dla CO'!$P$35+'Dane dla CO'!$Q$35)</f>
        <v>1.75</v>
      </c>
      <c r="CU9">
        <f>CS9*'Dane dla CO'!$N$96+'Dane dla CO'!$N$97</f>
        <v>79.200000000000017</v>
      </c>
      <c r="CV9">
        <f>IF(CS9&lt;'Dane dla CO'!$Z$67,0,IF(CT9&gt;1,CU9,CT9*CU9))</f>
        <v>79.200000000000017</v>
      </c>
      <c r="CW9">
        <f t="shared" si="22"/>
        <v>0</v>
      </c>
      <c r="CX9" s="84">
        <f>(CS9*'Dane dla CWU'!$AB$53+'Dane dla CWU'!$AD$53)/(CS9*'Dane dla CO'!$P$35+'Dane dla CO'!$Q$35)</f>
        <v>1.7932098765432098</v>
      </c>
      <c r="CY9" s="84">
        <f t="shared" si="2"/>
        <v>10.319026666666666</v>
      </c>
      <c r="CZ9" s="84">
        <f>IF(CS9&lt;'Dane dla CWU'!$Z$67,0,IF(CX9&gt;1,CY9,CX9*CY9))</f>
        <v>0</v>
      </c>
      <c r="DA9" s="84">
        <f t="shared" si="3"/>
        <v>10.319026666666666</v>
      </c>
      <c r="DC9">
        <v>7</v>
      </c>
      <c r="DD9">
        <v>-4</v>
      </c>
      <c r="DE9">
        <f>(DD9*'Dane dla CO'!$AB$53+'Dane dla CO'!$AD$53)/(DD9*'Dane dla CO'!$P$35+'Dane dla CO'!$Q$35)</f>
        <v>0.86988304093567259</v>
      </c>
      <c r="DF9">
        <f>DD9*'Dane dla CO'!$N$96+'Dane dla CO'!$N$97</f>
        <v>144.00000000000003</v>
      </c>
      <c r="DG9">
        <f>IF(DD9&lt;'Dane dla CO'!$Z$67,0,IF(DE9&gt;1,DF9,DE9*DF9))</f>
        <v>0</v>
      </c>
      <c r="DH9">
        <f t="shared" si="23"/>
        <v>144.00000000000003</v>
      </c>
      <c r="DI9" s="84">
        <f>(DD9*'Dane dla CWU'!$AB$53+'Dane dla CWU'!$AD$53)/(DD9*'Dane dla CO'!$P$35+'Dane dla CO'!$Q$35)</f>
        <v>0.72205977907732288</v>
      </c>
      <c r="DJ9" s="84">
        <f t="shared" si="4"/>
        <v>10.319026666666666</v>
      </c>
      <c r="DK9" s="84">
        <f>IF(DD9&lt;'Dane dla CWU'!$Z$67,0,IF(DI9&gt;1,DJ9,DI9*DJ9))</f>
        <v>0</v>
      </c>
      <c r="DL9" s="84">
        <f t="shared" si="5"/>
        <v>10.319026666666666</v>
      </c>
      <c r="DM9" s="49">
        <v>-12</v>
      </c>
      <c r="DN9" s="94">
        <f>DO9*'Dane dla CO'!$N$80</f>
        <v>1093.2244897959185</v>
      </c>
      <c r="DO9" s="94">
        <f>(15-DS9)/35*'Dane dla CO'!$N$75</f>
        <v>9.5657142857142858</v>
      </c>
      <c r="DP9" s="94">
        <f t="shared" si="24"/>
        <v>1093.2244897959185</v>
      </c>
      <c r="DQ9" s="51">
        <v>-12</v>
      </c>
      <c r="DR9" s="127">
        <v>1</v>
      </c>
      <c r="DS9" s="127">
        <v>-16</v>
      </c>
      <c r="DT9" s="89">
        <f>Wykresy!Y7</f>
        <v>52.6</v>
      </c>
      <c r="DU9" s="90">
        <f>Wykresy!AE7</f>
        <v>33.533333333333331</v>
      </c>
      <c r="DV9" s="92"/>
      <c r="DW9" s="92"/>
      <c r="DX9" s="92"/>
      <c r="DY9" s="86"/>
      <c r="DZ9" s="86"/>
      <c r="EA9" s="86"/>
      <c r="EB9" s="85"/>
      <c r="EC9" s="85"/>
      <c r="ED9" s="85"/>
      <c r="EE9" s="86"/>
      <c r="EF9" s="86"/>
      <c r="EG9" s="86"/>
      <c r="EI9" s="127">
        <v>1</v>
      </c>
      <c r="EJ9" s="127">
        <f t="shared" si="25"/>
        <v>2</v>
      </c>
      <c r="EK9" s="127">
        <v>-16</v>
      </c>
      <c r="EL9" s="89">
        <v>55</v>
      </c>
      <c r="EM9" s="92"/>
      <c r="EN9" s="92"/>
      <c r="EO9" s="92"/>
      <c r="EP9" s="85"/>
      <c r="EQ9" s="85"/>
      <c r="ER9" s="85"/>
      <c r="FL9" s="103"/>
      <c r="FM9" s="103"/>
    </row>
    <row r="10" spans="1:170">
      <c r="A10" s="162"/>
      <c r="B10">
        <v>8</v>
      </c>
      <c r="C10">
        <v>4</v>
      </c>
      <c r="D10" s="84">
        <f>(C10*'Dane dla CO'!$AB$53+'Dane dla CO'!$AD$53)/(C10*'Dane dla CO'!$P$35+'Dane dla CO'!$Q$35)</f>
        <v>1.5810886644219975</v>
      </c>
      <c r="E10" s="84">
        <f>C10*'Dane dla CO'!$N$96+'Dane dla CO'!$N$97</f>
        <v>86.4</v>
      </c>
      <c r="F10" s="84">
        <f>IF(C10&lt;'Dane dla CO'!$Z$67,0,IF(D10&gt;1,E10,D10*E10))</f>
        <v>86.4</v>
      </c>
      <c r="G10" s="84">
        <f t="shared" si="6"/>
        <v>0</v>
      </c>
      <c r="H10" s="84">
        <f>(C10*'Dane dla CWU'!$AB$53+'Dane dla CWU'!$AD$53)/(C10*'Dane dla CO'!$P$35+'Dane dla CO'!$Q$35)</f>
        <v>1.5876356154133928</v>
      </c>
      <c r="I10" s="84">
        <f t="shared" si="7"/>
        <v>10.319026666666666</v>
      </c>
      <c r="J10" s="84">
        <f>IF(C10&lt;'Dane dla CWU'!$Z$67,0,IF(H10&gt;1,I10,H10*I10))</f>
        <v>0</v>
      </c>
      <c r="K10" s="84">
        <f t="shared" si="8"/>
        <v>10.319026666666666</v>
      </c>
      <c r="M10">
        <v>8</v>
      </c>
      <c r="N10">
        <v>-11</v>
      </c>
      <c r="O10">
        <f>(N10*'Dane dla CO'!$AB$53+'Dane dla CO'!$AD$53)/(N10*'Dane dla CO'!$P$35+'Dane dla CO'!$Q$35)</f>
        <v>0.60660018993352327</v>
      </c>
      <c r="P10">
        <f>N10*'Dane dla CO'!$N$96+'Dane dla CO'!$N$97</f>
        <v>194.40000000000003</v>
      </c>
      <c r="Q10">
        <f>IF(N10&lt;'Dane dla CO'!$Z$67,0,IF(O10&gt;1,P10,O10*P10))</f>
        <v>0</v>
      </c>
      <c r="R10">
        <f t="shared" si="9"/>
        <v>194.40000000000003</v>
      </c>
      <c r="S10" s="84">
        <f>(N10*'Dane dla CWU'!$AB$53+'Dane dla CWU'!$AD$53)/(N10*'Dane dla CO'!$P$35+'Dane dla CO'!$Q$35)</f>
        <v>0.40163026274137387</v>
      </c>
      <c r="T10" s="84">
        <f t="shared" si="10"/>
        <v>10.319026666666666</v>
      </c>
      <c r="U10" s="84">
        <f>IF(N10&lt;'Dane dla CWU'!$Z$67,0,IF(S10&gt;1,T10,S10*T10))</f>
        <v>0</v>
      </c>
      <c r="V10" s="84">
        <f t="shared" si="11"/>
        <v>10.319026666666666</v>
      </c>
      <c r="X10">
        <v>8</v>
      </c>
      <c r="Y10">
        <v>0</v>
      </c>
      <c r="Z10">
        <f>(Y10*'Dane dla CO'!$AB$53+'Dane dla CO'!$AD$53)/(Y10*'Dane dla CO'!$P$35+'Dane dla CO'!$Q$35)</f>
        <v>1.1306584362139918</v>
      </c>
      <c r="AA10">
        <f>Y10*'Dane dla CO'!$N$96+'Dane dla CO'!$N$97</f>
        <v>115.20000000000002</v>
      </c>
      <c r="AB10">
        <f>IF(Y10&lt;'Dane dla CO'!$Z$67,0,IF(Z10&gt;1,AA10,Z10*AA10))</f>
        <v>115.20000000000002</v>
      </c>
      <c r="AC10">
        <f t="shared" si="12"/>
        <v>0</v>
      </c>
      <c r="AD10" s="84">
        <f>(Y10*'Dane dla CWU'!$AB$53+'Dane dla CWU'!$AD$53)/(Y10*'Dane dla CO'!$P$35+'Dane dla CO'!$Q$35)</f>
        <v>1.0394375857338818</v>
      </c>
      <c r="AE10" s="84">
        <f t="shared" si="13"/>
        <v>10.319026666666666</v>
      </c>
      <c r="AF10" s="84">
        <f>IF(Y10&lt;'Dane dla CWU'!$Z$67,0,IF(AD10&gt;1,AE10,AD10*AE10))</f>
        <v>0</v>
      </c>
      <c r="AG10" s="84">
        <f t="shared" si="14"/>
        <v>10.319026666666666</v>
      </c>
      <c r="AI10">
        <v>8</v>
      </c>
      <c r="AJ10">
        <v>2</v>
      </c>
      <c r="AK10">
        <f>(AJ10*'Dane dla CO'!$AB$53+'Dane dla CO'!$AD$53)/(AJ10*'Dane dla CO'!$P$35+'Dane dla CO'!$Q$35)</f>
        <v>1.321225071225071</v>
      </c>
      <c r="AL10">
        <f>AJ10*'Dane dla CO'!$N$96+'Dane dla CO'!$N$97</f>
        <v>100.80000000000001</v>
      </c>
      <c r="AM10">
        <f>IF(AJ10&lt;'Dane dla CO'!$Z$67,0,IF(AK10&gt;1,AL10,AK10*AL10))</f>
        <v>100.80000000000001</v>
      </c>
      <c r="AN10">
        <f t="shared" si="15"/>
        <v>0</v>
      </c>
      <c r="AO10" s="84">
        <f>(AJ10*'Dane dla CWU'!$AB$53+'Dane dla CWU'!$AD$53)/(AJ10*'Dane dla CO'!$P$35+'Dane dla CO'!$Q$35)</f>
        <v>1.2713675213675213</v>
      </c>
      <c r="AP10" s="84">
        <f t="shared" si="16"/>
        <v>10.319026666666666</v>
      </c>
      <c r="AQ10" s="84">
        <f>IF(AJ10&lt;'Dane dla CWU'!$Z$67,0,IF(AO10&gt;1,AP10,AO10*AP10))</f>
        <v>0</v>
      </c>
      <c r="AR10" s="84">
        <f t="shared" si="17"/>
        <v>10.319026666666666</v>
      </c>
      <c r="AT10">
        <v>8</v>
      </c>
      <c r="AU10">
        <v>10</v>
      </c>
      <c r="BA10">
        <v>8</v>
      </c>
      <c r="BB10">
        <v>21</v>
      </c>
      <c r="BH10">
        <v>8</v>
      </c>
      <c r="BI10">
        <v>24</v>
      </c>
      <c r="BO10">
        <v>8</v>
      </c>
      <c r="BP10">
        <v>18</v>
      </c>
      <c r="BV10">
        <v>8</v>
      </c>
      <c r="BW10">
        <v>17</v>
      </c>
      <c r="CB10" s="84"/>
      <c r="CC10" s="84">
        <f t="shared" si="18"/>
        <v>10.319026666666666</v>
      </c>
      <c r="CD10" s="84">
        <f t="shared" si="19"/>
        <v>10.319026666666666</v>
      </c>
      <c r="CE10" s="84">
        <f t="shared" si="20"/>
        <v>0</v>
      </c>
      <c r="CG10">
        <v>8</v>
      </c>
      <c r="CH10">
        <v>8</v>
      </c>
      <c r="CI10">
        <f>(CH10*'Dane dla CO'!$AB$53+'Dane dla CO'!$AD$53)/(CH10*'Dane dla CO'!$P$35+'Dane dla CO'!$Q$35)</f>
        <v>2.5462962962962963</v>
      </c>
      <c r="CJ10">
        <f>CH10*'Dane dla CO'!$N$96+'Dane dla CO'!$N$97</f>
        <v>57.600000000000009</v>
      </c>
      <c r="CK10">
        <f>IF(CH10&lt;'Dane dla CO'!$Z$67,0,IF(CI10&gt;1,CJ10,CI10*CJ10))</f>
        <v>57.600000000000009</v>
      </c>
      <c r="CL10">
        <f t="shared" si="21"/>
        <v>0</v>
      </c>
      <c r="CM10" s="84">
        <f>(CH10*'Dane dla CWU'!$AB$53+'Dane dla CWU'!$AD$53)/(CH10*'Dane dla CO'!$P$35+'Dane dla CO'!$Q$35)</f>
        <v>2.7623456790123457</v>
      </c>
      <c r="CN10" s="84">
        <f t="shared" si="0"/>
        <v>10.319026666666666</v>
      </c>
      <c r="CO10" s="84">
        <f>IF(CH10&lt;'Dane dla CWU'!$Z$67,0,IF(CM10&gt;1,CN10,CM10*CN10))</f>
        <v>10.319026666666666</v>
      </c>
      <c r="CP10" s="84">
        <f t="shared" si="1"/>
        <v>0</v>
      </c>
      <c r="CR10">
        <v>8</v>
      </c>
      <c r="CS10">
        <v>8</v>
      </c>
      <c r="CT10">
        <f>(CS10*'Dane dla CO'!$AB$53+'Dane dla CO'!$AD$53)/(CS10*'Dane dla CO'!$P$35+'Dane dla CO'!$Q$35)</f>
        <v>2.5462962962962963</v>
      </c>
      <c r="CU10">
        <f>CS10*'Dane dla CO'!$N$96+'Dane dla CO'!$N$97</f>
        <v>57.600000000000009</v>
      </c>
      <c r="CV10">
        <f>IF(CS10&lt;'Dane dla CO'!$Z$67,0,IF(CT10&gt;1,CU10,CT10*CU10))</f>
        <v>57.600000000000009</v>
      </c>
      <c r="CW10">
        <f t="shared" si="22"/>
        <v>0</v>
      </c>
      <c r="CX10" s="84">
        <f>(CS10*'Dane dla CWU'!$AB$53+'Dane dla CWU'!$AD$53)/(CS10*'Dane dla CO'!$P$35+'Dane dla CO'!$Q$35)</f>
        <v>2.7623456790123457</v>
      </c>
      <c r="CY10" s="84">
        <f t="shared" si="2"/>
        <v>10.319026666666666</v>
      </c>
      <c r="CZ10" s="84">
        <f>IF(CS10&lt;'Dane dla CWU'!$Z$67,0,IF(CX10&gt;1,CY10,CX10*CY10))</f>
        <v>10.319026666666666</v>
      </c>
      <c r="DA10" s="84">
        <f t="shared" si="3"/>
        <v>0</v>
      </c>
      <c r="DC10">
        <v>8</v>
      </c>
      <c r="DD10">
        <v>-10</v>
      </c>
      <c r="DE10">
        <f>(DD10*'Dane dla CO'!$AB$53+'Dane dla CO'!$AD$53)/(DD10*'Dane dla CO'!$P$35+'Dane dla CO'!$Q$35)</f>
        <v>0.63518518518518519</v>
      </c>
      <c r="DF10">
        <f>DD10*'Dane dla CO'!$N$96+'Dane dla CO'!$N$97</f>
        <v>187.20000000000005</v>
      </c>
      <c r="DG10">
        <f>IF(DD10&lt;'Dane dla CO'!$Z$67,0,IF(DE10&gt;1,DF10,DE10*DF10))</f>
        <v>0</v>
      </c>
      <c r="DH10">
        <f t="shared" si="23"/>
        <v>187.20000000000005</v>
      </c>
      <c r="DI10" s="84">
        <f>(DD10*'Dane dla CWU'!$AB$53+'Dane dla CWU'!$AD$53)/(DD10*'Dane dla CO'!$P$35+'Dane dla CO'!$Q$35)</f>
        <v>0.43641975308641973</v>
      </c>
      <c r="DJ10" s="84">
        <f t="shared" si="4"/>
        <v>10.319026666666666</v>
      </c>
      <c r="DK10" s="84">
        <f>IF(DD10&lt;'Dane dla CWU'!$Z$67,0,IF(DI10&gt;1,DJ10,DI10*DJ10))</f>
        <v>0</v>
      </c>
      <c r="DL10" s="84">
        <f t="shared" si="5"/>
        <v>10.319026666666666</v>
      </c>
      <c r="DM10" s="49">
        <v>-12</v>
      </c>
      <c r="DN10" s="94">
        <f>DO10*'Dane dla CO'!$N$80</f>
        <v>1057.9591836734696</v>
      </c>
      <c r="DO10" s="94">
        <f>(15-DS10)/35*'Dane dla CO'!$N$75</f>
        <v>9.257142857142858</v>
      </c>
      <c r="DP10" s="94">
        <f t="shared" si="24"/>
        <v>1057.9591836734696</v>
      </c>
      <c r="DQ10" s="51">
        <v>-12</v>
      </c>
      <c r="DR10" s="127">
        <v>0</v>
      </c>
      <c r="DS10" s="127">
        <v>-15</v>
      </c>
      <c r="DT10" s="89">
        <f>Wykresy!Y8</f>
        <v>52</v>
      </c>
      <c r="DU10" s="90">
        <f>Wykresy!AE8</f>
        <v>33.166666666666671</v>
      </c>
      <c r="DV10" s="92">
        <v>3</v>
      </c>
      <c r="DW10" s="92">
        <v>2.4</v>
      </c>
      <c r="DX10" s="92">
        <f>DV10/DW10</f>
        <v>1.25</v>
      </c>
      <c r="DY10" s="86">
        <v>5.2</v>
      </c>
      <c r="DZ10" s="86">
        <v>2.5299999999999998</v>
      </c>
      <c r="EA10" s="96">
        <f>DY10/DZ10</f>
        <v>2.0553359683794468</v>
      </c>
      <c r="EB10" s="85">
        <f>SUM($DR$5:$DR$10)</f>
        <v>2</v>
      </c>
      <c r="EC10" s="85">
        <f t="shared" ref="EC10:EC40" si="26">EB10*DX10/$DT$42</f>
        <v>1.1111111111111112E-2</v>
      </c>
      <c r="ED10" s="92">
        <f>'Energia 221.A26'!P7</f>
        <v>2.7086670186392467</v>
      </c>
      <c r="EE10" s="86">
        <f>SUM($DR$5:$DR$10)</f>
        <v>2</v>
      </c>
      <c r="EF10" s="86">
        <f t="shared" ref="EF10:EF40" si="27">EE10*EA10/$DT$42</f>
        <v>1.8269653052261747E-2</v>
      </c>
      <c r="EG10" s="96">
        <f>'Energia 221.A26'!S7</f>
        <v>3.7388127214238689</v>
      </c>
      <c r="EI10" s="127">
        <v>0</v>
      </c>
      <c r="EJ10" s="127">
        <f t="shared" si="25"/>
        <v>2</v>
      </c>
      <c r="EK10" s="127">
        <v>-15</v>
      </c>
      <c r="EL10" s="89">
        <v>55</v>
      </c>
      <c r="EM10" s="92">
        <v>2.8</v>
      </c>
      <c r="EN10" s="92">
        <v>2.4</v>
      </c>
      <c r="EO10" s="92">
        <f>EM10/EN10</f>
        <v>1.1666666666666667</v>
      </c>
      <c r="EP10" s="85">
        <f>SUM($DR$5:$DR$10)</f>
        <v>2</v>
      </c>
      <c r="EQ10" s="85">
        <f t="shared" ref="EQ10:EQ53" si="28">EP10*EO10/$DT$42</f>
        <v>1.0370370370370372E-2</v>
      </c>
      <c r="ER10" s="92">
        <f>'Energia 221.A26'!V7</f>
        <v>2.3193609364497711</v>
      </c>
      <c r="ES10">
        <f>(EM18-EM10)/8</f>
        <v>0.125</v>
      </c>
      <c r="ET10">
        <f>(EN18-EN10)/8</f>
        <v>1.0000000000000009E-2</v>
      </c>
      <c r="EZ10" t="s">
        <v>272</v>
      </c>
      <c r="FB10" s="84">
        <f>'Energia 221.A26'!H2</f>
        <v>20181.599999999999</v>
      </c>
      <c r="FL10" s="103"/>
      <c r="FM10" s="103"/>
    </row>
    <row r="11" spans="1:170">
      <c r="A11" s="162"/>
      <c r="B11">
        <v>9</v>
      </c>
      <c r="C11">
        <v>3</v>
      </c>
      <c r="D11" s="84">
        <f>(C11*'Dane dla CO'!$AB$53+'Dane dla CO'!$AD$53)/(C11*'Dane dla CO'!$P$35+'Dane dla CO'!$Q$35)</f>
        <v>1.4403292181069955</v>
      </c>
      <c r="E11" s="84">
        <f>C11*'Dane dla CO'!$N$96+'Dane dla CO'!$N$97</f>
        <v>93.600000000000023</v>
      </c>
      <c r="F11" s="84">
        <f>IF(C11&lt;'Dane dla CO'!$Z$67,0,IF(D11&gt;1,E11,D11*E11))</f>
        <v>93.600000000000023</v>
      </c>
      <c r="G11" s="84">
        <f t="shared" si="6"/>
        <v>0</v>
      </c>
      <c r="H11" s="84">
        <f>(C11*'Dane dla CWU'!$AB$53+'Dane dla CWU'!$AD$53)/(C11*'Dane dla CO'!$P$35+'Dane dla CO'!$Q$35)</f>
        <v>1.4163237311385457</v>
      </c>
      <c r="I11" s="84">
        <f t="shared" si="7"/>
        <v>10.319026666666666</v>
      </c>
      <c r="J11" s="84">
        <f>IF(C11&lt;'Dane dla CWU'!$Z$67,0,IF(H11&gt;1,I11,H11*I11))</f>
        <v>0</v>
      </c>
      <c r="K11" s="84">
        <f t="shared" si="8"/>
        <v>10.319026666666666</v>
      </c>
      <c r="M11">
        <v>9</v>
      </c>
      <c r="N11">
        <v>-10</v>
      </c>
      <c r="O11">
        <f>(N11*'Dane dla CO'!$AB$53+'Dane dla CO'!$AD$53)/(N11*'Dane dla CO'!$P$35+'Dane dla CO'!$Q$35)</f>
        <v>0.63518518518518519</v>
      </c>
      <c r="P11">
        <f>N11*'Dane dla CO'!$N$96+'Dane dla CO'!$N$97</f>
        <v>187.20000000000005</v>
      </c>
      <c r="Q11">
        <f>IF(N11&lt;'Dane dla CO'!$Z$67,0,IF(O11&gt;1,P11,O11*P11))</f>
        <v>0</v>
      </c>
      <c r="R11">
        <f t="shared" si="9"/>
        <v>187.20000000000005</v>
      </c>
      <c r="S11" s="84">
        <f>(N11*'Dane dla CWU'!$AB$53+'Dane dla CWU'!$AD$53)/(N11*'Dane dla CO'!$P$35+'Dane dla CO'!$Q$35)</f>
        <v>0.43641975308641973</v>
      </c>
      <c r="T11" s="84">
        <f t="shared" si="10"/>
        <v>10.319026666666666</v>
      </c>
      <c r="U11" s="84">
        <f>IF(N11&lt;'Dane dla CWU'!$Z$67,0,IF(S11&gt;1,T11,S11*T11))</f>
        <v>0</v>
      </c>
      <c r="V11" s="84">
        <f t="shared" si="11"/>
        <v>10.319026666666666</v>
      </c>
      <c r="X11">
        <v>9</v>
      </c>
      <c r="Y11">
        <v>3</v>
      </c>
      <c r="Z11">
        <f>(Y11*'Dane dla CO'!$AB$53+'Dane dla CO'!$AD$53)/(Y11*'Dane dla CO'!$P$35+'Dane dla CO'!$Q$35)</f>
        <v>1.4403292181069955</v>
      </c>
      <c r="AA11">
        <f>Y11*'Dane dla CO'!$N$96+'Dane dla CO'!$N$97</f>
        <v>93.600000000000023</v>
      </c>
      <c r="AB11">
        <f>IF(Y11&lt;'Dane dla CO'!$Z$67,0,IF(Z11&gt;1,AA11,Z11*AA11))</f>
        <v>93.600000000000023</v>
      </c>
      <c r="AC11">
        <f t="shared" si="12"/>
        <v>0</v>
      </c>
      <c r="AD11" s="84">
        <f>(Y11*'Dane dla CWU'!$AB$53+'Dane dla CWU'!$AD$53)/(Y11*'Dane dla CO'!$P$35+'Dane dla CO'!$Q$35)</f>
        <v>1.4163237311385457</v>
      </c>
      <c r="AE11" s="84">
        <f t="shared" si="13"/>
        <v>10.319026666666666</v>
      </c>
      <c r="AF11" s="84">
        <f>IF(Y11&lt;'Dane dla CWU'!$Z$67,0,IF(AD11&gt;1,AE11,AD11*AE11))</f>
        <v>0</v>
      </c>
      <c r="AG11" s="84">
        <f t="shared" si="14"/>
        <v>10.319026666666666</v>
      </c>
      <c r="AI11">
        <v>9</v>
      </c>
      <c r="AJ11">
        <v>2</v>
      </c>
      <c r="AK11">
        <f>(AJ11*'Dane dla CO'!$AB$53+'Dane dla CO'!$AD$53)/(AJ11*'Dane dla CO'!$P$35+'Dane dla CO'!$Q$35)</f>
        <v>1.321225071225071</v>
      </c>
      <c r="AL11">
        <f>AJ11*'Dane dla CO'!$N$96+'Dane dla CO'!$N$97</f>
        <v>100.80000000000001</v>
      </c>
      <c r="AM11">
        <f>IF(AJ11&lt;'Dane dla CO'!$Z$67,0,IF(AK11&gt;1,AL11,AK11*AL11))</f>
        <v>100.80000000000001</v>
      </c>
      <c r="AN11">
        <f t="shared" si="15"/>
        <v>0</v>
      </c>
      <c r="AO11" s="84">
        <f>(AJ11*'Dane dla CWU'!$AB$53+'Dane dla CWU'!$AD$53)/(AJ11*'Dane dla CO'!$P$35+'Dane dla CO'!$Q$35)</f>
        <v>1.2713675213675213</v>
      </c>
      <c r="AP11" s="84">
        <f t="shared" si="16"/>
        <v>10.319026666666666</v>
      </c>
      <c r="AQ11" s="84">
        <f>IF(AJ11&lt;'Dane dla CWU'!$Z$67,0,IF(AO11&gt;1,AP11,AO11*AP11))</f>
        <v>0</v>
      </c>
      <c r="AR11" s="84">
        <f t="shared" si="17"/>
        <v>10.319026666666666</v>
      </c>
      <c r="AT11">
        <v>9</v>
      </c>
      <c r="AU11">
        <v>12</v>
      </c>
      <c r="BA11">
        <v>9</v>
      </c>
      <c r="BB11">
        <v>20</v>
      </c>
      <c r="BH11">
        <v>9</v>
      </c>
      <c r="BI11">
        <v>23</v>
      </c>
      <c r="BO11">
        <v>9</v>
      </c>
      <c r="BP11">
        <v>19</v>
      </c>
      <c r="BV11">
        <v>9</v>
      </c>
      <c r="BW11">
        <v>17</v>
      </c>
      <c r="CB11" s="84"/>
      <c r="CC11" s="84">
        <f t="shared" si="18"/>
        <v>10.319026666666666</v>
      </c>
      <c r="CD11" s="84">
        <f t="shared" si="19"/>
        <v>10.319026666666666</v>
      </c>
      <c r="CE11" s="84">
        <f t="shared" si="20"/>
        <v>0</v>
      </c>
      <c r="CG11">
        <v>9</v>
      </c>
      <c r="CH11">
        <v>8</v>
      </c>
      <c r="CI11">
        <f>(CH11*'Dane dla CO'!$AB$53+'Dane dla CO'!$AD$53)/(CH11*'Dane dla CO'!$P$35+'Dane dla CO'!$Q$35)</f>
        <v>2.5462962962962963</v>
      </c>
      <c r="CJ11">
        <f>CH11*'Dane dla CO'!$N$96+'Dane dla CO'!$N$97</f>
        <v>57.600000000000009</v>
      </c>
      <c r="CK11">
        <f>IF(CH11&lt;'Dane dla CO'!$Z$67,0,IF(CI11&gt;1,CJ11,CI11*CJ11))</f>
        <v>57.600000000000009</v>
      </c>
      <c r="CL11">
        <f t="shared" si="21"/>
        <v>0</v>
      </c>
      <c r="CM11" s="84">
        <f>(CH11*'Dane dla CWU'!$AB$53+'Dane dla CWU'!$AD$53)/(CH11*'Dane dla CO'!$P$35+'Dane dla CO'!$Q$35)</f>
        <v>2.7623456790123457</v>
      </c>
      <c r="CN11" s="84">
        <f t="shared" si="0"/>
        <v>10.319026666666666</v>
      </c>
      <c r="CO11" s="84">
        <f>IF(CH11&lt;'Dane dla CWU'!$Z$67,0,IF(CM11&gt;1,CN11,CM11*CN11))</f>
        <v>10.319026666666666</v>
      </c>
      <c r="CP11" s="84">
        <f t="shared" si="1"/>
        <v>0</v>
      </c>
      <c r="CR11">
        <v>9</v>
      </c>
      <c r="CS11">
        <v>6</v>
      </c>
      <c r="CT11">
        <f>(CS11*'Dane dla CO'!$AB$53+'Dane dla CO'!$AD$53)/(CS11*'Dane dla CO'!$P$35+'Dane dla CO'!$Q$35)</f>
        <v>1.9564471879286691</v>
      </c>
      <c r="CU11">
        <f>CS11*'Dane dla CO'!$N$96+'Dane dla CO'!$N$97</f>
        <v>72.000000000000014</v>
      </c>
      <c r="CV11">
        <f>IF(CS11&lt;'Dane dla CO'!$Z$67,0,IF(CT11&gt;1,CU11,CT11*CU11))</f>
        <v>72.000000000000014</v>
      </c>
      <c r="CW11">
        <f t="shared" si="22"/>
        <v>0</v>
      </c>
      <c r="CX11" s="84">
        <f>(CS11*'Dane dla CWU'!$AB$53+'Dane dla CWU'!$AD$53)/(CS11*'Dane dla CO'!$P$35+'Dane dla CO'!$Q$35)</f>
        <v>2.0444673068129853</v>
      </c>
      <c r="CY11" s="84">
        <f t="shared" si="2"/>
        <v>10.319026666666666</v>
      </c>
      <c r="CZ11" s="84">
        <f>IF(CS11&lt;'Dane dla CWU'!$Z$67,0,IF(CX11&gt;1,CY11,CX11*CY11))</f>
        <v>0</v>
      </c>
      <c r="DA11" s="84">
        <f t="shared" si="3"/>
        <v>10.319026666666666</v>
      </c>
      <c r="DC11">
        <v>9</v>
      </c>
      <c r="DD11">
        <v>-11</v>
      </c>
      <c r="DE11">
        <f>(DD11*'Dane dla CO'!$AB$53+'Dane dla CO'!$AD$53)/(DD11*'Dane dla CO'!$P$35+'Dane dla CO'!$Q$35)</f>
        <v>0.60660018993352327</v>
      </c>
      <c r="DF11">
        <f>DD11*'Dane dla CO'!$N$96+'Dane dla CO'!$N$97</f>
        <v>194.40000000000003</v>
      </c>
      <c r="DG11">
        <f>IF(DD11&lt;'Dane dla CO'!$Z$67,0,IF(DE11&gt;1,DF11,DE11*DF11))</f>
        <v>0</v>
      </c>
      <c r="DH11">
        <f t="shared" si="23"/>
        <v>194.40000000000003</v>
      </c>
      <c r="DI11" s="84">
        <f>(DD11*'Dane dla CWU'!$AB$53+'Dane dla CWU'!$AD$53)/(DD11*'Dane dla CO'!$P$35+'Dane dla CO'!$Q$35)</f>
        <v>0.40163026274137387</v>
      </c>
      <c r="DJ11" s="84">
        <f t="shared" si="4"/>
        <v>10.319026666666666</v>
      </c>
      <c r="DK11" s="84">
        <f>IF(DD11&lt;'Dane dla CWU'!$Z$67,0,IF(DI11&gt;1,DJ11,DI11*DJ11))</f>
        <v>0</v>
      </c>
      <c r="DL11" s="84">
        <f t="shared" si="5"/>
        <v>10.319026666666666</v>
      </c>
      <c r="DM11" s="49">
        <v>-11</v>
      </c>
      <c r="DN11" s="94">
        <f>DO11*'Dane dla CO'!$N$80</f>
        <v>1022.6938775510206</v>
      </c>
      <c r="DO11" s="94">
        <f>(15-DS11)/35*'Dane dla CO'!$N$75</f>
        <v>8.9485714285714302</v>
      </c>
      <c r="DP11" s="94">
        <f t="shared" si="24"/>
        <v>340.89795918367355</v>
      </c>
      <c r="DQ11" s="51">
        <v>-11</v>
      </c>
      <c r="DR11" s="127">
        <v>3</v>
      </c>
      <c r="DS11" s="127">
        <v>-14</v>
      </c>
      <c r="DT11" s="89">
        <f>Wykresy!Y9</f>
        <v>51.4</v>
      </c>
      <c r="DU11" s="90">
        <f>Wykresy!AE9</f>
        <v>32.799999999999997</v>
      </c>
      <c r="DV11" s="92">
        <f>($DV$15-$DV$10)/5+$DV$10</f>
        <v>3.2199999999999998</v>
      </c>
      <c r="DW11" s="92">
        <v>2.41</v>
      </c>
      <c r="DX11" s="92">
        <f t="shared" ref="DX11:DX40" si="29">DV11/DW11</f>
        <v>1.3360995850622406</v>
      </c>
      <c r="DY11" s="86">
        <f>($DY$15-$DY$10)/5+$DY$10</f>
        <v>5.36</v>
      </c>
      <c r="DZ11" s="86">
        <v>2.5299999999999998</v>
      </c>
      <c r="EA11" s="96">
        <f t="shared" ref="EA11:EA40" si="30">DY11/DZ11</f>
        <v>2.1185770750988144</v>
      </c>
      <c r="EB11" s="85">
        <f>DR11</f>
        <v>3</v>
      </c>
      <c r="EC11" s="85">
        <f t="shared" si="26"/>
        <v>1.7814661134163207E-2</v>
      </c>
      <c r="ED11" s="92">
        <f>'Energia 221.A26'!P8</f>
        <v>2.7086670186392467</v>
      </c>
      <c r="EE11" s="86">
        <f>DR11</f>
        <v>3</v>
      </c>
      <c r="EF11" s="86">
        <f t="shared" si="27"/>
        <v>2.8247694334650859E-2</v>
      </c>
      <c r="EG11" s="96">
        <f>'Energia 221.A26'!S8</f>
        <v>3.7388127214238689</v>
      </c>
      <c r="EI11" s="127">
        <v>3</v>
      </c>
      <c r="EJ11" s="127">
        <f t="shared" si="25"/>
        <v>5</v>
      </c>
      <c r="EK11" s="127">
        <v>-14</v>
      </c>
      <c r="EL11" s="89">
        <v>55</v>
      </c>
      <c r="EM11" s="92">
        <f>EM10+ES10</f>
        <v>2.9249999999999998</v>
      </c>
      <c r="EN11" s="92">
        <f>EN10+ET10</f>
        <v>2.41</v>
      </c>
      <c r="EO11" s="92">
        <f t="shared" ref="EO11:EO53" si="31">EM11/EN11</f>
        <v>1.2136929460580912</v>
      </c>
      <c r="EP11" s="85">
        <f>EI11</f>
        <v>3</v>
      </c>
      <c r="EQ11" s="85">
        <f t="shared" si="28"/>
        <v>1.6182572614107882E-2</v>
      </c>
      <c r="ER11" s="92">
        <f>'Energia 221.A26'!V8</f>
        <v>2.3193609364497711</v>
      </c>
      <c r="EZ11" t="s">
        <v>273</v>
      </c>
      <c r="FB11" s="84">
        <f>'Energia 221.A26'!J2</f>
        <v>3776.7637599999998</v>
      </c>
      <c r="FL11" s="103"/>
      <c r="FM11" s="103"/>
    </row>
    <row r="12" spans="1:170">
      <c r="A12" s="162"/>
      <c r="B12">
        <v>10</v>
      </c>
      <c r="C12">
        <v>3</v>
      </c>
      <c r="D12" s="84">
        <f>(C12*'Dane dla CO'!$AB$53+'Dane dla CO'!$AD$53)/(C12*'Dane dla CO'!$P$35+'Dane dla CO'!$Q$35)</f>
        <v>1.4403292181069955</v>
      </c>
      <c r="E12" s="84">
        <f>C12*'Dane dla CO'!$N$96+'Dane dla CO'!$N$97</f>
        <v>93.600000000000023</v>
      </c>
      <c r="F12" s="84">
        <f>IF(C12&lt;'Dane dla CO'!$Z$67,0,IF(D12&gt;1,E12,D12*E12))</f>
        <v>93.600000000000023</v>
      </c>
      <c r="G12" s="84">
        <f t="shared" si="6"/>
        <v>0</v>
      </c>
      <c r="H12" s="84">
        <f>(C12*'Dane dla CWU'!$AB$53+'Dane dla CWU'!$AD$53)/(C12*'Dane dla CO'!$P$35+'Dane dla CO'!$Q$35)</f>
        <v>1.4163237311385457</v>
      </c>
      <c r="I12" s="84">
        <f t="shared" si="7"/>
        <v>10.319026666666666</v>
      </c>
      <c r="J12" s="84">
        <f>IF(C12&lt;'Dane dla CWU'!$Z$67,0,IF(H12&gt;1,I12,H12*I12))</f>
        <v>0</v>
      </c>
      <c r="K12" s="84">
        <f t="shared" si="8"/>
        <v>10.319026666666666</v>
      </c>
      <c r="M12">
        <v>10</v>
      </c>
      <c r="N12">
        <v>-12</v>
      </c>
      <c r="O12">
        <f>(N12*'Dane dla CO'!$AB$53+'Dane dla CO'!$AD$53)/(N12*'Dane dla CO'!$P$35+'Dane dla CO'!$Q$35)</f>
        <v>0.58013260173754</v>
      </c>
      <c r="P12">
        <f>N12*'Dane dla CO'!$N$96+'Dane dla CO'!$N$97</f>
        <v>201.60000000000002</v>
      </c>
      <c r="Q12">
        <f>IF(N12&lt;'Dane dla CO'!$Z$67,0,IF(O12&gt;1,P12,O12*P12))</f>
        <v>0</v>
      </c>
      <c r="R12">
        <f t="shared" si="9"/>
        <v>201.60000000000002</v>
      </c>
      <c r="S12" s="84">
        <f>(N12*'Dane dla CWU'!$AB$53+'Dane dla CWU'!$AD$53)/(N12*'Dane dla CO'!$P$35+'Dane dla CO'!$Q$35)</f>
        <v>0.36941777168114609</v>
      </c>
      <c r="T12" s="84">
        <f t="shared" si="10"/>
        <v>10.319026666666666</v>
      </c>
      <c r="U12" s="84">
        <f>IF(N12&lt;'Dane dla CWU'!$Z$67,0,IF(S12&gt;1,T12,S12*T12))</f>
        <v>0</v>
      </c>
      <c r="V12" s="84">
        <f t="shared" si="11"/>
        <v>10.319026666666666</v>
      </c>
      <c r="X12">
        <v>10</v>
      </c>
      <c r="Y12">
        <v>4</v>
      </c>
      <c r="Z12">
        <f>(Y12*'Dane dla CO'!$AB$53+'Dane dla CO'!$AD$53)/(Y12*'Dane dla CO'!$P$35+'Dane dla CO'!$Q$35)</f>
        <v>1.5810886644219975</v>
      </c>
      <c r="AA12">
        <f>Y12*'Dane dla CO'!$N$96+'Dane dla CO'!$N$97</f>
        <v>86.4</v>
      </c>
      <c r="AB12">
        <f>IF(Y12&lt;'Dane dla CO'!$Z$67,0,IF(Z12&gt;1,AA12,Z12*AA12))</f>
        <v>86.4</v>
      </c>
      <c r="AC12">
        <f t="shared" si="12"/>
        <v>0</v>
      </c>
      <c r="AD12" s="84">
        <f>(Y12*'Dane dla CWU'!$AB$53+'Dane dla CWU'!$AD$53)/(Y12*'Dane dla CO'!$P$35+'Dane dla CO'!$Q$35)</f>
        <v>1.5876356154133928</v>
      </c>
      <c r="AE12" s="84">
        <f t="shared" si="13"/>
        <v>10.319026666666666</v>
      </c>
      <c r="AF12" s="84">
        <f>IF(Y12&lt;'Dane dla CWU'!$Z$67,0,IF(AD12&gt;1,AE12,AD12*AE12))</f>
        <v>0</v>
      </c>
      <c r="AG12" s="84">
        <f t="shared" si="14"/>
        <v>10.319026666666666</v>
      </c>
      <c r="AI12">
        <v>10</v>
      </c>
      <c r="AJ12">
        <v>6</v>
      </c>
      <c r="AK12">
        <f>(AJ12*'Dane dla CO'!$AB$53+'Dane dla CO'!$AD$53)/(AJ12*'Dane dla CO'!$P$35+'Dane dla CO'!$Q$35)</f>
        <v>1.9564471879286691</v>
      </c>
      <c r="AL12">
        <f>AJ12*'Dane dla CO'!$N$96+'Dane dla CO'!$N$97</f>
        <v>72.000000000000014</v>
      </c>
      <c r="AM12">
        <f>IF(AJ12&lt;'Dane dla CO'!$Z$67,0,IF(AK12&gt;1,AL12,AK12*AL12))</f>
        <v>72.000000000000014</v>
      </c>
      <c r="AN12">
        <f t="shared" si="15"/>
        <v>0</v>
      </c>
      <c r="AO12" s="84">
        <f>(AJ12*'Dane dla CWU'!$AB$53+'Dane dla CWU'!$AD$53)/(AJ12*'Dane dla CO'!$P$35+'Dane dla CO'!$Q$35)</f>
        <v>2.0444673068129853</v>
      </c>
      <c r="AP12" s="84">
        <f t="shared" si="16"/>
        <v>10.319026666666666</v>
      </c>
      <c r="AQ12" s="84">
        <f>IF(AJ12&lt;'Dane dla CWU'!$Z$67,0,IF(AO12&gt;1,AP12,AO12*AP12))</f>
        <v>0</v>
      </c>
      <c r="AR12" s="84">
        <f t="shared" si="17"/>
        <v>10.319026666666666</v>
      </c>
      <c r="AT12">
        <v>10</v>
      </c>
      <c r="AU12">
        <v>18</v>
      </c>
      <c r="BA12">
        <v>10</v>
      </c>
      <c r="BB12">
        <v>20</v>
      </c>
      <c r="BH12">
        <v>10</v>
      </c>
      <c r="BI12">
        <v>23</v>
      </c>
      <c r="BO12">
        <v>10</v>
      </c>
      <c r="BP12">
        <v>17</v>
      </c>
      <c r="BV12">
        <v>10</v>
      </c>
      <c r="BW12">
        <v>17</v>
      </c>
      <c r="CB12" s="84"/>
      <c r="CC12" s="84">
        <f t="shared" si="18"/>
        <v>10.319026666666666</v>
      </c>
      <c r="CD12" s="84">
        <f t="shared" si="19"/>
        <v>10.319026666666666</v>
      </c>
      <c r="CE12" s="84">
        <f t="shared" si="20"/>
        <v>0</v>
      </c>
      <c r="CG12">
        <v>10</v>
      </c>
      <c r="CH12">
        <v>8</v>
      </c>
      <c r="CI12">
        <f>(CH12*'Dane dla CO'!$AB$53+'Dane dla CO'!$AD$53)/(CH12*'Dane dla CO'!$P$35+'Dane dla CO'!$Q$35)</f>
        <v>2.5462962962962963</v>
      </c>
      <c r="CJ12">
        <f>CH12*'Dane dla CO'!$N$96+'Dane dla CO'!$N$97</f>
        <v>57.600000000000009</v>
      </c>
      <c r="CK12">
        <f>IF(CH12&lt;'Dane dla CO'!$Z$67,0,IF(CI12&gt;1,CJ12,CI12*CJ12))</f>
        <v>57.600000000000009</v>
      </c>
      <c r="CL12">
        <f t="shared" si="21"/>
        <v>0</v>
      </c>
      <c r="CM12" s="84">
        <f>(CH12*'Dane dla CWU'!$AB$53+'Dane dla CWU'!$AD$53)/(CH12*'Dane dla CO'!$P$35+'Dane dla CO'!$Q$35)</f>
        <v>2.7623456790123457</v>
      </c>
      <c r="CN12" s="84">
        <f t="shared" si="0"/>
        <v>10.319026666666666</v>
      </c>
      <c r="CO12" s="84">
        <f>IF(CH12&lt;'Dane dla CWU'!$Z$67,0,IF(CM12&gt;1,CN12,CM12*CN12))</f>
        <v>10.319026666666666</v>
      </c>
      <c r="CP12" s="84">
        <f t="shared" si="1"/>
        <v>0</v>
      </c>
      <c r="CR12">
        <v>10</v>
      </c>
      <c r="CS12">
        <v>5</v>
      </c>
      <c r="CT12">
        <f>(CS12*'Dane dla CO'!$AB$53+'Dane dla CO'!$AD$53)/(CS12*'Dane dla CO'!$P$35+'Dane dla CO'!$Q$35)</f>
        <v>1.75</v>
      </c>
      <c r="CU12">
        <f>CS12*'Dane dla CO'!$N$96+'Dane dla CO'!$N$97</f>
        <v>79.200000000000017</v>
      </c>
      <c r="CV12">
        <f>IF(CS12&lt;'Dane dla CO'!$Z$67,0,IF(CT12&gt;1,CU12,CT12*CU12))</f>
        <v>79.200000000000017</v>
      </c>
      <c r="CW12">
        <f t="shared" si="22"/>
        <v>0</v>
      </c>
      <c r="CX12" s="84">
        <f>(CS12*'Dane dla CWU'!$AB$53+'Dane dla CWU'!$AD$53)/(CS12*'Dane dla CO'!$P$35+'Dane dla CO'!$Q$35)</f>
        <v>1.7932098765432098</v>
      </c>
      <c r="CY12" s="84">
        <f t="shared" si="2"/>
        <v>10.319026666666666</v>
      </c>
      <c r="CZ12" s="84">
        <f>IF(CS12&lt;'Dane dla CWU'!$Z$67,0,IF(CX12&gt;1,CY12,CX12*CY12))</f>
        <v>0</v>
      </c>
      <c r="DA12" s="84">
        <f t="shared" si="3"/>
        <v>10.319026666666666</v>
      </c>
      <c r="DC12">
        <v>10</v>
      </c>
      <c r="DD12">
        <v>-6</v>
      </c>
      <c r="DE12">
        <f>(DD12*'Dane dla CO'!$AB$53+'Dane dla CO'!$AD$53)/(DD12*'Dane dla CO'!$P$35+'Dane dla CO'!$Q$35)</f>
        <v>0.77674897119341557</v>
      </c>
      <c r="DF12">
        <f>DD12*'Dane dla CO'!$N$96+'Dane dla CO'!$N$97</f>
        <v>158.40000000000003</v>
      </c>
      <c r="DG12">
        <f>IF(DD12&lt;'Dane dla CO'!$Z$67,0,IF(DE12&gt;1,DF12,DE12*DF12))</f>
        <v>0</v>
      </c>
      <c r="DH12">
        <f t="shared" si="23"/>
        <v>158.40000000000003</v>
      </c>
      <c r="DI12" s="84">
        <f>(DD12*'Dane dla CWU'!$AB$53+'Dane dla CWU'!$AD$53)/(DD12*'Dane dla CO'!$P$35+'Dane dla CO'!$Q$35)</f>
        <v>0.60871056241426602</v>
      </c>
      <c r="DJ12" s="84">
        <f t="shared" si="4"/>
        <v>10.319026666666666</v>
      </c>
      <c r="DK12" s="84">
        <f>IF(DD12&lt;'Dane dla CWU'!$Z$67,0,IF(DI12&gt;1,DJ12,DI12*DJ12))</f>
        <v>0</v>
      </c>
      <c r="DL12" s="84">
        <f t="shared" si="5"/>
        <v>10.319026666666666</v>
      </c>
      <c r="DM12" s="49">
        <v>-11</v>
      </c>
      <c r="DN12" s="94">
        <f>DO12*'Dane dla CO'!$N$80</f>
        <v>987.42857142857156</v>
      </c>
      <c r="DO12" s="94">
        <f>(15-DS12)/35*'Dane dla CO'!$N$75</f>
        <v>8.64</v>
      </c>
      <c r="DP12" s="94">
        <f t="shared" si="24"/>
        <v>987.42857142857156</v>
      </c>
      <c r="DQ12" s="51">
        <v>-11</v>
      </c>
      <c r="DR12" s="127">
        <v>1</v>
      </c>
      <c r="DS12" s="127">
        <v>-13</v>
      </c>
      <c r="DT12" s="89">
        <f>Wykresy!Y10</f>
        <v>50.8</v>
      </c>
      <c r="DU12" s="90">
        <f>Wykresy!AE10</f>
        <v>32.433333333333337</v>
      </c>
      <c r="DV12" s="92">
        <f>(($DV$15-$DV$10)/5)*2+$DV$10</f>
        <v>3.44</v>
      </c>
      <c r="DW12" s="92">
        <v>2.42</v>
      </c>
      <c r="DX12" s="92">
        <f t="shared" si="29"/>
        <v>1.4214876033057851</v>
      </c>
      <c r="DY12" s="86">
        <f>(($DY$15-$DY$10)/5)*2+$DY$10</f>
        <v>5.5200000000000005</v>
      </c>
      <c r="DZ12" s="86">
        <v>2.5299999999999998</v>
      </c>
      <c r="EA12" s="96">
        <f t="shared" si="30"/>
        <v>2.1818181818181821</v>
      </c>
      <c r="EB12" s="85">
        <f t="shared" ref="EB12:EB40" si="32">DR12</f>
        <v>1</v>
      </c>
      <c r="EC12" s="85">
        <f t="shared" si="26"/>
        <v>6.3177226813590443E-3</v>
      </c>
      <c r="ED12" s="92">
        <f>'Energia 221.A26'!P9</f>
        <v>2.7553353484548611</v>
      </c>
      <c r="EE12" s="86">
        <f t="shared" ref="EE12:EE40" si="33">DR12</f>
        <v>1</v>
      </c>
      <c r="EF12" s="86">
        <f t="shared" si="27"/>
        <v>9.6969696969696987E-3</v>
      </c>
      <c r="EG12" s="96">
        <f>'Energia 221.A26'!S9</f>
        <v>3.7939019576041693</v>
      </c>
      <c r="EI12" s="127">
        <v>1</v>
      </c>
      <c r="EJ12" s="127">
        <f t="shared" si="25"/>
        <v>6</v>
      </c>
      <c r="EK12" s="127">
        <v>-13</v>
      </c>
      <c r="EL12" s="89">
        <v>55</v>
      </c>
      <c r="EM12" s="92">
        <f t="shared" ref="EM12:EM17" si="34">EM11+$ES$10</f>
        <v>3.05</v>
      </c>
      <c r="EN12" s="92">
        <f t="shared" ref="EN12:EN17" si="35">EN11+$ET$10</f>
        <v>2.42</v>
      </c>
      <c r="EO12" s="92">
        <f t="shared" si="31"/>
        <v>1.2603305785123966</v>
      </c>
      <c r="EP12" s="85">
        <f t="shared" ref="EP12:EP53" si="36">EI12</f>
        <v>1</v>
      </c>
      <c r="EQ12" s="85">
        <f t="shared" si="28"/>
        <v>5.6014692378328736E-3</v>
      </c>
      <c r="ER12" s="92">
        <f>'Energia 221.A26'!V9</f>
        <v>2.328549313101226</v>
      </c>
    </row>
    <row r="13" spans="1:170">
      <c r="A13" s="162"/>
      <c r="B13">
        <v>11</v>
      </c>
      <c r="C13">
        <v>4</v>
      </c>
      <c r="D13" s="84">
        <f>(C13*'Dane dla CO'!$AB$53+'Dane dla CO'!$AD$53)/(C13*'Dane dla CO'!$P$35+'Dane dla CO'!$Q$35)</f>
        <v>1.5810886644219975</v>
      </c>
      <c r="E13" s="84">
        <f>C13*'Dane dla CO'!$N$96+'Dane dla CO'!$N$97</f>
        <v>86.4</v>
      </c>
      <c r="F13" s="84">
        <f>IF(C13&lt;'Dane dla CO'!$Z$67,0,IF(D13&gt;1,E13,D13*E13))</f>
        <v>86.4</v>
      </c>
      <c r="G13" s="84">
        <f t="shared" si="6"/>
        <v>0</v>
      </c>
      <c r="H13" s="84">
        <f>(C13*'Dane dla CWU'!$AB$53+'Dane dla CWU'!$AD$53)/(C13*'Dane dla CO'!$P$35+'Dane dla CO'!$Q$35)</f>
        <v>1.5876356154133928</v>
      </c>
      <c r="I13" s="84">
        <f t="shared" si="7"/>
        <v>10.319026666666666</v>
      </c>
      <c r="J13" s="84">
        <f>IF(C13&lt;'Dane dla CWU'!$Z$67,0,IF(H13&gt;1,I13,H13*I13))</f>
        <v>0</v>
      </c>
      <c r="K13" s="84">
        <f t="shared" si="8"/>
        <v>10.319026666666666</v>
      </c>
      <c r="M13">
        <v>11</v>
      </c>
      <c r="N13">
        <v>-14</v>
      </c>
      <c r="O13">
        <f>(N13*'Dane dla CO'!$AB$53+'Dane dla CO'!$AD$53)/(N13*'Dane dla CO'!$P$35+'Dane dla CO'!$Q$35)</f>
        <v>0.53267347807577692</v>
      </c>
      <c r="P13">
        <f>N13*'Dane dla CO'!$N$96+'Dane dla CO'!$N$97</f>
        <v>216.00000000000003</v>
      </c>
      <c r="Q13">
        <f>IF(N13&lt;'Dane dla CO'!$Z$67,0,IF(O13&gt;1,P13,O13*P13))</f>
        <v>0</v>
      </c>
      <c r="R13">
        <f t="shared" si="9"/>
        <v>216.00000000000003</v>
      </c>
      <c r="S13" s="84">
        <f>(N13*'Dane dla CWU'!$AB$53+'Dane dla CWU'!$AD$53)/(N13*'Dane dla CO'!$P$35+'Dane dla CO'!$Q$35)</f>
        <v>0.31165744288349645</v>
      </c>
      <c r="T13" s="84">
        <f t="shared" si="10"/>
        <v>10.319026666666666</v>
      </c>
      <c r="U13" s="84">
        <f>IF(N13&lt;'Dane dla CWU'!$Z$67,0,IF(S13&gt;1,T13,S13*T13))</f>
        <v>0</v>
      </c>
      <c r="V13" s="84">
        <f t="shared" si="11"/>
        <v>10.319026666666666</v>
      </c>
      <c r="X13">
        <v>11</v>
      </c>
      <c r="Y13">
        <v>6</v>
      </c>
      <c r="Z13">
        <f>(Y13*'Dane dla CO'!$AB$53+'Dane dla CO'!$AD$53)/(Y13*'Dane dla CO'!$P$35+'Dane dla CO'!$Q$35)</f>
        <v>1.9564471879286691</v>
      </c>
      <c r="AA13">
        <f>Y13*'Dane dla CO'!$N$96+'Dane dla CO'!$N$97</f>
        <v>72.000000000000014</v>
      </c>
      <c r="AB13">
        <f>IF(Y13&lt;'Dane dla CO'!$Z$67,0,IF(Z13&gt;1,AA13,Z13*AA13))</f>
        <v>72.000000000000014</v>
      </c>
      <c r="AC13">
        <f t="shared" si="12"/>
        <v>0</v>
      </c>
      <c r="AD13" s="84">
        <f>(Y13*'Dane dla CWU'!$AB$53+'Dane dla CWU'!$AD$53)/(Y13*'Dane dla CO'!$P$35+'Dane dla CO'!$Q$35)</f>
        <v>2.0444673068129853</v>
      </c>
      <c r="AE13" s="84">
        <f t="shared" si="13"/>
        <v>10.319026666666666</v>
      </c>
      <c r="AF13" s="84">
        <f>IF(Y13&lt;'Dane dla CWU'!$Z$67,0,IF(AD13&gt;1,AE13,AD13*AE13))</f>
        <v>0</v>
      </c>
      <c r="AG13" s="84">
        <f t="shared" si="14"/>
        <v>10.319026666666666</v>
      </c>
      <c r="AI13">
        <v>11</v>
      </c>
      <c r="AJ13">
        <v>11</v>
      </c>
      <c r="AK13">
        <f>(AJ13*'Dane dla CO'!$AB$53+'Dane dla CO'!$AD$53)/(AJ13*'Dane dla CO'!$P$35+'Dane dla CO'!$Q$35)</f>
        <v>4.5370370370370363</v>
      </c>
      <c r="AL13">
        <f>AJ13*'Dane dla CO'!$N$96+'Dane dla CO'!$N$97</f>
        <v>36</v>
      </c>
      <c r="AM13">
        <f>IF(AJ13&lt;'Dane dla CO'!$Z$67,0,IF(AK13&gt;1,AL13,AK13*AL13))</f>
        <v>36</v>
      </c>
      <c r="AN13">
        <f t="shared" si="15"/>
        <v>0</v>
      </c>
      <c r="AO13" s="84">
        <f>(AJ13*'Dane dla CWU'!$AB$53+'Dane dla CWU'!$AD$53)/(AJ13*'Dane dla CO'!$P$35+'Dane dla CO'!$Q$35)</f>
        <v>5.1851851851851842</v>
      </c>
      <c r="AP13" s="84">
        <f t="shared" si="16"/>
        <v>10.319026666666666</v>
      </c>
      <c r="AQ13" s="84">
        <f>IF(AJ13&lt;'Dane dla CWU'!$Z$67,0,IF(AO13&gt;1,AP13,AO13*AP13))</f>
        <v>10.319026666666666</v>
      </c>
      <c r="AR13" s="84">
        <f t="shared" si="17"/>
        <v>0</v>
      </c>
      <c r="AT13">
        <v>11</v>
      </c>
      <c r="AU13">
        <v>21</v>
      </c>
      <c r="BA13">
        <v>11</v>
      </c>
      <c r="BB13">
        <v>16</v>
      </c>
      <c r="BH13">
        <v>11</v>
      </c>
      <c r="BI13">
        <v>21</v>
      </c>
      <c r="BO13">
        <v>11</v>
      </c>
      <c r="BP13">
        <v>13</v>
      </c>
      <c r="BV13">
        <v>11</v>
      </c>
      <c r="BW13">
        <v>19</v>
      </c>
      <c r="CB13" s="84"/>
      <c r="CC13" s="84">
        <f t="shared" si="18"/>
        <v>10.319026666666666</v>
      </c>
      <c r="CD13" s="84">
        <f t="shared" si="19"/>
        <v>10.319026666666666</v>
      </c>
      <c r="CE13" s="84">
        <f t="shared" si="20"/>
        <v>0</v>
      </c>
      <c r="CG13">
        <v>11</v>
      </c>
      <c r="CH13">
        <v>7</v>
      </c>
      <c r="CI13">
        <f>(CH13*'Dane dla CO'!$AB$53+'Dane dla CO'!$AD$53)/(CH13*'Dane dla CO'!$P$35+'Dane dla CO'!$Q$35)</f>
        <v>2.2145061728395059</v>
      </c>
      <c r="CJ13">
        <f>CH13*'Dane dla CO'!$N$96+'Dane dla CO'!$N$97</f>
        <v>64.800000000000011</v>
      </c>
      <c r="CK13">
        <f>IF(CH13&lt;'Dane dla CO'!$Z$67,0,IF(CI13&gt;1,CJ13,CI13*CJ13))</f>
        <v>64.800000000000011</v>
      </c>
      <c r="CL13">
        <f t="shared" si="21"/>
        <v>0</v>
      </c>
      <c r="CM13" s="84">
        <f>(CH13*'Dane dla CWU'!$AB$53+'Dane dla CWU'!$AD$53)/(CH13*'Dane dla CO'!$P$35+'Dane dla CO'!$Q$35)</f>
        <v>2.3585390946502054</v>
      </c>
      <c r="CN13" s="84">
        <f t="shared" si="0"/>
        <v>10.319026666666666</v>
      </c>
      <c r="CO13" s="84">
        <f>IF(CH13&lt;'Dane dla CWU'!$Z$67,0,IF(CM13&gt;1,CN13,CM13*CN13))</f>
        <v>0</v>
      </c>
      <c r="CP13" s="84">
        <f t="shared" si="1"/>
        <v>10.319026666666666</v>
      </c>
      <c r="CR13">
        <v>11</v>
      </c>
      <c r="CS13">
        <v>11</v>
      </c>
      <c r="CT13">
        <f>(CS13*'Dane dla CO'!$AB$53+'Dane dla CO'!$AD$53)/(CS13*'Dane dla CO'!$P$35+'Dane dla CO'!$Q$35)</f>
        <v>4.5370370370370363</v>
      </c>
      <c r="CU13">
        <f>CS13*'Dane dla CO'!$N$96+'Dane dla CO'!$N$97</f>
        <v>36</v>
      </c>
      <c r="CV13">
        <f>IF(CS13&lt;'Dane dla CO'!$Z$67,0,IF(CT13&gt;1,CU13,CT13*CU13))</f>
        <v>36</v>
      </c>
      <c r="CW13">
        <f t="shared" si="22"/>
        <v>0</v>
      </c>
      <c r="CX13" s="84">
        <f>(CS13*'Dane dla CWU'!$AB$53+'Dane dla CWU'!$AD$53)/(CS13*'Dane dla CO'!$P$35+'Dane dla CO'!$Q$35)</f>
        <v>5.1851851851851842</v>
      </c>
      <c r="CY13" s="84">
        <f t="shared" si="2"/>
        <v>10.319026666666666</v>
      </c>
      <c r="CZ13" s="84">
        <f>IF(CS13&lt;'Dane dla CWU'!$Z$67,0,IF(CX13&gt;1,CY13,CX13*CY13))</f>
        <v>10.319026666666666</v>
      </c>
      <c r="DA13" s="84">
        <f t="shared" si="3"/>
        <v>0</v>
      </c>
      <c r="DC13">
        <v>11</v>
      </c>
      <c r="DD13">
        <v>-3</v>
      </c>
      <c r="DE13">
        <f>(DD13*'Dane dla CO'!$AB$53+'Dane dla CO'!$AD$53)/(DD13*'Dane dla CO'!$P$35+'Dane dla CO'!$Q$35)</f>
        <v>0.92421124828532231</v>
      </c>
      <c r="DF13">
        <f>DD13*'Dane dla CO'!$N$96+'Dane dla CO'!$N$97</f>
        <v>136.80000000000001</v>
      </c>
      <c r="DG13">
        <f>IF(DD13&lt;'Dane dla CO'!$Z$67,0,IF(DE13&gt;1,DF13,DE13*DF13))</f>
        <v>0</v>
      </c>
      <c r="DH13">
        <f t="shared" si="23"/>
        <v>136.80000000000001</v>
      </c>
      <c r="DI13" s="84">
        <f>(DD13*'Dane dla CWU'!$AB$53+'Dane dla CWU'!$AD$53)/(DD13*'Dane dla CO'!$P$35+'Dane dla CO'!$Q$35)</f>
        <v>0.78818015546410591</v>
      </c>
      <c r="DJ13" s="84">
        <f t="shared" si="4"/>
        <v>10.319026666666666</v>
      </c>
      <c r="DK13" s="84">
        <f>IF(DD13&lt;'Dane dla CWU'!$Z$67,0,IF(DI13&gt;1,DJ13,DI13*DJ13))</f>
        <v>0</v>
      </c>
      <c r="DL13" s="84">
        <f t="shared" si="5"/>
        <v>10.319026666666666</v>
      </c>
      <c r="DM13" s="49">
        <v>-11</v>
      </c>
      <c r="DN13" s="94">
        <f>DO13*'Dane dla CO'!$N$80</f>
        <v>952.16326530612264</v>
      </c>
      <c r="DO13" s="94">
        <f>(15-DS13)/35*'Dane dla CO'!$N$75</f>
        <v>8.3314285714285727</v>
      </c>
      <c r="DP13" s="94">
        <f t="shared" si="24"/>
        <v>317.3877551020409</v>
      </c>
      <c r="DQ13" s="51">
        <v>-11</v>
      </c>
      <c r="DR13" s="127">
        <v>3</v>
      </c>
      <c r="DS13" s="127">
        <v>-12</v>
      </c>
      <c r="DT13" s="89">
        <f>Wykresy!Y11</f>
        <v>50.2</v>
      </c>
      <c r="DU13" s="90">
        <f>Wykresy!AE11</f>
        <v>32.06666666666667</v>
      </c>
      <c r="DV13" s="92">
        <f>(($DV$15-$DV$10)/5)*3+$DV$10</f>
        <v>3.6599999999999997</v>
      </c>
      <c r="DW13" s="92">
        <v>2.4300000000000002</v>
      </c>
      <c r="DX13" s="92">
        <f t="shared" si="29"/>
        <v>1.5061728395061726</v>
      </c>
      <c r="DY13" s="86">
        <f>(($DY$15-$DY$10)/5)*3+$DY$10</f>
        <v>5.68</v>
      </c>
      <c r="DZ13" s="86">
        <v>2.5299999999999998</v>
      </c>
      <c r="EA13" s="96">
        <f t="shared" si="30"/>
        <v>2.2450592885375493</v>
      </c>
      <c r="EB13" s="85">
        <f t="shared" si="32"/>
        <v>3</v>
      </c>
      <c r="EC13" s="85">
        <f t="shared" si="26"/>
        <v>2.008230452674897E-2</v>
      </c>
      <c r="ED13" s="92">
        <f>'Energia 221.A26'!P10</f>
        <v>2.7701105908571999</v>
      </c>
      <c r="EE13" s="86">
        <f t="shared" si="33"/>
        <v>3</v>
      </c>
      <c r="EF13" s="86">
        <f t="shared" si="27"/>
        <v>2.9934123847167326E-2</v>
      </c>
      <c r="EG13" s="96">
        <f>'Energia 221.A26'!S10</f>
        <v>3.8117592645170011</v>
      </c>
      <c r="EI13" s="127">
        <v>3</v>
      </c>
      <c r="EJ13" s="127">
        <f t="shared" si="25"/>
        <v>9</v>
      </c>
      <c r="EK13" s="127">
        <v>-12</v>
      </c>
      <c r="EL13" s="89">
        <v>55</v>
      </c>
      <c r="EM13" s="92">
        <f t="shared" si="34"/>
        <v>3.1749999999999998</v>
      </c>
      <c r="EN13" s="92">
        <f t="shared" si="35"/>
        <v>2.4299999999999997</v>
      </c>
      <c r="EO13" s="92">
        <f t="shared" si="31"/>
        <v>1.3065843621399178</v>
      </c>
      <c r="EP13" s="85">
        <f t="shared" si="36"/>
        <v>3</v>
      </c>
      <c r="EQ13" s="85">
        <f t="shared" si="28"/>
        <v>1.7421124828532236E-2</v>
      </c>
      <c r="ER13" s="92">
        <f>'Energia 221.A26'!V10</f>
        <v>2.3315165873639727</v>
      </c>
      <c r="EZ13" t="s">
        <v>274</v>
      </c>
      <c r="FB13" s="84"/>
      <c r="FD13" s="103">
        <f>'Dane dla CO'!H36</f>
        <v>6373.6565901788554</v>
      </c>
      <c r="FL13" s="103"/>
      <c r="FM13" s="103"/>
    </row>
    <row r="14" spans="1:170">
      <c r="A14" s="162"/>
      <c r="B14">
        <v>12</v>
      </c>
      <c r="C14">
        <v>6</v>
      </c>
      <c r="D14" s="84">
        <f>(C14*'Dane dla CO'!$AB$53+'Dane dla CO'!$AD$53)/(C14*'Dane dla CO'!$P$35+'Dane dla CO'!$Q$35)</f>
        <v>1.9564471879286691</v>
      </c>
      <c r="E14" s="84">
        <f>C14*'Dane dla CO'!$N$96+'Dane dla CO'!$N$97</f>
        <v>72.000000000000014</v>
      </c>
      <c r="F14" s="84">
        <f>IF(C14&lt;'Dane dla CO'!$Z$67,0,IF(D14&gt;1,E14,D14*E14))</f>
        <v>72.000000000000014</v>
      </c>
      <c r="G14" s="84">
        <f t="shared" si="6"/>
        <v>0</v>
      </c>
      <c r="H14" s="84">
        <f>(C14*'Dane dla CWU'!$AB$53+'Dane dla CWU'!$AD$53)/(C14*'Dane dla CO'!$P$35+'Dane dla CO'!$Q$35)</f>
        <v>2.0444673068129853</v>
      </c>
      <c r="I14" s="84">
        <f t="shared" si="7"/>
        <v>10.319026666666666</v>
      </c>
      <c r="J14" s="84">
        <f>IF(C14&lt;'Dane dla CWU'!$Z$67,0,IF(H14&gt;1,I14,H14*I14))</f>
        <v>0</v>
      </c>
      <c r="K14" s="84">
        <f t="shared" si="8"/>
        <v>10.319026666666666</v>
      </c>
      <c r="M14">
        <v>12</v>
      </c>
      <c r="N14">
        <v>-13</v>
      </c>
      <c r="O14">
        <f>(N14*'Dane dla CO'!$AB$53+'Dane dla CO'!$AD$53)/(N14*'Dane dla CO'!$P$35+'Dane dla CO'!$Q$35)</f>
        <v>0.55555555555555558</v>
      </c>
      <c r="P14">
        <f>N14*'Dane dla CO'!$N$96+'Dane dla CO'!$N$97</f>
        <v>208.8</v>
      </c>
      <c r="Q14">
        <f>IF(N14&lt;'Dane dla CO'!$Z$67,0,IF(O14&gt;1,P14,O14*P14))</f>
        <v>0</v>
      </c>
      <c r="R14">
        <f t="shared" si="9"/>
        <v>208.8</v>
      </c>
      <c r="S14" s="84">
        <f>(N14*'Dane dla CWU'!$AB$53+'Dane dla CWU'!$AD$53)/(N14*'Dane dla CO'!$P$35+'Dane dla CO'!$Q$35)</f>
        <v>0.33950617283950618</v>
      </c>
      <c r="T14" s="84">
        <f t="shared" si="10"/>
        <v>10.319026666666666</v>
      </c>
      <c r="U14" s="84">
        <f>IF(N14&lt;'Dane dla CWU'!$Z$67,0,IF(S14&gt;1,T14,S14*T14))</f>
        <v>0</v>
      </c>
      <c r="V14" s="84">
        <f t="shared" si="11"/>
        <v>10.319026666666666</v>
      </c>
      <c r="X14">
        <v>12</v>
      </c>
      <c r="Y14">
        <v>3</v>
      </c>
      <c r="Z14">
        <f>(Y14*'Dane dla CO'!$AB$53+'Dane dla CO'!$AD$53)/(Y14*'Dane dla CO'!$P$35+'Dane dla CO'!$Q$35)</f>
        <v>1.4403292181069955</v>
      </c>
      <c r="AA14">
        <f>Y14*'Dane dla CO'!$N$96+'Dane dla CO'!$N$97</f>
        <v>93.600000000000023</v>
      </c>
      <c r="AB14">
        <f>IF(Y14&lt;'Dane dla CO'!$Z$67,0,IF(Z14&gt;1,AA14,Z14*AA14))</f>
        <v>93.600000000000023</v>
      </c>
      <c r="AC14">
        <f t="shared" si="12"/>
        <v>0</v>
      </c>
      <c r="AD14" s="84">
        <f>(Y14*'Dane dla CWU'!$AB$53+'Dane dla CWU'!$AD$53)/(Y14*'Dane dla CO'!$P$35+'Dane dla CO'!$Q$35)</f>
        <v>1.4163237311385457</v>
      </c>
      <c r="AE14" s="84">
        <f t="shared" si="13"/>
        <v>10.319026666666666</v>
      </c>
      <c r="AF14" s="84">
        <f>IF(Y14&lt;'Dane dla CWU'!$Z$67,0,IF(AD14&gt;1,AE14,AD14*AE14))</f>
        <v>0</v>
      </c>
      <c r="AG14" s="84">
        <f t="shared" si="14"/>
        <v>10.319026666666666</v>
      </c>
      <c r="AI14">
        <v>12</v>
      </c>
      <c r="AJ14">
        <v>13</v>
      </c>
      <c r="AK14">
        <f>(AJ14*'Dane dla CO'!$AB$53+'Dane dla CO'!$AD$53)/(AJ14*'Dane dla CO'!$P$35+'Dane dla CO'!$Q$35)</f>
        <v>9.1820987654320927</v>
      </c>
      <c r="AL14">
        <f>AJ14*'Dane dla CO'!$N$96+'Dane dla CO'!$N$97</f>
        <v>21.600000000000009</v>
      </c>
      <c r="AM14">
        <f>IF(AJ14&lt;'Dane dla CO'!$Z$67,0,IF(AK14&gt;1,AL14,AK14*AL14))</f>
        <v>21.600000000000009</v>
      </c>
      <c r="AN14">
        <f t="shared" si="15"/>
        <v>0</v>
      </c>
      <c r="AO14" s="84">
        <f>(AJ14*'Dane dla CWU'!$AB$53+'Dane dla CWU'!$AD$53)/(AJ14*'Dane dla CO'!$P$35+'Dane dla CO'!$Q$35)</f>
        <v>10.838477366255137</v>
      </c>
      <c r="AP14" s="84">
        <f t="shared" si="16"/>
        <v>10.319026666666666</v>
      </c>
      <c r="AQ14" s="84">
        <f>IF(AJ14&lt;'Dane dla CWU'!$Z$67,0,IF(AO14&gt;1,AP14,AO14*AP14))</f>
        <v>10.319026666666666</v>
      </c>
      <c r="AR14" s="84">
        <f t="shared" si="17"/>
        <v>0</v>
      </c>
      <c r="AT14">
        <v>12</v>
      </c>
      <c r="AU14">
        <v>14</v>
      </c>
      <c r="BA14">
        <v>12</v>
      </c>
      <c r="BB14">
        <v>16</v>
      </c>
      <c r="BH14">
        <v>12</v>
      </c>
      <c r="BI14">
        <v>19</v>
      </c>
      <c r="BO14">
        <v>12</v>
      </c>
      <c r="BP14">
        <v>13</v>
      </c>
      <c r="BV14">
        <v>12</v>
      </c>
      <c r="BW14">
        <v>19</v>
      </c>
      <c r="CB14" s="84"/>
      <c r="CC14" s="84">
        <f t="shared" si="18"/>
        <v>10.319026666666666</v>
      </c>
      <c r="CD14" s="84">
        <f t="shared" si="19"/>
        <v>10.319026666666666</v>
      </c>
      <c r="CE14" s="84">
        <f t="shared" si="20"/>
        <v>0</v>
      </c>
      <c r="CG14">
        <v>12</v>
      </c>
      <c r="CH14">
        <v>4</v>
      </c>
      <c r="CI14">
        <f>(CH14*'Dane dla CO'!$AB$53+'Dane dla CO'!$AD$53)/(CH14*'Dane dla CO'!$P$35+'Dane dla CO'!$Q$35)</f>
        <v>1.5810886644219975</v>
      </c>
      <c r="CJ14">
        <f>CH14*'Dane dla CO'!$N$96+'Dane dla CO'!$N$97</f>
        <v>86.4</v>
      </c>
      <c r="CK14">
        <f>IF(CH14&lt;'Dane dla CO'!$Z$67,0,IF(CI14&gt;1,CJ14,CI14*CJ14))</f>
        <v>86.4</v>
      </c>
      <c r="CL14">
        <f t="shared" si="21"/>
        <v>0</v>
      </c>
      <c r="CM14" s="84">
        <f>(CH14*'Dane dla CWU'!$AB$53+'Dane dla CWU'!$AD$53)/(CH14*'Dane dla CO'!$P$35+'Dane dla CO'!$Q$35)</f>
        <v>1.5876356154133928</v>
      </c>
      <c r="CN14" s="84">
        <f t="shared" si="0"/>
        <v>10.319026666666666</v>
      </c>
      <c r="CO14" s="84">
        <f>IF(CH14&lt;'Dane dla CWU'!$Z$67,0,IF(CM14&gt;1,CN14,CM14*CN14))</f>
        <v>0</v>
      </c>
      <c r="CP14" s="84">
        <f t="shared" si="1"/>
        <v>10.319026666666666</v>
      </c>
      <c r="CR14">
        <v>12</v>
      </c>
      <c r="CS14">
        <v>8</v>
      </c>
      <c r="CT14">
        <f>(CS14*'Dane dla CO'!$AB$53+'Dane dla CO'!$AD$53)/(CS14*'Dane dla CO'!$P$35+'Dane dla CO'!$Q$35)</f>
        <v>2.5462962962962963</v>
      </c>
      <c r="CU14">
        <f>CS14*'Dane dla CO'!$N$96+'Dane dla CO'!$N$97</f>
        <v>57.600000000000009</v>
      </c>
      <c r="CV14">
        <f>IF(CS14&lt;'Dane dla CO'!$Z$67,0,IF(CT14&gt;1,CU14,CT14*CU14))</f>
        <v>57.600000000000009</v>
      </c>
      <c r="CW14">
        <f t="shared" si="22"/>
        <v>0</v>
      </c>
      <c r="CX14" s="84">
        <f>(CS14*'Dane dla CWU'!$AB$53+'Dane dla CWU'!$AD$53)/(CS14*'Dane dla CO'!$P$35+'Dane dla CO'!$Q$35)</f>
        <v>2.7623456790123457</v>
      </c>
      <c r="CY14" s="84">
        <f t="shared" si="2"/>
        <v>10.319026666666666</v>
      </c>
      <c r="CZ14" s="84">
        <f>IF(CS14&lt;'Dane dla CWU'!$Z$67,0,IF(CX14&gt;1,CY14,CX14*CY14))</f>
        <v>10.319026666666666</v>
      </c>
      <c r="DA14" s="84">
        <f t="shared" si="3"/>
        <v>0</v>
      </c>
      <c r="DC14">
        <v>12</v>
      </c>
      <c r="DD14">
        <v>-2</v>
      </c>
      <c r="DE14">
        <f>(DD14*'Dane dla CO'!$AB$53+'Dane dla CO'!$AD$53)/(DD14*'Dane dla CO'!$P$35+'Dane dla CO'!$Q$35)</f>
        <v>0.98493100944081324</v>
      </c>
      <c r="DF14">
        <f>DD14*'Dane dla CO'!$N$96+'Dane dla CO'!$N$97</f>
        <v>129.60000000000002</v>
      </c>
      <c r="DG14">
        <f>IF(DD14&lt;'Dane dla CO'!$Z$67,0,IF(DE14&gt;1,DF14,DE14*DF14))</f>
        <v>127.64705882352942</v>
      </c>
      <c r="DH14">
        <f t="shared" si="23"/>
        <v>1.9529411764706026</v>
      </c>
      <c r="DI14" s="84">
        <f>(DD14*'Dane dla CWU'!$AB$53+'Dane dla CWU'!$AD$53)/(DD14*'Dane dla CO'!$P$35+'Dane dla CO'!$Q$35)</f>
        <v>0.86207939966109892</v>
      </c>
      <c r="DJ14" s="84">
        <f t="shared" si="4"/>
        <v>10.319026666666666</v>
      </c>
      <c r="DK14" s="84">
        <f>IF(DD14&lt;'Dane dla CWU'!$Z$67,0,IF(DI14&gt;1,DJ14,DI14*DJ14))</f>
        <v>0</v>
      </c>
      <c r="DL14" s="84">
        <f t="shared" si="5"/>
        <v>10.319026666666666</v>
      </c>
      <c r="DM14" s="49">
        <v>-11</v>
      </c>
      <c r="DN14" s="94">
        <f>DO14*'Dane dla CO'!$N$80</f>
        <v>916.89795918367361</v>
      </c>
      <c r="DO14" s="94">
        <f>(15-DS14)/35*'Dane dla CO'!$N$75</f>
        <v>8.0228571428571431</v>
      </c>
      <c r="DP14" s="94">
        <f t="shared" si="24"/>
        <v>229.2244897959184</v>
      </c>
      <c r="DQ14" s="51">
        <v>-11</v>
      </c>
      <c r="DR14" s="127">
        <v>4</v>
      </c>
      <c r="DS14" s="127">
        <v>-11</v>
      </c>
      <c r="DT14" s="89">
        <f>Wykresy!Y12</f>
        <v>49.6</v>
      </c>
      <c r="DU14" s="90">
        <f>Wykresy!AE12</f>
        <v>31.700000000000003</v>
      </c>
      <c r="DV14" s="92">
        <f>(($DV$15-$DV$10)/5)*4+$DV$10</f>
        <v>3.88</v>
      </c>
      <c r="DW14" s="92">
        <v>2.44</v>
      </c>
      <c r="DX14" s="92">
        <f t="shared" si="29"/>
        <v>1.5901639344262295</v>
      </c>
      <c r="DY14" s="86">
        <f>(($DY$15-$DY$10)/5)*4+$DY$10</f>
        <v>5.84</v>
      </c>
      <c r="DZ14" s="86">
        <v>2.5299999999999998</v>
      </c>
      <c r="EA14" s="96">
        <f t="shared" si="30"/>
        <v>2.308300395256917</v>
      </c>
      <c r="EB14" s="85">
        <f t="shared" si="32"/>
        <v>4</v>
      </c>
      <c r="EC14" s="85">
        <f t="shared" si="26"/>
        <v>2.8269581056466302E-2</v>
      </c>
      <c r="ED14" s="92">
        <f>'Energia 221.A26'!P11</f>
        <v>2.8120090798522615</v>
      </c>
      <c r="EE14" s="86">
        <f t="shared" si="33"/>
        <v>4</v>
      </c>
      <c r="EF14" s="86">
        <f t="shared" si="27"/>
        <v>4.1036451471234081E-2</v>
      </c>
      <c r="EG14" s="96">
        <f>'Energia 221.A26'!S11</f>
        <v>3.863694070350574</v>
      </c>
      <c r="EI14" s="127">
        <v>4</v>
      </c>
      <c r="EJ14" s="127">
        <f t="shared" si="25"/>
        <v>13</v>
      </c>
      <c r="EK14" s="127">
        <v>-11</v>
      </c>
      <c r="EL14" s="89">
        <v>55</v>
      </c>
      <c r="EM14" s="92">
        <f t="shared" si="34"/>
        <v>3.3</v>
      </c>
      <c r="EN14" s="92">
        <f t="shared" si="35"/>
        <v>2.4399999999999995</v>
      </c>
      <c r="EO14" s="92">
        <f t="shared" si="31"/>
        <v>1.3524590163934429</v>
      </c>
      <c r="EP14" s="85">
        <f t="shared" si="36"/>
        <v>4</v>
      </c>
      <c r="EQ14" s="85">
        <f t="shared" si="28"/>
        <v>2.4043715846994541E-2</v>
      </c>
      <c r="ER14" s="92">
        <f>'Energia 221.A26'!V11</f>
        <v>2.3401294632061922</v>
      </c>
      <c r="EZ14" t="s">
        <v>275</v>
      </c>
      <c r="FD14" s="103">
        <f>FL3+FL6</f>
        <v>5691.1520454068868</v>
      </c>
      <c r="FE14" s="103"/>
    </row>
    <row r="15" spans="1:170">
      <c r="A15" s="162"/>
      <c r="B15">
        <v>13</v>
      </c>
      <c r="C15">
        <v>2</v>
      </c>
      <c r="D15" s="84">
        <f>(C15*'Dane dla CO'!$AB$53+'Dane dla CO'!$AD$53)/(C15*'Dane dla CO'!$P$35+'Dane dla CO'!$Q$35)</f>
        <v>1.321225071225071</v>
      </c>
      <c r="E15" s="84">
        <f>C15*'Dane dla CO'!$N$96+'Dane dla CO'!$N$97</f>
        <v>100.80000000000001</v>
      </c>
      <c r="F15" s="84">
        <f>IF(C15&lt;'Dane dla CO'!$Z$67,0,IF(D15&gt;1,E15,D15*E15))</f>
        <v>100.80000000000001</v>
      </c>
      <c r="G15" s="84">
        <f t="shared" si="6"/>
        <v>0</v>
      </c>
      <c r="H15" s="84">
        <f>(C15*'Dane dla CWU'!$AB$53+'Dane dla CWU'!$AD$53)/(C15*'Dane dla CO'!$P$35+'Dane dla CO'!$Q$35)</f>
        <v>1.2713675213675213</v>
      </c>
      <c r="I15" s="84">
        <f t="shared" si="7"/>
        <v>10.319026666666666</v>
      </c>
      <c r="J15" s="84">
        <f>IF(C15&lt;'Dane dla CWU'!$Z$67,0,IF(H15&gt;1,I15,H15*I15))</f>
        <v>0</v>
      </c>
      <c r="K15" s="84">
        <f t="shared" si="8"/>
        <v>10.319026666666666</v>
      </c>
      <c r="M15">
        <v>13</v>
      </c>
      <c r="N15">
        <v>-7</v>
      </c>
      <c r="O15">
        <f>(N15*'Dane dla CO'!$AB$53+'Dane dla CO'!$AD$53)/(N15*'Dane dla CO'!$P$35+'Dane dla CO'!$Q$35)</f>
        <v>0.73653198653198648</v>
      </c>
      <c r="P15">
        <f>N15*'Dane dla CO'!$N$96+'Dane dla CO'!$N$97</f>
        <v>165.60000000000002</v>
      </c>
      <c r="Q15">
        <f>IF(N15&lt;'Dane dla CO'!$Z$67,0,IF(O15&gt;1,P15,O15*P15))</f>
        <v>0</v>
      </c>
      <c r="R15">
        <f t="shared" si="9"/>
        <v>165.60000000000002</v>
      </c>
      <c r="S15" s="84">
        <f>(N15*'Dane dla CWU'!$AB$53+'Dane dla CWU'!$AD$53)/(N15*'Dane dla CO'!$P$35+'Dane dla CO'!$Q$35)</f>
        <v>0.55976430976430969</v>
      </c>
      <c r="T15" s="84">
        <f t="shared" si="10"/>
        <v>10.319026666666666</v>
      </c>
      <c r="U15" s="84">
        <f>IF(N15&lt;'Dane dla CWU'!$Z$67,0,IF(S15&gt;1,T15,S15*T15))</f>
        <v>0</v>
      </c>
      <c r="V15" s="84">
        <f t="shared" si="11"/>
        <v>10.319026666666666</v>
      </c>
      <c r="X15">
        <v>13</v>
      </c>
      <c r="Y15">
        <v>7</v>
      </c>
      <c r="Z15">
        <f>(Y15*'Dane dla CO'!$AB$53+'Dane dla CO'!$AD$53)/(Y15*'Dane dla CO'!$P$35+'Dane dla CO'!$Q$35)</f>
        <v>2.2145061728395059</v>
      </c>
      <c r="AA15">
        <f>Y15*'Dane dla CO'!$N$96+'Dane dla CO'!$N$97</f>
        <v>64.800000000000011</v>
      </c>
      <c r="AB15">
        <f>IF(Y15&lt;'Dane dla CO'!$Z$67,0,IF(Z15&gt;1,AA15,Z15*AA15))</f>
        <v>64.800000000000011</v>
      </c>
      <c r="AC15">
        <f t="shared" si="12"/>
        <v>0</v>
      </c>
      <c r="AD15" s="84">
        <f>(Y15*'Dane dla CWU'!$AB$53+'Dane dla CWU'!$AD$53)/(Y15*'Dane dla CO'!$P$35+'Dane dla CO'!$Q$35)</f>
        <v>2.3585390946502054</v>
      </c>
      <c r="AE15" s="84">
        <f t="shared" si="13"/>
        <v>10.319026666666666</v>
      </c>
      <c r="AF15" s="84">
        <f>IF(Y15&lt;'Dane dla CWU'!$Z$67,0,IF(AD15&gt;1,AE15,AD15*AE15))</f>
        <v>0</v>
      </c>
      <c r="AG15" s="84">
        <f t="shared" si="14"/>
        <v>10.319026666666666</v>
      </c>
      <c r="AI15">
        <v>13</v>
      </c>
      <c r="AJ15">
        <v>11</v>
      </c>
      <c r="AK15">
        <f>(AJ15*'Dane dla CO'!$AB$53+'Dane dla CO'!$AD$53)/(AJ15*'Dane dla CO'!$P$35+'Dane dla CO'!$Q$35)</f>
        <v>4.5370370370370363</v>
      </c>
      <c r="AL15">
        <f>AJ15*'Dane dla CO'!$N$96+'Dane dla CO'!$N$97</f>
        <v>36</v>
      </c>
      <c r="AM15">
        <f>IF(AJ15&lt;'Dane dla CO'!$Z$67,0,IF(AK15&gt;1,AL15,AK15*AL15))</f>
        <v>36</v>
      </c>
      <c r="AN15">
        <f t="shared" si="15"/>
        <v>0</v>
      </c>
      <c r="AO15" s="84">
        <f>(AJ15*'Dane dla CWU'!$AB$53+'Dane dla CWU'!$AD$53)/(AJ15*'Dane dla CO'!$P$35+'Dane dla CO'!$Q$35)</f>
        <v>5.1851851851851842</v>
      </c>
      <c r="AP15" s="84">
        <f t="shared" si="16"/>
        <v>10.319026666666666</v>
      </c>
      <c r="AQ15" s="84">
        <f>IF(AJ15&lt;'Dane dla CWU'!$Z$67,0,IF(AO15&gt;1,AP15,AO15*AP15))</f>
        <v>10.319026666666666</v>
      </c>
      <c r="AR15" s="84">
        <f t="shared" si="17"/>
        <v>0</v>
      </c>
      <c r="AT15">
        <v>13</v>
      </c>
      <c r="AU15">
        <v>10</v>
      </c>
      <c r="BA15">
        <v>13</v>
      </c>
      <c r="BB15">
        <v>17</v>
      </c>
      <c r="BH15">
        <v>13</v>
      </c>
      <c r="BI15">
        <v>17</v>
      </c>
      <c r="BO15">
        <v>13</v>
      </c>
      <c r="BP15">
        <v>14</v>
      </c>
      <c r="BV15">
        <v>13</v>
      </c>
      <c r="BW15">
        <v>13</v>
      </c>
      <c r="BX15">
        <f>(BW15*'Dane dla CO'!$AB$53+'Dane dla CO'!$AD$53)/(BW15*'Dane dla CO'!$P$35+'Dane dla CO'!$Q$35)</f>
        <v>9.1820987654320927</v>
      </c>
      <c r="BY15">
        <f>BW15*'Dane dla CO'!$N$96+'Dane dla CO'!$N$97</f>
        <v>21.600000000000009</v>
      </c>
      <c r="BZ15">
        <f>IF(BW15&lt;'Dane dla CO'!$Z$67,0,IF(BX15&gt;1,BY15,BX15*BY15))</f>
        <v>21.600000000000009</v>
      </c>
      <c r="CA15">
        <f>BY15-BZ15</f>
        <v>0</v>
      </c>
      <c r="CB15" s="84">
        <f>(BW15*'Dane dla CWU'!$AB$53+'Dane dla CWU'!$AD$53)/(BW15*'Dane dla CO'!$P$35+'Dane dla CO'!$Q$35)</f>
        <v>10.838477366255137</v>
      </c>
      <c r="CC15" s="84">
        <f t="shared" si="18"/>
        <v>10.319026666666666</v>
      </c>
      <c r="CD15" s="84">
        <f>IF(BW15&lt;'Dane dla CWU'!$Z$67,0,IF(CB15&gt;1,CC15,CB15*CC15))</f>
        <v>10.319026666666666</v>
      </c>
      <c r="CE15" s="84">
        <f t="shared" si="20"/>
        <v>0</v>
      </c>
      <c r="CG15">
        <v>13</v>
      </c>
      <c r="CH15">
        <v>8</v>
      </c>
      <c r="CI15">
        <f>(CH15*'Dane dla CO'!$AB$53+'Dane dla CO'!$AD$53)/(CH15*'Dane dla CO'!$P$35+'Dane dla CO'!$Q$35)</f>
        <v>2.5462962962962963</v>
      </c>
      <c r="CJ15">
        <f>CH15*'Dane dla CO'!$N$96+'Dane dla CO'!$N$97</f>
        <v>57.600000000000009</v>
      </c>
      <c r="CK15">
        <f>IF(CH15&lt;'Dane dla CO'!$Z$67,0,IF(CI15&gt;1,CJ15,CI15*CJ15))</f>
        <v>57.600000000000009</v>
      </c>
      <c r="CL15">
        <f t="shared" si="21"/>
        <v>0</v>
      </c>
      <c r="CM15" s="84">
        <f>(CH15*'Dane dla CWU'!$AB$53+'Dane dla CWU'!$AD$53)/(CH15*'Dane dla CO'!$P$35+'Dane dla CO'!$Q$35)</f>
        <v>2.7623456790123457</v>
      </c>
      <c r="CN15" s="84">
        <f t="shared" si="0"/>
        <v>10.319026666666666</v>
      </c>
      <c r="CO15" s="84">
        <f>IF(CH15&lt;'Dane dla CWU'!$Z$67,0,IF(CM15&gt;1,CN15,CM15*CN15))</f>
        <v>10.319026666666666</v>
      </c>
      <c r="CP15" s="84">
        <f t="shared" si="1"/>
        <v>0</v>
      </c>
      <c r="CR15">
        <v>13</v>
      </c>
      <c r="CS15">
        <v>6</v>
      </c>
      <c r="CT15">
        <f>(CS15*'Dane dla CO'!$AB$53+'Dane dla CO'!$AD$53)/(CS15*'Dane dla CO'!$P$35+'Dane dla CO'!$Q$35)</f>
        <v>1.9564471879286691</v>
      </c>
      <c r="CU15">
        <f>CS15*'Dane dla CO'!$N$96+'Dane dla CO'!$N$97</f>
        <v>72.000000000000014</v>
      </c>
      <c r="CV15">
        <f>IF(CS15&lt;'Dane dla CO'!$Z$67,0,IF(CT15&gt;1,CU15,CT15*CU15))</f>
        <v>72.000000000000014</v>
      </c>
      <c r="CW15">
        <f t="shared" si="22"/>
        <v>0</v>
      </c>
      <c r="CX15" s="84">
        <f>(CS15*'Dane dla CWU'!$AB$53+'Dane dla CWU'!$AD$53)/(CS15*'Dane dla CO'!$P$35+'Dane dla CO'!$Q$35)</f>
        <v>2.0444673068129853</v>
      </c>
      <c r="CY15" s="84">
        <f t="shared" si="2"/>
        <v>10.319026666666666</v>
      </c>
      <c r="CZ15" s="84">
        <f>IF(CS15&lt;'Dane dla CWU'!$Z$67,0,IF(CX15&gt;1,CY15,CX15*CY15))</f>
        <v>0</v>
      </c>
      <c r="DA15" s="84">
        <f t="shared" si="3"/>
        <v>10.319026666666666</v>
      </c>
      <c r="DC15">
        <v>13</v>
      </c>
      <c r="DD15">
        <v>-6</v>
      </c>
      <c r="DE15">
        <f>(DD15*'Dane dla CO'!$AB$53+'Dane dla CO'!$AD$53)/(DD15*'Dane dla CO'!$P$35+'Dane dla CO'!$Q$35)</f>
        <v>0.77674897119341557</v>
      </c>
      <c r="DF15">
        <f>DD15*'Dane dla CO'!$N$96+'Dane dla CO'!$N$97</f>
        <v>158.40000000000003</v>
      </c>
      <c r="DG15">
        <f>IF(DD15&lt;'Dane dla CO'!$Z$67,0,IF(DE15&gt;1,DF15,DE15*DF15))</f>
        <v>0</v>
      </c>
      <c r="DH15">
        <f t="shared" si="23"/>
        <v>158.40000000000003</v>
      </c>
      <c r="DI15" s="84">
        <f>(DD15*'Dane dla CWU'!$AB$53+'Dane dla CWU'!$AD$53)/(DD15*'Dane dla CO'!$P$35+'Dane dla CO'!$Q$35)</f>
        <v>0.60871056241426602</v>
      </c>
      <c r="DJ15" s="84">
        <f t="shared" si="4"/>
        <v>10.319026666666666</v>
      </c>
      <c r="DK15" s="84">
        <f>IF(DD15&lt;'Dane dla CWU'!$Z$67,0,IF(DI15&gt;1,DJ15,DI15*DJ15))</f>
        <v>0</v>
      </c>
      <c r="DL15" s="84">
        <f t="shared" si="5"/>
        <v>10.319026666666666</v>
      </c>
      <c r="DM15" s="49">
        <v>-10</v>
      </c>
      <c r="DN15" s="94">
        <f>DO15*'Dane dla CO'!$N$80</f>
        <v>881.63265306122469</v>
      </c>
      <c r="DO15" s="94">
        <f>(15-DS15)/35*'Dane dla CO'!$N$75</f>
        <v>7.7142857142857153</v>
      </c>
      <c r="DP15" s="94">
        <f t="shared" si="24"/>
        <v>176.32653061224494</v>
      </c>
      <c r="DQ15" s="51">
        <v>-10</v>
      </c>
      <c r="DR15" s="127">
        <v>5</v>
      </c>
      <c r="DS15" s="127">
        <v>-10</v>
      </c>
      <c r="DT15" s="89">
        <f>Wykresy!Y13</f>
        <v>49</v>
      </c>
      <c r="DU15" s="90">
        <f>Wykresy!AE13</f>
        <v>31.333333333333336</v>
      </c>
      <c r="DV15" s="92">
        <v>4.0999999999999996</v>
      </c>
      <c r="DW15" s="92">
        <v>2.4500000000000002</v>
      </c>
      <c r="DX15" s="92">
        <f t="shared" si="29"/>
        <v>1.6734693877551017</v>
      </c>
      <c r="DY15" s="86">
        <v>6</v>
      </c>
      <c r="DZ15" s="86">
        <v>2.5299999999999998</v>
      </c>
      <c r="EA15" s="96">
        <f t="shared" si="30"/>
        <v>2.3715415019762847</v>
      </c>
      <c r="EB15" s="85">
        <f t="shared" si="32"/>
        <v>5</v>
      </c>
      <c r="EC15" s="85">
        <f t="shared" si="26"/>
        <v>3.7188208616780037E-2</v>
      </c>
      <c r="ED15" s="92">
        <f>'Energia 221.A26'!P12</f>
        <v>2.8664028456008235</v>
      </c>
      <c r="EE15" s="86">
        <f t="shared" si="33"/>
        <v>5</v>
      </c>
      <c r="EF15" s="86">
        <f t="shared" si="27"/>
        <v>5.2700922266139663E-2</v>
      </c>
      <c r="EG15" s="96">
        <f>'Energia 221.A26'!S12</f>
        <v>3.9329366577001679</v>
      </c>
      <c r="EI15" s="127">
        <v>5</v>
      </c>
      <c r="EJ15" s="127">
        <f t="shared" si="25"/>
        <v>18</v>
      </c>
      <c r="EK15" s="127">
        <v>-10</v>
      </c>
      <c r="EL15" s="89">
        <v>55</v>
      </c>
      <c r="EM15" s="92">
        <f t="shared" si="34"/>
        <v>3.4249999999999998</v>
      </c>
      <c r="EN15" s="92">
        <f t="shared" si="35"/>
        <v>2.4499999999999993</v>
      </c>
      <c r="EO15" s="92">
        <f t="shared" si="31"/>
        <v>1.3979591836734697</v>
      </c>
      <c r="EP15" s="85">
        <f t="shared" si="36"/>
        <v>5</v>
      </c>
      <c r="EQ15" s="85">
        <f t="shared" si="28"/>
        <v>3.1065759637188214E-2</v>
      </c>
      <c r="ER15" s="92">
        <f>'Energia 221.A26'!V12</f>
        <v>2.3513211963145517</v>
      </c>
      <c r="EZ15" t="s">
        <v>276</v>
      </c>
      <c r="FD15" s="103">
        <f>FL4+FL7</f>
        <v>5577.185605942047</v>
      </c>
      <c r="FE15" s="103"/>
      <c r="FF15" s="103">
        <f>IF(FD14&lt;FD15,0,FD14-FD15)</f>
        <v>113.96643946483982</v>
      </c>
      <c r="FG15" s="103"/>
    </row>
    <row r="16" spans="1:170">
      <c r="A16" s="162"/>
      <c r="B16">
        <v>14</v>
      </c>
      <c r="C16">
        <v>0</v>
      </c>
      <c r="D16" s="84">
        <f>(C16*'Dane dla CO'!$AB$53+'Dane dla CO'!$AD$53)/(C16*'Dane dla CO'!$P$35+'Dane dla CO'!$Q$35)</f>
        <v>1.1306584362139918</v>
      </c>
      <c r="E16" s="84">
        <f>C16*'Dane dla CO'!$N$96+'Dane dla CO'!$N$97</f>
        <v>115.20000000000002</v>
      </c>
      <c r="F16" s="84">
        <f>IF(C16&lt;'Dane dla CO'!$Z$67,0,IF(D16&gt;1,E16,D16*E16))</f>
        <v>115.20000000000002</v>
      </c>
      <c r="G16" s="84">
        <f t="shared" si="6"/>
        <v>0</v>
      </c>
      <c r="H16" s="84">
        <f>(C16*'Dane dla CWU'!$AB$53+'Dane dla CWU'!$AD$53)/(C16*'Dane dla CO'!$P$35+'Dane dla CO'!$Q$35)</f>
        <v>1.0394375857338818</v>
      </c>
      <c r="I16" s="84">
        <f t="shared" si="7"/>
        <v>10.319026666666666</v>
      </c>
      <c r="J16" s="84">
        <f>IF(C16&lt;'Dane dla CWU'!$Z$67,0,IF(H16&gt;1,I16,H16*I16))</f>
        <v>0</v>
      </c>
      <c r="K16" s="84">
        <f t="shared" si="8"/>
        <v>10.319026666666666</v>
      </c>
      <c r="M16">
        <v>14</v>
      </c>
      <c r="N16">
        <v>-3</v>
      </c>
      <c r="O16">
        <f>(N16*'Dane dla CO'!$AB$53+'Dane dla CO'!$AD$53)/(N16*'Dane dla CO'!$P$35+'Dane dla CO'!$Q$35)</f>
        <v>0.92421124828532231</v>
      </c>
      <c r="P16">
        <f>N16*'Dane dla CO'!$N$96+'Dane dla CO'!$N$97</f>
        <v>136.80000000000001</v>
      </c>
      <c r="Q16">
        <f>IF(N16&lt;'Dane dla CO'!$Z$67,0,IF(O16&gt;1,P16,O16*P16))</f>
        <v>0</v>
      </c>
      <c r="R16">
        <f t="shared" si="9"/>
        <v>136.80000000000001</v>
      </c>
      <c r="S16" s="84">
        <f>(N16*'Dane dla CWU'!$AB$53+'Dane dla CWU'!$AD$53)/(N16*'Dane dla CO'!$P$35+'Dane dla CO'!$Q$35)</f>
        <v>0.78818015546410591</v>
      </c>
      <c r="T16" s="84">
        <f t="shared" si="10"/>
        <v>10.319026666666666</v>
      </c>
      <c r="U16" s="84">
        <f>IF(N16&lt;'Dane dla CWU'!$Z$67,0,IF(S16&gt;1,T16,S16*T16))</f>
        <v>0</v>
      </c>
      <c r="V16" s="84">
        <f t="shared" si="11"/>
        <v>10.319026666666666</v>
      </c>
      <c r="X16">
        <v>14</v>
      </c>
      <c r="Y16">
        <v>6</v>
      </c>
      <c r="Z16">
        <f>(Y16*'Dane dla CO'!$AB$53+'Dane dla CO'!$AD$53)/(Y16*'Dane dla CO'!$P$35+'Dane dla CO'!$Q$35)</f>
        <v>1.9564471879286691</v>
      </c>
      <c r="AA16">
        <f>Y16*'Dane dla CO'!$N$96+'Dane dla CO'!$N$97</f>
        <v>72.000000000000014</v>
      </c>
      <c r="AB16">
        <f>IF(Y16&lt;'Dane dla CO'!$Z$67,0,IF(Z16&gt;1,AA16,Z16*AA16))</f>
        <v>72.000000000000014</v>
      </c>
      <c r="AC16">
        <f t="shared" si="12"/>
        <v>0</v>
      </c>
      <c r="AD16" s="84">
        <f>(Y16*'Dane dla CWU'!$AB$53+'Dane dla CWU'!$AD$53)/(Y16*'Dane dla CO'!$P$35+'Dane dla CO'!$Q$35)</f>
        <v>2.0444673068129853</v>
      </c>
      <c r="AE16" s="84">
        <f t="shared" si="13"/>
        <v>10.319026666666666</v>
      </c>
      <c r="AF16" s="84">
        <f>IF(Y16&lt;'Dane dla CWU'!$Z$67,0,IF(AD16&gt;1,AE16,AD16*AE16))</f>
        <v>0</v>
      </c>
      <c r="AG16" s="84">
        <f t="shared" si="14"/>
        <v>10.319026666666666</v>
      </c>
      <c r="AI16">
        <v>14</v>
      </c>
      <c r="AJ16">
        <v>10</v>
      </c>
      <c r="AK16">
        <f>(AJ16*'Dane dla CO'!$AB$53+'Dane dla CO'!$AD$53)/(AJ16*'Dane dla CO'!$P$35+'Dane dla CO'!$Q$35)</f>
        <v>3.6080246913580249</v>
      </c>
      <c r="AL16">
        <f>AJ16*'Dane dla CO'!$N$96+'Dane dla CO'!$N$97</f>
        <v>43.2</v>
      </c>
      <c r="AM16">
        <f>IF(AJ16&lt;'Dane dla CO'!$Z$67,0,IF(AK16&gt;1,AL16,AK16*AL16))</f>
        <v>43.2</v>
      </c>
      <c r="AN16">
        <f t="shared" si="15"/>
        <v>0</v>
      </c>
      <c r="AO16" s="84">
        <f>(AJ16*'Dane dla CWU'!$AB$53+'Dane dla CWU'!$AD$53)/(AJ16*'Dane dla CO'!$P$35+'Dane dla CO'!$Q$35)</f>
        <v>4.0545267489711936</v>
      </c>
      <c r="AP16" s="84">
        <f t="shared" si="16"/>
        <v>10.319026666666666</v>
      </c>
      <c r="AQ16" s="84">
        <f>IF(AJ16&lt;'Dane dla CWU'!$Z$67,0,IF(AO16&gt;1,AP16,AO16*AP16))</f>
        <v>10.319026666666666</v>
      </c>
      <c r="AR16" s="84">
        <f t="shared" si="17"/>
        <v>0</v>
      </c>
      <c r="AT16">
        <v>14</v>
      </c>
      <c r="AU16">
        <v>10</v>
      </c>
      <c r="BA16">
        <v>14</v>
      </c>
      <c r="BB16">
        <v>15</v>
      </c>
      <c r="BH16">
        <v>14</v>
      </c>
      <c r="BI16">
        <v>18</v>
      </c>
      <c r="BO16">
        <v>14</v>
      </c>
      <c r="BP16">
        <v>14</v>
      </c>
      <c r="BV16">
        <v>14</v>
      </c>
      <c r="BW16">
        <v>12</v>
      </c>
      <c r="BX16">
        <f>(BW16*'Dane dla CO'!$AB$53+'Dane dla CO'!$AD$53)/(BW16*'Dane dla CO'!$P$35+'Dane dla CO'!$Q$35)</f>
        <v>6.0853909465020575</v>
      </c>
      <c r="BY16">
        <f>BW16*'Dane dla CO'!$N$96+'Dane dla CO'!$N$97</f>
        <v>28.800000000000011</v>
      </c>
      <c r="BZ16">
        <f>IF(BW16&lt;'Dane dla CO'!$Z$67,0,IF(BX16&gt;1,BY16,BX16*BY16))</f>
        <v>28.800000000000011</v>
      </c>
      <c r="CA16">
        <f t="shared" ref="CA16:CA32" si="37">BY16-BZ16</f>
        <v>0</v>
      </c>
      <c r="CB16" s="84">
        <f>(BW16*'Dane dla CWU'!$AB$53+'Dane dla CWU'!$AD$53)/(BW16*'Dane dla CO'!$P$35+'Dane dla CO'!$Q$35)</f>
        <v>7.0696159122085049</v>
      </c>
      <c r="CC16" s="84">
        <f t="shared" si="18"/>
        <v>10.319026666666666</v>
      </c>
      <c r="CD16" s="84">
        <f>IF(BW16&lt;'Dane dla CWU'!$Z$67,0,IF(CB16&gt;1,CC16,CB16*CC16))</f>
        <v>10.319026666666666</v>
      </c>
      <c r="CE16" s="84">
        <f t="shared" si="20"/>
        <v>0</v>
      </c>
      <c r="CG16">
        <v>14</v>
      </c>
      <c r="CH16">
        <v>10</v>
      </c>
      <c r="CI16">
        <f>(CH16*'Dane dla CO'!$AB$53+'Dane dla CO'!$AD$53)/(CH16*'Dane dla CO'!$P$35+'Dane dla CO'!$Q$35)</f>
        <v>3.6080246913580249</v>
      </c>
      <c r="CJ16">
        <f>CH16*'Dane dla CO'!$N$96+'Dane dla CO'!$N$97</f>
        <v>43.2</v>
      </c>
      <c r="CK16">
        <f>IF(CH16&lt;'Dane dla CO'!$Z$67,0,IF(CI16&gt;1,CJ16,CI16*CJ16))</f>
        <v>43.2</v>
      </c>
      <c r="CL16">
        <f t="shared" si="21"/>
        <v>0</v>
      </c>
      <c r="CM16" s="84">
        <f>(CH16*'Dane dla CWU'!$AB$53+'Dane dla CWU'!$AD$53)/(CH16*'Dane dla CO'!$P$35+'Dane dla CO'!$Q$35)</f>
        <v>4.0545267489711936</v>
      </c>
      <c r="CN16" s="84">
        <f t="shared" si="0"/>
        <v>10.319026666666666</v>
      </c>
      <c r="CO16" s="84">
        <f>IF(CH16&lt;'Dane dla CWU'!$Z$67,0,IF(CM16&gt;1,CN16,CM16*CN16))</f>
        <v>10.319026666666666</v>
      </c>
      <c r="CP16" s="84">
        <f t="shared" si="1"/>
        <v>0</v>
      </c>
      <c r="CR16">
        <v>14</v>
      </c>
      <c r="CS16">
        <v>2</v>
      </c>
      <c r="CT16">
        <f>(CS16*'Dane dla CO'!$AB$53+'Dane dla CO'!$AD$53)/(CS16*'Dane dla CO'!$P$35+'Dane dla CO'!$Q$35)</f>
        <v>1.321225071225071</v>
      </c>
      <c r="CU16">
        <f>CS16*'Dane dla CO'!$N$96+'Dane dla CO'!$N$97</f>
        <v>100.80000000000001</v>
      </c>
      <c r="CV16">
        <f>IF(CS16&lt;'Dane dla CO'!$Z$67,0,IF(CT16&gt;1,CU16,CT16*CU16))</f>
        <v>100.80000000000001</v>
      </c>
      <c r="CW16">
        <f t="shared" si="22"/>
        <v>0</v>
      </c>
      <c r="CX16" s="84">
        <f>(CS16*'Dane dla CWU'!$AB$53+'Dane dla CWU'!$AD$53)/(CS16*'Dane dla CO'!$P$35+'Dane dla CO'!$Q$35)</f>
        <v>1.2713675213675213</v>
      </c>
      <c r="CY16" s="84">
        <f t="shared" si="2"/>
        <v>10.319026666666666</v>
      </c>
      <c r="CZ16" s="84">
        <f>IF(CS16&lt;'Dane dla CWU'!$Z$67,0,IF(CX16&gt;1,CY16,CX16*CY16))</f>
        <v>0</v>
      </c>
      <c r="DA16" s="84">
        <f t="shared" si="3"/>
        <v>10.319026666666666</v>
      </c>
      <c r="DC16">
        <v>14</v>
      </c>
      <c r="DD16">
        <v>-5</v>
      </c>
      <c r="DE16">
        <f>(DD16*'Dane dla CO'!$AB$53+'Dane dla CO'!$AD$53)/(DD16*'Dane dla CO'!$P$35+'Dane dla CO'!$Q$35)</f>
        <v>0.82098765432098741</v>
      </c>
      <c r="DF16">
        <f>DD16*'Dane dla CO'!$N$96+'Dane dla CO'!$N$97</f>
        <v>151.20000000000002</v>
      </c>
      <c r="DG16">
        <f>IF(DD16&lt;'Dane dla CO'!$Z$67,0,IF(DE16&gt;1,DF16,DE16*DF16))</f>
        <v>0</v>
      </c>
      <c r="DH16">
        <f t="shared" si="23"/>
        <v>151.20000000000002</v>
      </c>
      <c r="DI16" s="84">
        <f>(DD16*'Dane dla CWU'!$AB$53+'Dane dla CWU'!$AD$53)/(DD16*'Dane dla CO'!$P$35+'Dane dla CO'!$Q$35)</f>
        <v>0.66255144032921798</v>
      </c>
      <c r="DJ16" s="84">
        <f t="shared" si="4"/>
        <v>10.319026666666666</v>
      </c>
      <c r="DK16" s="84">
        <f>IF(DD16&lt;'Dane dla CWU'!$Z$67,0,IF(DI16&gt;1,DJ16,DI16*DJ16))</f>
        <v>0</v>
      </c>
      <c r="DL16" s="84">
        <f t="shared" si="5"/>
        <v>10.319026666666666</v>
      </c>
      <c r="DM16" s="49">
        <v>-10</v>
      </c>
      <c r="DN16" s="94">
        <f>DO16*'Dane dla CO'!$N$80</f>
        <v>846.36734693877565</v>
      </c>
      <c r="DO16" s="94">
        <f>(15-DS16)/35*'Dane dla CO'!$N$75</f>
        <v>7.4057142857142866</v>
      </c>
      <c r="DP16" s="94">
        <f t="shared" si="24"/>
        <v>846.36734693877565</v>
      </c>
      <c r="DQ16" s="51">
        <v>-10</v>
      </c>
      <c r="DR16" s="127">
        <v>1</v>
      </c>
      <c r="DS16" s="127">
        <v>-9</v>
      </c>
      <c r="DT16" s="89">
        <f>Wykresy!Y14</f>
        <v>48.4</v>
      </c>
      <c r="DU16" s="90">
        <f>Wykresy!AE14</f>
        <v>30.966666666666669</v>
      </c>
      <c r="DV16" s="92">
        <f>(($DV$18-$DV$15)/3)*1+$DV$15</f>
        <v>4.3999999999999995</v>
      </c>
      <c r="DW16" s="92">
        <v>2.46</v>
      </c>
      <c r="DX16" s="92">
        <f t="shared" si="29"/>
        <v>1.7886178861788615</v>
      </c>
      <c r="DY16" s="86">
        <f>(($DY$18-$DY$15)/3)*1+$DY$15</f>
        <v>6.1333333333333337</v>
      </c>
      <c r="DZ16" s="86">
        <v>2.5299999999999998</v>
      </c>
      <c r="EA16" s="96">
        <f t="shared" si="30"/>
        <v>2.4242424242424248</v>
      </c>
      <c r="EB16" s="85">
        <f t="shared" si="32"/>
        <v>1</v>
      </c>
      <c r="EC16" s="85">
        <f t="shared" si="26"/>
        <v>7.9494128274616074E-3</v>
      </c>
      <c r="ED16" s="92">
        <f>'Energia 221.A26'!P13</f>
        <v>2.9339469873778028</v>
      </c>
      <c r="EE16" s="86">
        <f t="shared" si="33"/>
        <v>1</v>
      </c>
      <c r="EF16" s="86">
        <f t="shared" si="27"/>
        <v>1.0774410774410777E-2</v>
      </c>
      <c r="EG16" s="96">
        <f>'Energia 221.A26'!S13</f>
        <v>4.0213431778413282</v>
      </c>
      <c r="EI16" s="127">
        <v>1</v>
      </c>
      <c r="EJ16" s="127">
        <f t="shared" si="25"/>
        <v>19</v>
      </c>
      <c r="EK16" s="127">
        <v>-9</v>
      </c>
      <c r="EL16" s="89">
        <v>55</v>
      </c>
      <c r="EM16" s="92">
        <f t="shared" si="34"/>
        <v>3.55</v>
      </c>
      <c r="EN16" s="92">
        <f t="shared" si="35"/>
        <v>2.4599999999999991</v>
      </c>
      <c r="EO16" s="92">
        <f t="shared" si="31"/>
        <v>1.4430894308943094</v>
      </c>
      <c r="EP16" s="85">
        <f t="shared" si="36"/>
        <v>1</v>
      </c>
      <c r="EQ16" s="85">
        <f t="shared" si="28"/>
        <v>6.4137308039747083E-3</v>
      </c>
      <c r="ER16" s="92">
        <f>'Energia 221.A26'!V13</f>
        <v>2.3650189263812336</v>
      </c>
      <c r="EZ16" t="s">
        <v>257</v>
      </c>
      <c r="FD16" s="103">
        <f>IF(FD13&lt;FD14,0,FD13-FD14)</f>
        <v>682.50454477196854</v>
      </c>
      <c r="FE16" s="103"/>
      <c r="FL16" s="103"/>
      <c r="FM16" s="103"/>
      <c r="FN16" s="103"/>
    </row>
    <row r="17" spans="1:169">
      <c r="A17" s="162"/>
      <c r="B17">
        <v>15</v>
      </c>
      <c r="C17">
        <v>0</v>
      </c>
      <c r="D17" s="84">
        <f>(C17*'Dane dla CO'!$AB$53+'Dane dla CO'!$AD$53)/(C17*'Dane dla CO'!$P$35+'Dane dla CO'!$Q$35)</f>
        <v>1.1306584362139918</v>
      </c>
      <c r="E17" s="84">
        <f>C17*'Dane dla CO'!$N$96+'Dane dla CO'!$N$97</f>
        <v>115.20000000000002</v>
      </c>
      <c r="F17" s="84">
        <f>IF(C17&lt;'Dane dla CO'!$Z$67,0,IF(D17&gt;1,E17,D17*E17))</f>
        <v>115.20000000000002</v>
      </c>
      <c r="G17" s="84">
        <f t="shared" si="6"/>
        <v>0</v>
      </c>
      <c r="H17" s="84">
        <f>(C17*'Dane dla CWU'!$AB$53+'Dane dla CWU'!$AD$53)/(C17*'Dane dla CO'!$P$35+'Dane dla CO'!$Q$35)</f>
        <v>1.0394375857338818</v>
      </c>
      <c r="I17" s="84">
        <f t="shared" si="7"/>
        <v>10.319026666666666</v>
      </c>
      <c r="J17" s="84">
        <f>IF(C17&lt;'Dane dla CWU'!$Z$67,0,IF(H17&gt;1,I17,H17*I17))</f>
        <v>0</v>
      </c>
      <c r="K17" s="84">
        <f t="shared" si="8"/>
        <v>10.319026666666666</v>
      </c>
      <c r="M17">
        <v>15</v>
      </c>
      <c r="N17">
        <v>0</v>
      </c>
      <c r="O17">
        <f>(N17*'Dane dla CO'!$AB$53+'Dane dla CO'!$AD$53)/(N17*'Dane dla CO'!$P$35+'Dane dla CO'!$Q$35)</f>
        <v>1.1306584362139918</v>
      </c>
      <c r="P17">
        <f>N17*'Dane dla CO'!$N$96+'Dane dla CO'!$N$97</f>
        <v>115.20000000000002</v>
      </c>
      <c r="Q17">
        <f>IF(N17&lt;'Dane dla CO'!$Z$67,0,IF(O17&gt;1,P17,O17*P17))</f>
        <v>115.20000000000002</v>
      </c>
      <c r="R17">
        <f t="shared" si="9"/>
        <v>0</v>
      </c>
      <c r="S17" s="84">
        <f>(N17*'Dane dla CWU'!$AB$53+'Dane dla CWU'!$AD$53)/(N17*'Dane dla CO'!$P$35+'Dane dla CO'!$Q$35)</f>
        <v>1.0394375857338818</v>
      </c>
      <c r="T17" s="84">
        <f t="shared" si="10"/>
        <v>10.319026666666666</v>
      </c>
      <c r="U17" s="84">
        <f>IF(N17&lt;'Dane dla CWU'!$Z$67,0,IF(S17&gt;1,T17,S17*T17))</f>
        <v>0</v>
      </c>
      <c r="V17" s="84">
        <f t="shared" si="11"/>
        <v>10.319026666666666</v>
      </c>
      <c r="X17">
        <v>15</v>
      </c>
      <c r="Y17">
        <v>5</v>
      </c>
      <c r="Z17">
        <f>(Y17*'Dane dla CO'!$AB$53+'Dane dla CO'!$AD$53)/(Y17*'Dane dla CO'!$P$35+'Dane dla CO'!$Q$35)</f>
        <v>1.75</v>
      </c>
      <c r="AA17">
        <f>Y17*'Dane dla CO'!$N$96+'Dane dla CO'!$N$97</f>
        <v>79.200000000000017</v>
      </c>
      <c r="AB17">
        <f>IF(Y17&lt;'Dane dla CO'!$Z$67,0,IF(Z17&gt;1,AA17,Z17*AA17))</f>
        <v>79.200000000000017</v>
      </c>
      <c r="AC17">
        <f t="shared" si="12"/>
        <v>0</v>
      </c>
      <c r="AD17" s="84">
        <f>(Y17*'Dane dla CWU'!$AB$53+'Dane dla CWU'!$AD$53)/(Y17*'Dane dla CO'!$P$35+'Dane dla CO'!$Q$35)</f>
        <v>1.7932098765432098</v>
      </c>
      <c r="AE17" s="84">
        <f t="shared" si="13"/>
        <v>10.319026666666666</v>
      </c>
      <c r="AF17" s="84">
        <f>IF(Y17&lt;'Dane dla CWU'!$Z$67,0,IF(AD17&gt;1,AE17,AD17*AE17))</f>
        <v>0</v>
      </c>
      <c r="AG17" s="84">
        <f t="shared" si="14"/>
        <v>10.319026666666666</v>
      </c>
      <c r="AI17">
        <v>15</v>
      </c>
      <c r="AJ17">
        <v>10</v>
      </c>
      <c r="AK17">
        <f>(AJ17*'Dane dla CO'!$AB$53+'Dane dla CO'!$AD$53)/(AJ17*'Dane dla CO'!$P$35+'Dane dla CO'!$Q$35)</f>
        <v>3.6080246913580249</v>
      </c>
      <c r="AL17">
        <f>AJ17*'Dane dla CO'!$N$96+'Dane dla CO'!$N$97</f>
        <v>43.2</v>
      </c>
      <c r="AM17">
        <f>IF(AJ17&lt;'Dane dla CO'!$Z$67,0,IF(AK17&gt;1,AL17,AK17*AL17))</f>
        <v>43.2</v>
      </c>
      <c r="AN17">
        <f t="shared" si="15"/>
        <v>0</v>
      </c>
      <c r="AO17" s="84">
        <f>(AJ17*'Dane dla CWU'!$AB$53+'Dane dla CWU'!$AD$53)/(AJ17*'Dane dla CO'!$P$35+'Dane dla CO'!$Q$35)</f>
        <v>4.0545267489711936</v>
      </c>
      <c r="AP17" s="84">
        <f t="shared" si="16"/>
        <v>10.319026666666666</v>
      </c>
      <c r="AQ17" s="84">
        <f>IF(AJ17&lt;'Dane dla CWU'!$Z$67,0,IF(AO17&gt;1,AP17,AO17*AP17))</f>
        <v>10.319026666666666</v>
      </c>
      <c r="AR17" s="84">
        <f t="shared" si="17"/>
        <v>0</v>
      </c>
      <c r="AT17">
        <v>15</v>
      </c>
      <c r="AU17">
        <v>10</v>
      </c>
      <c r="BA17">
        <v>15</v>
      </c>
      <c r="BB17">
        <v>16</v>
      </c>
      <c r="BH17">
        <v>15</v>
      </c>
      <c r="BI17">
        <v>19</v>
      </c>
      <c r="BO17">
        <v>15</v>
      </c>
      <c r="BP17">
        <v>16</v>
      </c>
      <c r="BV17">
        <v>15</v>
      </c>
      <c r="BW17">
        <v>13</v>
      </c>
      <c r="BX17">
        <f>(BW17*'Dane dla CO'!$AB$53+'Dane dla CO'!$AD$53)/(BW17*'Dane dla CO'!$P$35+'Dane dla CO'!$Q$35)</f>
        <v>9.1820987654320927</v>
      </c>
      <c r="BY17">
        <f>BW17*'Dane dla CO'!$N$96+'Dane dla CO'!$N$97</f>
        <v>21.600000000000009</v>
      </c>
      <c r="BZ17">
        <f>IF(BW17&lt;'Dane dla CO'!$Z$67,0,IF(BX17&gt;1,BY17,BX17*BY17))</f>
        <v>21.600000000000009</v>
      </c>
      <c r="CA17">
        <f t="shared" si="37"/>
        <v>0</v>
      </c>
      <c r="CB17" s="84">
        <f>(BW17*'Dane dla CWU'!$AB$53+'Dane dla CWU'!$AD$53)/(BW17*'Dane dla CO'!$P$35+'Dane dla CO'!$Q$35)</f>
        <v>10.838477366255137</v>
      </c>
      <c r="CC17" s="84">
        <f t="shared" si="18"/>
        <v>10.319026666666666</v>
      </c>
      <c r="CD17" s="84">
        <f>IF(BW17&lt;'Dane dla CWU'!$Z$67,0,IF(CB17&gt;1,CC17,CB17*CC17))</f>
        <v>10.319026666666666</v>
      </c>
      <c r="CE17" s="84">
        <f t="shared" si="20"/>
        <v>0</v>
      </c>
      <c r="CG17">
        <v>15</v>
      </c>
      <c r="CH17">
        <v>11</v>
      </c>
      <c r="CI17">
        <f>(CH17*'Dane dla CO'!$AB$53+'Dane dla CO'!$AD$53)/(CH17*'Dane dla CO'!$P$35+'Dane dla CO'!$Q$35)</f>
        <v>4.5370370370370363</v>
      </c>
      <c r="CJ17">
        <f>CH17*'Dane dla CO'!$N$96+'Dane dla CO'!$N$97</f>
        <v>36</v>
      </c>
      <c r="CK17">
        <f>IF(CH17&lt;'Dane dla CO'!$Z$67,0,IF(CI17&gt;1,CJ17,CI17*CJ17))</f>
        <v>36</v>
      </c>
      <c r="CL17">
        <f t="shared" si="21"/>
        <v>0</v>
      </c>
      <c r="CM17" s="84">
        <f>(CH17*'Dane dla CWU'!$AB$53+'Dane dla CWU'!$AD$53)/(CH17*'Dane dla CO'!$P$35+'Dane dla CO'!$Q$35)</f>
        <v>5.1851851851851842</v>
      </c>
      <c r="CN17" s="84">
        <f t="shared" si="0"/>
        <v>10.319026666666666</v>
      </c>
      <c r="CO17" s="84">
        <f>IF(CH17&lt;'Dane dla CWU'!$Z$67,0,IF(CM17&gt;1,CN17,CM17*CN17))</f>
        <v>10.319026666666666</v>
      </c>
      <c r="CP17" s="84">
        <f t="shared" si="1"/>
        <v>0</v>
      </c>
      <c r="CR17">
        <v>15</v>
      </c>
      <c r="CS17">
        <v>-1</v>
      </c>
      <c r="CT17">
        <f>(CS17*'Dane dla CO'!$AB$53+'Dane dla CO'!$AD$53)/(CS17*'Dane dla CO'!$P$35+'Dane dla CO'!$Q$35)</f>
        <v>1.0532407407407407</v>
      </c>
      <c r="CU17">
        <f>CS17*'Dane dla CO'!$N$96+'Dane dla CO'!$N$97</f>
        <v>122.40000000000002</v>
      </c>
      <c r="CV17">
        <f>IF(CS17&lt;'Dane dla CO'!$Z$67,0,IF(CT17&gt;1,CU17,CT17*CU17))</f>
        <v>122.40000000000002</v>
      </c>
      <c r="CW17">
        <f t="shared" si="22"/>
        <v>0</v>
      </c>
      <c r="CX17" s="84">
        <f>(CS17*'Dane dla CWU'!$AB$53+'Dane dla CWU'!$AD$53)/(CS17*'Dane dla CO'!$P$35+'Dane dla CO'!$Q$35)</f>
        <v>0.94521604938271586</v>
      </c>
      <c r="CY17" s="84">
        <f t="shared" si="2"/>
        <v>10.319026666666666</v>
      </c>
      <c r="CZ17" s="84">
        <f>IF(CS17&lt;'Dane dla CWU'!$Z$67,0,IF(CX17&gt;1,CY17,CX17*CY17))</f>
        <v>0</v>
      </c>
      <c r="DA17" s="84">
        <f t="shared" si="3"/>
        <v>10.319026666666666</v>
      </c>
      <c r="DC17">
        <v>15</v>
      </c>
      <c r="DD17">
        <v>2</v>
      </c>
      <c r="DE17">
        <f>(DD17*'Dane dla CO'!$AB$53+'Dane dla CO'!$AD$53)/(DD17*'Dane dla CO'!$P$35+'Dane dla CO'!$Q$35)</f>
        <v>1.321225071225071</v>
      </c>
      <c r="DF17">
        <f>DD17*'Dane dla CO'!$N$96+'Dane dla CO'!$N$97</f>
        <v>100.80000000000001</v>
      </c>
      <c r="DG17">
        <f>IF(DD17&lt;'Dane dla CO'!$Z$67,0,IF(DE17&gt;1,DF17,DE17*DF17))</f>
        <v>100.80000000000001</v>
      </c>
      <c r="DH17">
        <f t="shared" si="23"/>
        <v>0</v>
      </c>
      <c r="DI17" s="84">
        <f>(DD17*'Dane dla CWU'!$AB$53+'Dane dla CWU'!$AD$53)/(DD17*'Dane dla CO'!$P$35+'Dane dla CO'!$Q$35)</f>
        <v>1.2713675213675213</v>
      </c>
      <c r="DJ17" s="84">
        <f t="shared" si="4"/>
        <v>10.319026666666666</v>
      </c>
      <c r="DK17" s="84">
        <f>IF(DD17&lt;'Dane dla CWU'!$Z$67,0,IF(DI17&gt;1,DJ17,DI17*DJ17))</f>
        <v>0</v>
      </c>
      <c r="DL17" s="84">
        <f t="shared" si="5"/>
        <v>10.319026666666666</v>
      </c>
      <c r="DM17" s="49">
        <v>-10</v>
      </c>
      <c r="DN17" s="94">
        <f>DO17*'Dane dla CO'!$N$80</f>
        <v>811.10204081632662</v>
      </c>
      <c r="DO17" s="94">
        <f>(15-DS17)/35*'Dane dla CO'!$N$75</f>
        <v>7.0971428571428579</v>
      </c>
      <c r="DP17" s="94">
        <f t="shared" si="24"/>
        <v>811.10204081632662</v>
      </c>
      <c r="DQ17" s="51">
        <v>-10</v>
      </c>
      <c r="DR17" s="127">
        <v>0</v>
      </c>
      <c r="DS17" s="127">
        <v>-8</v>
      </c>
      <c r="DT17" s="89">
        <f>Wykresy!Y15</f>
        <v>47.8</v>
      </c>
      <c r="DU17" s="90">
        <f>Wykresy!AE15</f>
        <v>30.6</v>
      </c>
      <c r="DV17" s="92">
        <f>(($DV$18-$DV$15)/3)*2+$DV$15</f>
        <v>4.7</v>
      </c>
      <c r="DW17" s="92">
        <v>2.4700000000000002</v>
      </c>
      <c r="DX17" s="92">
        <f t="shared" si="29"/>
        <v>1.902834008097166</v>
      </c>
      <c r="DY17" s="86">
        <f>(($DY$18-$DY$15)/3)*2+$DY$15</f>
        <v>6.2666666666666666</v>
      </c>
      <c r="DZ17" s="86">
        <v>2.5299999999999998</v>
      </c>
      <c r="EA17" s="96">
        <f t="shared" si="30"/>
        <v>2.476943346508564</v>
      </c>
      <c r="EB17" s="85">
        <f t="shared" si="32"/>
        <v>0</v>
      </c>
      <c r="EC17" s="85">
        <f t="shared" si="26"/>
        <v>0</v>
      </c>
      <c r="ED17" s="92">
        <f>'Energia 221.A26'!P14</f>
        <v>2.9465551897247746</v>
      </c>
      <c r="EE17" s="86">
        <f t="shared" si="33"/>
        <v>0</v>
      </c>
      <c r="EF17" s="86">
        <f t="shared" si="27"/>
        <v>0</v>
      </c>
      <c r="EG17" s="96">
        <f>'Energia 221.A26'!S14</f>
        <v>4.0389246480482734</v>
      </c>
      <c r="EI17" s="127">
        <v>0</v>
      </c>
      <c r="EJ17" s="127">
        <f t="shared" si="25"/>
        <v>19</v>
      </c>
      <c r="EK17" s="127">
        <v>-8</v>
      </c>
      <c r="EL17" s="89">
        <v>55</v>
      </c>
      <c r="EM17" s="92">
        <f t="shared" si="34"/>
        <v>3.6749999999999998</v>
      </c>
      <c r="EN17" s="92">
        <f t="shared" si="35"/>
        <v>2.4699999999999989</v>
      </c>
      <c r="EO17" s="92">
        <f t="shared" si="31"/>
        <v>1.4878542510121464</v>
      </c>
      <c r="EP17" s="85">
        <f t="shared" si="36"/>
        <v>0</v>
      </c>
      <c r="EQ17" s="85">
        <f t="shared" si="28"/>
        <v>0</v>
      </c>
      <c r="ER17" s="92">
        <f>'Energia 221.A26'!V14</f>
        <v>2.3676757837169307</v>
      </c>
      <c r="EZ17" t="s">
        <v>207</v>
      </c>
      <c r="FD17" s="103">
        <f>FF15</f>
        <v>113.96643946483982</v>
      </c>
      <c r="FE17" s="103"/>
    </row>
    <row r="18" spans="1:169">
      <c r="A18" s="162"/>
      <c r="B18">
        <v>16</v>
      </c>
      <c r="C18">
        <v>-1</v>
      </c>
      <c r="D18" s="84">
        <f>(C18*'Dane dla CO'!$AB$53+'Dane dla CO'!$AD$53)/(C18*'Dane dla CO'!$P$35+'Dane dla CO'!$Q$35)</f>
        <v>1.0532407407407407</v>
      </c>
      <c r="E18" s="84">
        <f>C18*'Dane dla CO'!$N$96+'Dane dla CO'!$N$97</f>
        <v>122.40000000000002</v>
      </c>
      <c r="F18" s="84">
        <f>IF(C18&lt;'Dane dla CO'!$Z$67,0,IF(D18&gt;1,E18,D18*E18))</f>
        <v>122.40000000000002</v>
      </c>
      <c r="G18" s="84">
        <f t="shared" si="6"/>
        <v>0</v>
      </c>
      <c r="H18" s="84">
        <f>(C18*'Dane dla CWU'!$AB$53+'Dane dla CWU'!$AD$53)/(C18*'Dane dla CO'!$P$35+'Dane dla CO'!$Q$35)</f>
        <v>0.94521604938271586</v>
      </c>
      <c r="I18" s="84">
        <f t="shared" si="7"/>
        <v>10.319026666666666</v>
      </c>
      <c r="J18" s="84">
        <f>IF(C18&lt;'Dane dla CWU'!$Z$67,0,IF(H18&gt;1,I18,H18*I18))</f>
        <v>0</v>
      </c>
      <c r="K18" s="84">
        <f t="shared" si="8"/>
        <v>10.319026666666666</v>
      </c>
      <c r="M18">
        <v>16</v>
      </c>
      <c r="N18">
        <v>-1</v>
      </c>
      <c r="O18">
        <f>(N18*'Dane dla CO'!$AB$53+'Dane dla CO'!$AD$53)/(N18*'Dane dla CO'!$P$35+'Dane dla CO'!$Q$35)</f>
        <v>1.0532407407407407</v>
      </c>
      <c r="P18">
        <f>N18*'Dane dla CO'!$N$96+'Dane dla CO'!$N$97</f>
        <v>122.40000000000002</v>
      </c>
      <c r="Q18">
        <f>IF(N18&lt;'Dane dla CO'!$Z$67,0,IF(O18&gt;1,P18,O18*P18))</f>
        <v>122.40000000000002</v>
      </c>
      <c r="R18">
        <f t="shared" si="9"/>
        <v>0</v>
      </c>
      <c r="S18" s="84">
        <f>(N18*'Dane dla CWU'!$AB$53+'Dane dla CWU'!$AD$53)/(N18*'Dane dla CO'!$P$35+'Dane dla CO'!$Q$35)</f>
        <v>0.94521604938271586</v>
      </c>
      <c r="T18" s="84">
        <f t="shared" si="10"/>
        <v>10.319026666666666</v>
      </c>
      <c r="U18" s="84">
        <f>IF(N18&lt;'Dane dla CWU'!$Z$67,0,IF(S18&gt;1,T18,S18*T18))</f>
        <v>0</v>
      </c>
      <c r="V18" s="84">
        <f t="shared" si="11"/>
        <v>10.319026666666666</v>
      </c>
      <c r="X18">
        <v>16</v>
      </c>
      <c r="Y18">
        <v>6</v>
      </c>
      <c r="Z18">
        <f>(Y18*'Dane dla CO'!$AB$53+'Dane dla CO'!$AD$53)/(Y18*'Dane dla CO'!$P$35+'Dane dla CO'!$Q$35)</f>
        <v>1.9564471879286691</v>
      </c>
      <c r="AA18">
        <f>Y18*'Dane dla CO'!$N$96+'Dane dla CO'!$N$97</f>
        <v>72.000000000000014</v>
      </c>
      <c r="AB18">
        <f>IF(Y18&lt;'Dane dla CO'!$Z$67,0,IF(Z18&gt;1,AA18,Z18*AA18))</f>
        <v>72.000000000000014</v>
      </c>
      <c r="AC18">
        <f t="shared" si="12"/>
        <v>0</v>
      </c>
      <c r="AD18" s="84">
        <f>(Y18*'Dane dla CWU'!$AB$53+'Dane dla CWU'!$AD$53)/(Y18*'Dane dla CO'!$P$35+'Dane dla CO'!$Q$35)</f>
        <v>2.0444673068129853</v>
      </c>
      <c r="AE18" s="84">
        <f t="shared" si="13"/>
        <v>10.319026666666666</v>
      </c>
      <c r="AF18" s="84">
        <f>IF(Y18&lt;'Dane dla CWU'!$Z$67,0,IF(AD18&gt;1,AE18,AD18*AE18))</f>
        <v>0</v>
      </c>
      <c r="AG18" s="84">
        <f t="shared" si="14"/>
        <v>10.319026666666666</v>
      </c>
      <c r="AI18">
        <v>16</v>
      </c>
      <c r="AJ18">
        <v>9</v>
      </c>
      <c r="AK18">
        <f>(AJ18*'Dane dla CO'!$AB$53+'Dane dla CO'!$AD$53)/(AJ18*'Dane dla CO'!$P$35+'Dane dla CO'!$Q$35)</f>
        <v>2.9886831275720165</v>
      </c>
      <c r="AL18">
        <f>AJ18*'Dane dla CO'!$N$96+'Dane dla CO'!$N$97</f>
        <v>50.400000000000006</v>
      </c>
      <c r="AM18">
        <f>IF(AJ18&lt;'Dane dla CO'!$Z$67,0,IF(AK18&gt;1,AL18,AK18*AL18))</f>
        <v>50.400000000000006</v>
      </c>
      <c r="AN18">
        <f t="shared" si="15"/>
        <v>0</v>
      </c>
      <c r="AO18" s="84">
        <f>(AJ18*'Dane dla CWU'!$AB$53+'Dane dla CWU'!$AD$53)/(AJ18*'Dane dla CO'!$P$35+'Dane dla CO'!$Q$35)</f>
        <v>3.3007544581618653</v>
      </c>
      <c r="AP18" s="84">
        <f t="shared" si="16"/>
        <v>10.319026666666666</v>
      </c>
      <c r="AQ18" s="84">
        <f>IF(AJ18&lt;'Dane dla CWU'!$Z$67,0,IF(AO18&gt;1,AP18,AO18*AP18))</f>
        <v>10.319026666666666</v>
      </c>
      <c r="AR18" s="84">
        <f t="shared" si="17"/>
        <v>0</v>
      </c>
      <c r="AT18">
        <v>16</v>
      </c>
      <c r="AU18">
        <v>12</v>
      </c>
      <c r="BA18">
        <v>16</v>
      </c>
      <c r="BB18">
        <v>21</v>
      </c>
      <c r="BH18">
        <v>16</v>
      </c>
      <c r="BI18">
        <v>15</v>
      </c>
      <c r="BO18">
        <v>16</v>
      </c>
      <c r="BP18">
        <v>19</v>
      </c>
      <c r="BV18">
        <v>16</v>
      </c>
      <c r="CB18" s="84">
        <f>(BW18*'Dane dla CWU'!$AB$53+'Dane dla CWU'!$AD$53)/(BW18*'Dane dla CO'!$P$35+'Dane dla CO'!$Q$35)</f>
        <v>1.0394375857338818</v>
      </c>
      <c r="CC18" s="84">
        <f t="shared" si="18"/>
        <v>10.319026666666666</v>
      </c>
      <c r="CD18" s="84">
        <f>IF(BW18&lt;'Dane dla CWU'!$Z$67,0,IF(CB18&gt;1,CC18,CB18*CC18))</f>
        <v>0</v>
      </c>
      <c r="CE18" s="84">
        <f t="shared" si="20"/>
        <v>10.319026666666666</v>
      </c>
      <c r="CG18">
        <v>16</v>
      </c>
      <c r="CH18">
        <v>11</v>
      </c>
      <c r="CI18">
        <f>(CH18*'Dane dla CO'!$AB$53+'Dane dla CO'!$AD$53)/(CH18*'Dane dla CO'!$P$35+'Dane dla CO'!$Q$35)</f>
        <v>4.5370370370370363</v>
      </c>
      <c r="CJ18">
        <f>CH18*'Dane dla CO'!$N$96+'Dane dla CO'!$N$97</f>
        <v>36</v>
      </c>
      <c r="CK18">
        <f>IF(CH18&lt;'Dane dla CO'!$Z$67,0,IF(CI18&gt;1,CJ18,CI18*CJ18))</f>
        <v>36</v>
      </c>
      <c r="CL18">
        <f t="shared" si="21"/>
        <v>0</v>
      </c>
      <c r="CM18" s="84">
        <f>(CH18*'Dane dla CWU'!$AB$53+'Dane dla CWU'!$AD$53)/(CH18*'Dane dla CO'!$P$35+'Dane dla CO'!$Q$35)</f>
        <v>5.1851851851851842</v>
      </c>
      <c r="CN18" s="84">
        <f t="shared" si="0"/>
        <v>10.319026666666666</v>
      </c>
      <c r="CO18" s="84">
        <f>IF(CH18&lt;'Dane dla CWU'!$Z$67,0,IF(CM18&gt;1,CN18,CM18*CN18))</f>
        <v>10.319026666666666</v>
      </c>
      <c r="CP18" s="84">
        <f t="shared" si="1"/>
        <v>0</v>
      </c>
      <c r="CR18">
        <v>16</v>
      </c>
      <c r="CS18">
        <v>-1</v>
      </c>
      <c r="CT18">
        <f>(CS18*'Dane dla CO'!$AB$53+'Dane dla CO'!$AD$53)/(CS18*'Dane dla CO'!$P$35+'Dane dla CO'!$Q$35)</f>
        <v>1.0532407407407407</v>
      </c>
      <c r="CU18">
        <f>CS18*'Dane dla CO'!$N$96+'Dane dla CO'!$N$97</f>
        <v>122.40000000000002</v>
      </c>
      <c r="CV18">
        <f>IF(CS18&lt;'Dane dla CO'!$Z$67,0,IF(CT18&gt;1,CU18,CT18*CU18))</f>
        <v>122.40000000000002</v>
      </c>
      <c r="CW18">
        <f t="shared" si="22"/>
        <v>0</v>
      </c>
      <c r="CX18" s="84">
        <f>(CS18*'Dane dla CWU'!$AB$53+'Dane dla CWU'!$AD$53)/(CS18*'Dane dla CO'!$P$35+'Dane dla CO'!$Q$35)</f>
        <v>0.94521604938271586</v>
      </c>
      <c r="CY18" s="84">
        <f t="shared" si="2"/>
        <v>10.319026666666666</v>
      </c>
      <c r="CZ18" s="84">
        <f>IF(CS18&lt;'Dane dla CWU'!$Z$67,0,IF(CX18&gt;1,CY18,CX18*CY18))</f>
        <v>0</v>
      </c>
      <c r="DA18" s="84">
        <f t="shared" si="3"/>
        <v>10.319026666666666</v>
      </c>
      <c r="DC18">
        <v>16</v>
      </c>
      <c r="DD18">
        <v>3</v>
      </c>
      <c r="DE18">
        <f>(DD18*'Dane dla CO'!$AB$53+'Dane dla CO'!$AD$53)/(DD18*'Dane dla CO'!$P$35+'Dane dla CO'!$Q$35)</f>
        <v>1.4403292181069955</v>
      </c>
      <c r="DF18">
        <f>DD18*'Dane dla CO'!$N$96+'Dane dla CO'!$N$97</f>
        <v>93.600000000000023</v>
      </c>
      <c r="DG18">
        <f>IF(DD18&lt;'Dane dla CO'!$Z$67,0,IF(DE18&gt;1,DF18,DE18*DF18))</f>
        <v>93.600000000000023</v>
      </c>
      <c r="DH18">
        <f t="shared" si="23"/>
        <v>0</v>
      </c>
      <c r="DI18" s="84">
        <f>(DD18*'Dane dla CWU'!$AB$53+'Dane dla CWU'!$AD$53)/(DD18*'Dane dla CO'!$P$35+'Dane dla CO'!$Q$35)</f>
        <v>1.4163237311385457</v>
      </c>
      <c r="DJ18" s="84">
        <f t="shared" si="4"/>
        <v>10.319026666666666</v>
      </c>
      <c r="DK18" s="84">
        <f>IF(DD18&lt;'Dane dla CWU'!$Z$67,0,IF(DI18&gt;1,DJ18,DI18*DJ18))</f>
        <v>0</v>
      </c>
      <c r="DL18" s="84">
        <f t="shared" si="5"/>
        <v>10.319026666666666</v>
      </c>
      <c r="DM18" s="49">
        <v>-10</v>
      </c>
      <c r="DN18" s="94">
        <f>DO18*'Dane dla CO'!$N$80</f>
        <v>775.8367346938777</v>
      </c>
      <c r="DO18" s="94">
        <f>(15-DS18)/35*'Dane dla CO'!$N$75</f>
        <v>6.7885714285714291</v>
      </c>
      <c r="DP18" s="94">
        <f t="shared" si="24"/>
        <v>775.8367346938777</v>
      </c>
      <c r="DQ18" s="51">
        <v>-10</v>
      </c>
      <c r="DR18" s="127">
        <v>1</v>
      </c>
      <c r="DS18" s="127">
        <v>-7</v>
      </c>
      <c r="DT18" s="89">
        <f>Wykresy!Y16</f>
        <v>47.2</v>
      </c>
      <c r="DU18" s="90">
        <f>Wykresy!AE16</f>
        <v>30.233333333333334</v>
      </c>
      <c r="DV18" s="92">
        <v>5</v>
      </c>
      <c r="DW18" s="92">
        <v>2.48</v>
      </c>
      <c r="DX18" s="92">
        <f t="shared" si="29"/>
        <v>2.0161290322580645</v>
      </c>
      <c r="DY18" s="86">
        <v>6.4</v>
      </c>
      <c r="DZ18" s="86">
        <v>2.5299999999999998</v>
      </c>
      <c r="EA18" s="96">
        <f t="shared" si="30"/>
        <v>2.5296442687747041</v>
      </c>
      <c r="EB18" s="85">
        <f t="shared" si="32"/>
        <v>1</v>
      </c>
      <c r="EC18" s="85">
        <f t="shared" si="26"/>
        <v>8.9605734767025085E-3</v>
      </c>
      <c r="ED18" s="92">
        <f>'Energia 221.A26'!P15</f>
        <v>2.9465551897247746</v>
      </c>
      <c r="EE18" s="86">
        <f t="shared" si="33"/>
        <v>1</v>
      </c>
      <c r="EF18" s="86">
        <f t="shared" si="27"/>
        <v>1.1242863416776463E-2</v>
      </c>
      <c r="EG18" s="96">
        <f>'Energia 221.A26'!S15</f>
        <v>4.0389246480482734</v>
      </c>
      <c r="EI18" s="127">
        <v>1</v>
      </c>
      <c r="EJ18" s="127">
        <f t="shared" si="25"/>
        <v>20</v>
      </c>
      <c r="EK18" s="127">
        <v>-7</v>
      </c>
      <c r="EL18" s="89">
        <v>55</v>
      </c>
      <c r="EM18" s="92">
        <v>3.8</v>
      </c>
      <c r="EN18" s="92">
        <v>2.48</v>
      </c>
      <c r="EO18" s="92">
        <f t="shared" si="31"/>
        <v>1.532258064516129</v>
      </c>
      <c r="EP18" s="85">
        <f t="shared" si="36"/>
        <v>1</v>
      </c>
      <c r="EQ18" s="85">
        <f t="shared" si="28"/>
        <v>6.8100358422939064E-3</v>
      </c>
      <c r="ER18" s="92">
        <f>'Energia 221.A26'!V15</f>
        <v>2.3676757837169307</v>
      </c>
      <c r="ES18" s="84">
        <f>(EM27-EM18)/9</f>
        <v>0.14444444444444443</v>
      </c>
      <c r="ET18" s="84">
        <f>(EN27-EN18)/9</f>
        <v>1.7777777777777795E-2</v>
      </c>
      <c r="FL18" s="84"/>
      <c r="FM18" s="84"/>
    </row>
    <row r="19" spans="1:169">
      <c r="A19" s="162"/>
      <c r="B19">
        <v>17</v>
      </c>
      <c r="C19">
        <v>0</v>
      </c>
      <c r="D19" s="84">
        <f>(C19*'Dane dla CO'!$AB$53+'Dane dla CO'!$AD$53)/(C19*'Dane dla CO'!$P$35+'Dane dla CO'!$Q$35)</f>
        <v>1.1306584362139918</v>
      </c>
      <c r="E19" s="84">
        <f>C19*'Dane dla CO'!$N$96+'Dane dla CO'!$N$97</f>
        <v>115.20000000000002</v>
      </c>
      <c r="F19" s="84">
        <f>IF(C19&lt;'Dane dla CO'!$Z$67,0,IF(D19&gt;1,E19,D19*E19))</f>
        <v>115.20000000000002</v>
      </c>
      <c r="G19" s="84">
        <f t="shared" si="6"/>
        <v>0</v>
      </c>
      <c r="H19" s="84">
        <f>(C19*'Dane dla CWU'!$AB$53+'Dane dla CWU'!$AD$53)/(C19*'Dane dla CO'!$P$35+'Dane dla CO'!$Q$35)</f>
        <v>1.0394375857338818</v>
      </c>
      <c r="I19" s="84">
        <f t="shared" si="7"/>
        <v>10.319026666666666</v>
      </c>
      <c r="J19" s="84">
        <f>IF(C19&lt;'Dane dla CWU'!$Z$67,0,IF(H19&gt;1,I19,H19*I19))</f>
        <v>0</v>
      </c>
      <c r="K19" s="84">
        <f t="shared" si="8"/>
        <v>10.319026666666666</v>
      </c>
      <c r="M19">
        <v>17</v>
      </c>
      <c r="N19">
        <v>2</v>
      </c>
      <c r="O19">
        <f>(N19*'Dane dla CO'!$AB$53+'Dane dla CO'!$AD$53)/(N19*'Dane dla CO'!$P$35+'Dane dla CO'!$Q$35)</f>
        <v>1.321225071225071</v>
      </c>
      <c r="P19">
        <f>N19*'Dane dla CO'!$N$96+'Dane dla CO'!$N$97</f>
        <v>100.80000000000001</v>
      </c>
      <c r="Q19">
        <f>IF(N19&lt;'Dane dla CO'!$Z$67,0,IF(O19&gt;1,P19,O19*P19))</f>
        <v>100.80000000000001</v>
      </c>
      <c r="R19">
        <f t="shared" si="9"/>
        <v>0</v>
      </c>
      <c r="S19" s="84">
        <f>(N19*'Dane dla CWU'!$AB$53+'Dane dla CWU'!$AD$53)/(N19*'Dane dla CO'!$P$35+'Dane dla CO'!$Q$35)</f>
        <v>1.2713675213675213</v>
      </c>
      <c r="T19" s="84">
        <f t="shared" si="10"/>
        <v>10.319026666666666</v>
      </c>
      <c r="U19" s="84">
        <f>IF(N19&lt;'Dane dla CWU'!$Z$67,0,IF(S19&gt;1,T19,S19*T19))</f>
        <v>0</v>
      </c>
      <c r="V19" s="84">
        <f t="shared" si="11"/>
        <v>10.319026666666666</v>
      </c>
      <c r="X19">
        <v>17</v>
      </c>
      <c r="Y19">
        <v>11</v>
      </c>
      <c r="Z19">
        <f>(Y19*'Dane dla CO'!$AB$53+'Dane dla CO'!$AD$53)/(Y19*'Dane dla CO'!$P$35+'Dane dla CO'!$Q$35)</f>
        <v>4.5370370370370363</v>
      </c>
      <c r="AA19">
        <f>Y19*'Dane dla CO'!$N$96+'Dane dla CO'!$N$97</f>
        <v>36</v>
      </c>
      <c r="AB19">
        <f>IF(Y19&lt;'Dane dla CO'!$Z$67,0,IF(Z19&gt;1,AA19,Z19*AA19))</f>
        <v>36</v>
      </c>
      <c r="AC19">
        <f t="shared" si="12"/>
        <v>0</v>
      </c>
      <c r="AD19" s="84">
        <f>(Y19*'Dane dla CWU'!$AB$53+'Dane dla CWU'!$AD$53)/(Y19*'Dane dla CO'!$P$35+'Dane dla CO'!$Q$35)</f>
        <v>5.1851851851851842</v>
      </c>
      <c r="AE19" s="84">
        <f t="shared" si="13"/>
        <v>10.319026666666666</v>
      </c>
      <c r="AF19" s="84">
        <f>IF(Y19&lt;'Dane dla CWU'!$Z$67,0,IF(AD19&gt;1,AE19,AD19*AE19))</f>
        <v>10.319026666666666</v>
      </c>
      <c r="AG19" s="84">
        <f t="shared" si="14"/>
        <v>0</v>
      </c>
      <c r="AI19">
        <v>17</v>
      </c>
      <c r="AJ19">
        <v>7</v>
      </c>
      <c r="AK19">
        <f>(AJ19*'Dane dla CO'!$AB$53+'Dane dla CO'!$AD$53)/(AJ19*'Dane dla CO'!$P$35+'Dane dla CO'!$Q$35)</f>
        <v>2.2145061728395059</v>
      </c>
      <c r="AL19">
        <f>AJ19*'Dane dla CO'!$N$96+'Dane dla CO'!$N$97</f>
        <v>64.800000000000011</v>
      </c>
      <c r="AM19">
        <f>IF(AJ19&lt;'Dane dla CO'!$Z$67,0,IF(AK19&gt;1,AL19,AK19*AL19))</f>
        <v>64.800000000000011</v>
      </c>
      <c r="AN19">
        <f t="shared" si="15"/>
        <v>0</v>
      </c>
      <c r="AO19" s="84">
        <f>(AJ19*'Dane dla CWU'!$AB$53+'Dane dla CWU'!$AD$53)/(AJ19*'Dane dla CO'!$P$35+'Dane dla CO'!$Q$35)</f>
        <v>2.3585390946502054</v>
      </c>
      <c r="AP19" s="84">
        <f t="shared" si="16"/>
        <v>10.319026666666666</v>
      </c>
      <c r="AQ19" s="84">
        <f>IF(AJ19&lt;'Dane dla CWU'!$Z$67,0,IF(AO19&gt;1,AP19,AO19*AP19))</f>
        <v>0</v>
      </c>
      <c r="AR19" s="84">
        <f t="shared" si="17"/>
        <v>10.319026666666666</v>
      </c>
      <c r="AT19">
        <v>17</v>
      </c>
      <c r="AU19">
        <v>10</v>
      </c>
      <c r="BA19">
        <v>17</v>
      </c>
      <c r="BB19">
        <v>25</v>
      </c>
      <c r="BH19">
        <v>17</v>
      </c>
      <c r="BI19">
        <v>15</v>
      </c>
      <c r="BO19">
        <v>17</v>
      </c>
      <c r="BP19">
        <v>17</v>
      </c>
      <c r="BV19">
        <v>17</v>
      </c>
      <c r="BW19">
        <v>14</v>
      </c>
      <c r="BX19">
        <f>(BW19*'Dane dla CO'!$AB$53+'Dane dla CO'!$AD$53)/(BW19*'Dane dla CO'!$P$35+'Dane dla CO'!$Q$35)</f>
        <v>18.472222222222211</v>
      </c>
      <c r="BY19">
        <f>BW19*'Dane dla CO'!$N$96+'Dane dla CO'!$N$97</f>
        <v>14.400000000000006</v>
      </c>
      <c r="BZ19">
        <f>IF(BW19&lt;'Dane dla CO'!$Z$67,0,IF(BX19&gt;1,BY19,BX19*BY19))</f>
        <v>14.400000000000006</v>
      </c>
      <c r="CA19">
        <f t="shared" si="37"/>
        <v>0</v>
      </c>
      <c r="CB19" s="84">
        <f>(BW19*'Dane dla CWU'!$AB$53+'Dane dla CWU'!$AD$53)/(BW19*'Dane dla CO'!$P$35+'Dane dla CO'!$Q$35)</f>
        <v>22.145061728395049</v>
      </c>
      <c r="CC19" s="84">
        <f t="shared" si="18"/>
        <v>10.319026666666666</v>
      </c>
      <c r="CD19" s="84">
        <f>IF(BW19&lt;'Dane dla CWU'!$Z$67,0,IF(CB19&gt;1,CC19,CB19*CC19))</f>
        <v>10.319026666666666</v>
      </c>
      <c r="CE19" s="84">
        <f t="shared" si="20"/>
        <v>0</v>
      </c>
      <c r="CG19">
        <v>17</v>
      </c>
      <c r="CH19">
        <v>9</v>
      </c>
      <c r="CI19">
        <f>(CH19*'Dane dla CO'!$AB$53+'Dane dla CO'!$AD$53)/(CH19*'Dane dla CO'!$P$35+'Dane dla CO'!$Q$35)</f>
        <v>2.9886831275720165</v>
      </c>
      <c r="CJ19">
        <f>CH19*'Dane dla CO'!$N$96+'Dane dla CO'!$N$97</f>
        <v>50.400000000000006</v>
      </c>
      <c r="CK19">
        <f>IF(CH19&lt;'Dane dla CO'!$Z$67,0,IF(CI19&gt;1,CJ19,CI19*CJ19))</f>
        <v>50.400000000000006</v>
      </c>
      <c r="CL19">
        <f t="shared" si="21"/>
        <v>0</v>
      </c>
      <c r="CM19" s="84">
        <f>(CH19*'Dane dla CWU'!$AB$53+'Dane dla CWU'!$AD$53)/(CH19*'Dane dla CO'!$P$35+'Dane dla CO'!$Q$35)</f>
        <v>3.3007544581618653</v>
      </c>
      <c r="CN19" s="84">
        <f t="shared" si="0"/>
        <v>10.319026666666666</v>
      </c>
      <c r="CO19" s="84">
        <f>IF(CH19&lt;'Dane dla CWU'!$Z$67,0,IF(CM19&gt;1,CN19,CM19*CN19))</f>
        <v>10.319026666666666</v>
      </c>
      <c r="CP19" s="84">
        <f t="shared" si="1"/>
        <v>0</v>
      </c>
      <c r="CR19">
        <v>17</v>
      </c>
      <c r="CS19">
        <v>0</v>
      </c>
      <c r="CT19">
        <f>(CS19*'Dane dla CO'!$AB$53+'Dane dla CO'!$AD$53)/(CS19*'Dane dla CO'!$P$35+'Dane dla CO'!$Q$35)</f>
        <v>1.1306584362139918</v>
      </c>
      <c r="CU19">
        <f>CS19*'Dane dla CO'!$N$96+'Dane dla CO'!$N$97</f>
        <v>115.20000000000002</v>
      </c>
      <c r="CV19">
        <f>IF(CS19&lt;'Dane dla CO'!$Z$67,0,IF(CT19&gt;1,CU19,CT19*CU19))</f>
        <v>115.20000000000002</v>
      </c>
      <c r="CW19">
        <f t="shared" si="22"/>
        <v>0</v>
      </c>
      <c r="CX19" s="84">
        <f>(CS19*'Dane dla CWU'!$AB$53+'Dane dla CWU'!$AD$53)/(CS19*'Dane dla CO'!$P$35+'Dane dla CO'!$Q$35)</f>
        <v>1.0394375857338818</v>
      </c>
      <c r="CY19" s="84">
        <f t="shared" si="2"/>
        <v>10.319026666666666</v>
      </c>
      <c r="CZ19" s="84">
        <f>IF(CS19&lt;'Dane dla CWU'!$Z$67,0,IF(CX19&gt;1,CY19,CX19*CY19))</f>
        <v>0</v>
      </c>
      <c r="DA19" s="84">
        <f t="shared" si="3"/>
        <v>10.319026666666666</v>
      </c>
      <c r="DC19">
        <v>17</v>
      </c>
      <c r="DD19">
        <v>2</v>
      </c>
      <c r="DE19">
        <f>(DD19*'Dane dla CO'!$AB$53+'Dane dla CO'!$AD$53)/(DD19*'Dane dla CO'!$P$35+'Dane dla CO'!$Q$35)</f>
        <v>1.321225071225071</v>
      </c>
      <c r="DF19">
        <f>DD19*'Dane dla CO'!$N$96+'Dane dla CO'!$N$97</f>
        <v>100.80000000000001</v>
      </c>
      <c r="DG19">
        <f>IF(DD19&lt;'Dane dla CO'!$Z$67,0,IF(DE19&gt;1,DF19,DE19*DF19))</f>
        <v>100.80000000000001</v>
      </c>
      <c r="DH19">
        <f t="shared" si="23"/>
        <v>0</v>
      </c>
      <c r="DI19" s="84">
        <f>(DD19*'Dane dla CWU'!$AB$53+'Dane dla CWU'!$AD$53)/(DD19*'Dane dla CO'!$P$35+'Dane dla CO'!$Q$35)</f>
        <v>1.2713675213675213</v>
      </c>
      <c r="DJ19" s="84">
        <f t="shared" si="4"/>
        <v>10.319026666666666</v>
      </c>
      <c r="DK19" s="84">
        <f>IF(DD19&lt;'Dane dla CWU'!$Z$67,0,IF(DI19&gt;1,DJ19,DI19*DJ19))</f>
        <v>0</v>
      </c>
      <c r="DL19" s="84">
        <f t="shared" si="5"/>
        <v>10.319026666666666</v>
      </c>
      <c r="DM19" s="49">
        <v>-10</v>
      </c>
      <c r="DN19" s="94">
        <f>DO19*'Dane dla CO'!$N$80</f>
        <v>740.57142857142867</v>
      </c>
      <c r="DO19" s="94">
        <f>(15-DS19)/35*'Dane dla CO'!$N$75</f>
        <v>6.48</v>
      </c>
      <c r="DP19" s="94">
        <f t="shared" si="24"/>
        <v>370.28571428571433</v>
      </c>
      <c r="DQ19" s="51">
        <v>-10</v>
      </c>
      <c r="DR19" s="127">
        <v>2</v>
      </c>
      <c r="DS19" s="127">
        <v>-6</v>
      </c>
      <c r="DT19" s="89">
        <f>Wykresy!Y17</f>
        <v>46.6</v>
      </c>
      <c r="DU19" s="90">
        <f>Wykresy!AE17</f>
        <v>29.866666666666667</v>
      </c>
      <c r="DV19" s="92">
        <f>(($DV$27-$DV$18)/9)*1+$DV$18</f>
        <v>5.0333333333333332</v>
      </c>
      <c r="DW19" s="92">
        <f>(($DW$27-$DW$18)/9)*1+$DW$18</f>
        <v>2.4477777777777776</v>
      </c>
      <c r="DX19" s="92">
        <f t="shared" si="29"/>
        <v>2.0562868815251929</v>
      </c>
      <c r="DY19" s="86">
        <f>(($DY$27-$DY$18)/9)*1+$DY$18</f>
        <v>6.3888888888888893</v>
      </c>
      <c r="DZ19" s="86">
        <f>(($DZ$27-$DZ$18)/9)*1+$DZ$18</f>
        <v>2.4377777777777778</v>
      </c>
      <c r="EA19" s="96">
        <f t="shared" si="30"/>
        <v>2.6207839562443027</v>
      </c>
      <c r="EB19" s="85">
        <f t="shared" si="32"/>
        <v>2</v>
      </c>
      <c r="EC19" s="85">
        <f t="shared" si="26"/>
        <v>1.827810561355727E-2</v>
      </c>
      <c r="ED19" s="92">
        <f>'Energia 221.A26'!P16</f>
        <v>2.9560746744319522</v>
      </c>
      <c r="EE19" s="86">
        <f t="shared" si="33"/>
        <v>2</v>
      </c>
      <c r="EF19" s="86">
        <f t="shared" si="27"/>
        <v>2.3295857388838246E-2</v>
      </c>
      <c r="EG19" s="96">
        <f>'Energia 221.A26'!S16</f>
        <v>4.0543665736369263</v>
      </c>
      <c r="EI19" s="127">
        <v>2</v>
      </c>
      <c r="EJ19" s="127">
        <f t="shared" si="25"/>
        <v>22</v>
      </c>
      <c r="EK19" s="127">
        <v>-6</v>
      </c>
      <c r="EL19" s="89">
        <v>55</v>
      </c>
      <c r="EM19" s="92">
        <f>EM18+$ES$18</f>
        <v>3.9444444444444442</v>
      </c>
      <c r="EN19" s="92">
        <f>EN18+$ET$18</f>
        <v>2.4977777777777779</v>
      </c>
      <c r="EO19" s="92">
        <f t="shared" si="31"/>
        <v>1.5791814946619216</v>
      </c>
      <c r="EP19" s="85">
        <f t="shared" si="36"/>
        <v>2</v>
      </c>
      <c r="EQ19" s="85">
        <f t="shared" si="28"/>
        <v>1.4037168841439303E-2</v>
      </c>
      <c r="ER19" s="92">
        <f>'Energia 221.A26'!V16</f>
        <v>2.3700902857955457</v>
      </c>
    </row>
    <row r="20" spans="1:169">
      <c r="A20" s="162"/>
      <c r="B20">
        <v>18</v>
      </c>
      <c r="C20">
        <v>-1</v>
      </c>
      <c r="D20" s="84">
        <f>(C20*'Dane dla CO'!$AB$53+'Dane dla CO'!$AD$53)/(C20*'Dane dla CO'!$P$35+'Dane dla CO'!$Q$35)</f>
        <v>1.0532407407407407</v>
      </c>
      <c r="E20" s="84">
        <f>C20*'Dane dla CO'!$N$96+'Dane dla CO'!$N$97</f>
        <v>122.40000000000002</v>
      </c>
      <c r="F20" s="84">
        <f>IF(C20&lt;'Dane dla CO'!$Z$67,0,IF(D20&gt;1,E20,D20*E20))</f>
        <v>122.40000000000002</v>
      </c>
      <c r="G20" s="84">
        <f t="shared" si="6"/>
        <v>0</v>
      </c>
      <c r="H20" s="84">
        <f>(C20*'Dane dla CWU'!$AB$53+'Dane dla CWU'!$AD$53)/(C20*'Dane dla CO'!$P$35+'Dane dla CO'!$Q$35)</f>
        <v>0.94521604938271586</v>
      </c>
      <c r="I20" s="84">
        <f t="shared" si="7"/>
        <v>10.319026666666666</v>
      </c>
      <c r="J20" s="84">
        <f>IF(C20&lt;'Dane dla CWU'!$Z$67,0,IF(H20&gt;1,I20,H20*I20))</f>
        <v>0</v>
      </c>
      <c r="K20" s="84">
        <f t="shared" si="8"/>
        <v>10.319026666666666</v>
      </c>
      <c r="M20">
        <v>18</v>
      </c>
      <c r="N20">
        <v>4</v>
      </c>
      <c r="O20">
        <f>(N20*'Dane dla CO'!$AB$53+'Dane dla CO'!$AD$53)/(N20*'Dane dla CO'!$P$35+'Dane dla CO'!$Q$35)</f>
        <v>1.5810886644219975</v>
      </c>
      <c r="P20">
        <f>N20*'Dane dla CO'!$N$96+'Dane dla CO'!$N$97</f>
        <v>86.4</v>
      </c>
      <c r="Q20">
        <f>IF(N20&lt;'Dane dla CO'!$Z$67,0,IF(O20&gt;1,P20,O20*P20))</f>
        <v>86.4</v>
      </c>
      <c r="R20">
        <f t="shared" si="9"/>
        <v>0</v>
      </c>
      <c r="S20" s="84">
        <f>(N20*'Dane dla CWU'!$AB$53+'Dane dla CWU'!$AD$53)/(N20*'Dane dla CO'!$P$35+'Dane dla CO'!$Q$35)</f>
        <v>1.5876356154133928</v>
      </c>
      <c r="T20" s="84">
        <f t="shared" si="10"/>
        <v>10.319026666666666</v>
      </c>
      <c r="U20" s="84">
        <f>IF(N20&lt;'Dane dla CWU'!$Z$67,0,IF(S20&gt;1,T20,S20*T20))</f>
        <v>0</v>
      </c>
      <c r="V20" s="84">
        <f t="shared" si="11"/>
        <v>10.319026666666666</v>
      </c>
      <c r="X20">
        <v>18</v>
      </c>
      <c r="Y20">
        <v>10</v>
      </c>
      <c r="Z20">
        <f>(Y20*'Dane dla CO'!$AB$53+'Dane dla CO'!$AD$53)/(Y20*'Dane dla CO'!$P$35+'Dane dla CO'!$Q$35)</f>
        <v>3.6080246913580249</v>
      </c>
      <c r="AA20">
        <f>Y20*'Dane dla CO'!$N$96+'Dane dla CO'!$N$97</f>
        <v>43.2</v>
      </c>
      <c r="AB20">
        <f>IF(Y20&lt;'Dane dla CO'!$Z$67,0,IF(Z20&gt;1,AA20,Z20*AA20))</f>
        <v>43.2</v>
      </c>
      <c r="AC20">
        <f t="shared" si="12"/>
        <v>0</v>
      </c>
      <c r="AD20" s="84">
        <f>(Y20*'Dane dla CWU'!$AB$53+'Dane dla CWU'!$AD$53)/(Y20*'Dane dla CO'!$P$35+'Dane dla CO'!$Q$35)</f>
        <v>4.0545267489711936</v>
      </c>
      <c r="AE20" s="84">
        <f t="shared" si="13"/>
        <v>10.319026666666666</v>
      </c>
      <c r="AF20" s="84">
        <f>IF(Y20&lt;'Dane dla CWU'!$Z$67,0,IF(AD20&gt;1,AE20,AD20*AE20))</f>
        <v>10.319026666666666</v>
      </c>
      <c r="AG20" s="84">
        <f t="shared" si="14"/>
        <v>0</v>
      </c>
      <c r="AI20">
        <v>18</v>
      </c>
      <c r="AJ20">
        <v>8</v>
      </c>
      <c r="AK20">
        <f>(AJ20*'Dane dla CO'!$AB$53+'Dane dla CO'!$AD$53)/(AJ20*'Dane dla CO'!$P$35+'Dane dla CO'!$Q$35)</f>
        <v>2.5462962962962963</v>
      </c>
      <c r="AL20">
        <f>AJ20*'Dane dla CO'!$N$96+'Dane dla CO'!$N$97</f>
        <v>57.600000000000009</v>
      </c>
      <c r="AM20">
        <f>IF(AJ20&lt;'Dane dla CO'!$Z$67,0,IF(AK20&gt;1,AL20,AK20*AL20))</f>
        <v>57.600000000000009</v>
      </c>
      <c r="AN20">
        <f t="shared" si="15"/>
        <v>0</v>
      </c>
      <c r="AO20" s="84">
        <f>(AJ20*'Dane dla CWU'!$AB$53+'Dane dla CWU'!$AD$53)/(AJ20*'Dane dla CO'!$P$35+'Dane dla CO'!$Q$35)</f>
        <v>2.7623456790123457</v>
      </c>
      <c r="AP20" s="84">
        <f t="shared" si="16"/>
        <v>10.319026666666666</v>
      </c>
      <c r="AQ20" s="84">
        <f>IF(AJ20&lt;'Dane dla CWU'!$Z$67,0,IF(AO20&gt;1,AP20,AO20*AP20))</f>
        <v>10.319026666666666</v>
      </c>
      <c r="AR20" s="84">
        <f t="shared" si="17"/>
        <v>0</v>
      </c>
      <c r="AT20">
        <v>18</v>
      </c>
      <c r="AU20">
        <v>10</v>
      </c>
      <c r="BA20">
        <v>18</v>
      </c>
      <c r="BB20">
        <v>24</v>
      </c>
      <c r="BH20">
        <v>18</v>
      </c>
      <c r="BI20">
        <v>18</v>
      </c>
      <c r="BO20">
        <v>18</v>
      </c>
      <c r="BP20">
        <v>20</v>
      </c>
      <c r="BV20">
        <v>18</v>
      </c>
      <c r="CB20" s="84">
        <f>(BW20*'Dane dla CWU'!$AB$53+'Dane dla CWU'!$AD$53)/(BW20*'Dane dla CO'!$P$35+'Dane dla CO'!$Q$35)</f>
        <v>1.0394375857338818</v>
      </c>
      <c r="CC20" s="84">
        <f t="shared" si="18"/>
        <v>10.319026666666666</v>
      </c>
      <c r="CD20" s="84">
        <f>IF(BW20&lt;'Dane dla CWU'!$Z$67,0,IF(CB20&gt;1,CC20,CB20*CC20))</f>
        <v>0</v>
      </c>
      <c r="CE20" s="84">
        <f t="shared" si="20"/>
        <v>10.319026666666666</v>
      </c>
      <c r="CG20">
        <v>18</v>
      </c>
      <c r="CH20">
        <v>9</v>
      </c>
      <c r="CI20">
        <f>(CH20*'Dane dla CO'!$AB$53+'Dane dla CO'!$AD$53)/(CH20*'Dane dla CO'!$P$35+'Dane dla CO'!$Q$35)</f>
        <v>2.9886831275720165</v>
      </c>
      <c r="CJ20">
        <f>CH20*'Dane dla CO'!$N$96+'Dane dla CO'!$N$97</f>
        <v>50.400000000000006</v>
      </c>
      <c r="CK20">
        <f>IF(CH20&lt;'Dane dla CO'!$Z$67,0,IF(CI20&gt;1,CJ20,CI20*CJ20))</f>
        <v>50.400000000000006</v>
      </c>
      <c r="CL20">
        <f t="shared" si="21"/>
        <v>0</v>
      </c>
      <c r="CM20" s="84">
        <f>(CH20*'Dane dla CWU'!$AB$53+'Dane dla CWU'!$AD$53)/(CH20*'Dane dla CO'!$P$35+'Dane dla CO'!$Q$35)</f>
        <v>3.3007544581618653</v>
      </c>
      <c r="CN20" s="84">
        <f t="shared" si="0"/>
        <v>10.319026666666666</v>
      </c>
      <c r="CO20" s="84">
        <f>IF(CH20&lt;'Dane dla CWU'!$Z$67,0,IF(CM20&gt;1,CN20,CM20*CN20))</f>
        <v>10.319026666666666</v>
      </c>
      <c r="CP20" s="84">
        <f t="shared" si="1"/>
        <v>0</v>
      </c>
      <c r="CR20">
        <v>18</v>
      </c>
      <c r="CS20">
        <v>2</v>
      </c>
      <c r="CT20">
        <f>(CS20*'Dane dla CO'!$AB$53+'Dane dla CO'!$AD$53)/(CS20*'Dane dla CO'!$P$35+'Dane dla CO'!$Q$35)</f>
        <v>1.321225071225071</v>
      </c>
      <c r="CU20">
        <f>CS20*'Dane dla CO'!$N$96+'Dane dla CO'!$N$97</f>
        <v>100.80000000000001</v>
      </c>
      <c r="CV20">
        <f>IF(CS20&lt;'Dane dla CO'!$Z$67,0,IF(CT20&gt;1,CU20,CT20*CU20))</f>
        <v>100.80000000000001</v>
      </c>
      <c r="CW20">
        <f t="shared" si="22"/>
        <v>0</v>
      </c>
      <c r="CX20" s="84">
        <f>(CS20*'Dane dla CWU'!$AB$53+'Dane dla CWU'!$AD$53)/(CS20*'Dane dla CO'!$P$35+'Dane dla CO'!$Q$35)</f>
        <v>1.2713675213675213</v>
      </c>
      <c r="CY20" s="84">
        <f t="shared" si="2"/>
        <v>10.319026666666666</v>
      </c>
      <c r="CZ20" s="84">
        <f>IF(CS20&lt;'Dane dla CWU'!$Z$67,0,IF(CX20&gt;1,CY20,CX20*CY20))</f>
        <v>0</v>
      </c>
      <c r="DA20" s="84">
        <f t="shared" si="3"/>
        <v>10.319026666666666</v>
      </c>
      <c r="DC20">
        <v>18</v>
      </c>
      <c r="DD20">
        <v>0</v>
      </c>
      <c r="DE20">
        <f>(DD20*'Dane dla CO'!$AB$53+'Dane dla CO'!$AD$53)/(DD20*'Dane dla CO'!$P$35+'Dane dla CO'!$Q$35)</f>
        <v>1.1306584362139918</v>
      </c>
      <c r="DF20">
        <f>DD20*'Dane dla CO'!$N$96+'Dane dla CO'!$N$97</f>
        <v>115.20000000000002</v>
      </c>
      <c r="DG20">
        <f>IF(DD20&lt;'Dane dla CO'!$Z$67,0,IF(DE20&gt;1,DF20,DE20*DF20))</f>
        <v>115.20000000000002</v>
      </c>
      <c r="DH20">
        <f t="shared" si="23"/>
        <v>0</v>
      </c>
      <c r="DI20" s="84">
        <f>(DD20*'Dane dla CWU'!$AB$53+'Dane dla CWU'!$AD$53)/(DD20*'Dane dla CO'!$P$35+'Dane dla CO'!$Q$35)</f>
        <v>1.0394375857338818</v>
      </c>
      <c r="DJ20" s="84">
        <f t="shared" si="4"/>
        <v>10.319026666666666</v>
      </c>
      <c r="DK20" s="84">
        <f>IF(DD20&lt;'Dane dla CWU'!$Z$67,0,IF(DI20&gt;1,DJ20,DI20*DJ20))</f>
        <v>0</v>
      </c>
      <c r="DL20" s="84">
        <f t="shared" si="5"/>
        <v>10.319026666666666</v>
      </c>
      <c r="DM20" s="49">
        <v>-9</v>
      </c>
      <c r="DN20" s="94">
        <f>DO20*'Dane dla CO'!$N$80</f>
        <v>705.30612244897964</v>
      </c>
      <c r="DO20" s="94">
        <f>(15-DS20)/35*'Dane dla CO'!$N$75</f>
        <v>6.1714285714285717</v>
      </c>
      <c r="DP20" s="94">
        <f t="shared" si="24"/>
        <v>235.10204081632654</v>
      </c>
      <c r="DQ20" s="51">
        <v>-9</v>
      </c>
      <c r="DR20" s="127">
        <v>3</v>
      </c>
      <c r="DS20" s="127">
        <v>-5</v>
      </c>
      <c r="DT20" s="89">
        <f>Wykresy!Y18</f>
        <v>46</v>
      </c>
      <c r="DU20" s="90">
        <f>Wykresy!AE18</f>
        <v>29.5</v>
      </c>
      <c r="DV20" s="92">
        <f>(($DV$27-$DV$18)/9)*2+$DV$18</f>
        <v>5.0666666666666664</v>
      </c>
      <c r="DW20" s="92">
        <f>(($DW$27-$DW$18)/9)*2+$DW$18</f>
        <v>2.4155555555555557</v>
      </c>
      <c r="DX20" s="92">
        <f t="shared" si="29"/>
        <v>2.0975160993560253</v>
      </c>
      <c r="DY20" s="86">
        <f>(($DY$27-$DY$18)/9)*2+$DY$18</f>
        <v>6.3777777777777782</v>
      </c>
      <c r="DZ20" s="86">
        <f>(($DZ$27-$DZ$18)/9)*2+$DZ$18</f>
        <v>2.3455555555555554</v>
      </c>
      <c r="EA20" s="96">
        <f t="shared" si="30"/>
        <v>2.7190904784462342</v>
      </c>
      <c r="EB20" s="85">
        <f t="shared" si="32"/>
        <v>3</v>
      </c>
      <c r="EC20" s="85">
        <f t="shared" si="26"/>
        <v>2.7966881324747006E-2</v>
      </c>
      <c r="ED20" s="92">
        <f>'Energia 221.A26'!P17</f>
        <v>2.9740377701161158</v>
      </c>
      <c r="EE20" s="86">
        <f t="shared" si="33"/>
        <v>3</v>
      </c>
      <c r="EF20" s="86">
        <f t="shared" si="27"/>
        <v>3.6254539712616461E-2</v>
      </c>
      <c r="EG20" s="96">
        <f>'Energia 221.A26'!S17</f>
        <v>4.0829861903180857</v>
      </c>
      <c r="EI20" s="127">
        <v>3</v>
      </c>
      <c r="EJ20" s="127">
        <f t="shared" si="25"/>
        <v>25</v>
      </c>
      <c r="EK20" s="127">
        <v>-5</v>
      </c>
      <c r="EL20" s="89">
        <v>55</v>
      </c>
      <c r="EM20" s="92">
        <f t="shared" ref="EM20:EM26" si="38">EM19+$ES$18</f>
        <v>4.0888888888888886</v>
      </c>
      <c r="EN20" s="92">
        <f t="shared" ref="EN20:EN26" si="39">EN19+$ET$18</f>
        <v>2.5155555555555558</v>
      </c>
      <c r="EO20" s="92">
        <f t="shared" si="31"/>
        <v>1.625441696113074</v>
      </c>
      <c r="EP20" s="85">
        <f t="shared" si="36"/>
        <v>3</v>
      </c>
      <c r="EQ20" s="85">
        <f t="shared" si="28"/>
        <v>2.167255594817432E-2</v>
      </c>
      <c r="ER20" s="92">
        <f>'Energia 221.A26'!V17</f>
        <v>2.3746885927207408</v>
      </c>
    </row>
    <row r="21" spans="1:169">
      <c r="A21" s="162"/>
      <c r="B21">
        <v>19</v>
      </c>
      <c r="C21">
        <v>2</v>
      </c>
      <c r="D21" s="84">
        <f>(C21*'Dane dla CO'!$AB$53+'Dane dla CO'!$AD$53)/(C21*'Dane dla CO'!$P$35+'Dane dla CO'!$Q$35)</f>
        <v>1.321225071225071</v>
      </c>
      <c r="E21" s="84">
        <f>C21*'Dane dla CO'!$N$96+'Dane dla CO'!$N$97</f>
        <v>100.80000000000001</v>
      </c>
      <c r="F21" s="84">
        <f>IF(C21&lt;'Dane dla CO'!$Z$67,0,IF(D21&gt;1,E21,D21*E21))</f>
        <v>100.80000000000001</v>
      </c>
      <c r="G21" s="84">
        <f t="shared" si="6"/>
        <v>0</v>
      </c>
      <c r="H21" s="84">
        <f>(C21*'Dane dla CWU'!$AB$53+'Dane dla CWU'!$AD$53)/(C21*'Dane dla CO'!$P$35+'Dane dla CO'!$Q$35)</f>
        <v>1.2713675213675213</v>
      </c>
      <c r="I21" s="84">
        <f t="shared" si="7"/>
        <v>10.319026666666666</v>
      </c>
      <c r="J21" s="84">
        <f>IF(C21&lt;'Dane dla CWU'!$Z$67,0,IF(H21&gt;1,I21,H21*I21))</f>
        <v>0</v>
      </c>
      <c r="K21" s="84">
        <f t="shared" si="8"/>
        <v>10.319026666666666</v>
      </c>
      <c r="M21">
        <v>19</v>
      </c>
      <c r="N21">
        <v>4</v>
      </c>
      <c r="O21">
        <f>(N21*'Dane dla CO'!$AB$53+'Dane dla CO'!$AD$53)/(N21*'Dane dla CO'!$P$35+'Dane dla CO'!$Q$35)</f>
        <v>1.5810886644219975</v>
      </c>
      <c r="P21">
        <f>N21*'Dane dla CO'!$N$96+'Dane dla CO'!$N$97</f>
        <v>86.4</v>
      </c>
      <c r="Q21">
        <f>IF(N21&lt;'Dane dla CO'!$Z$67,0,IF(O21&gt;1,P21,O21*P21))</f>
        <v>86.4</v>
      </c>
      <c r="R21">
        <f t="shared" si="9"/>
        <v>0</v>
      </c>
      <c r="S21" s="84">
        <f>(N21*'Dane dla CWU'!$AB$53+'Dane dla CWU'!$AD$53)/(N21*'Dane dla CO'!$P$35+'Dane dla CO'!$Q$35)</f>
        <v>1.5876356154133928</v>
      </c>
      <c r="T21" s="84">
        <f t="shared" si="10"/>
        <v>10.319026666666666</v>
      </c>
      <c r="U21" s="84">
        <f>IF(N21&lt;'Dane dla CWU'!$Z$67,0,IF(S21&gt;1,T21,S21*T21))</f>
        <v>0</v>
      </c>
      <c r="V21" s="84">
        <f t="shared" si="11"/>
        <v>10.319026666666666</v>
      </c>
      <c r="X21">
        <v>19</v>
      </c>
      <c r="Y21">
        <v>7</v>
      </c>
      <c r="Z21">
        <f>(Y21*'Dane dla CO'!$AB$53+'Dane dla CO'!$AD$53)/(Y21*'Dane dla CO'!$P$35+'Dane dla CO'!$Q$35)</f>
        <v>2.2145061728395059</v>
      </c>
      <c r="AA21">
        <f>Y21*'Dane dla CO'!$N$96+'Dane dla CO'!$N$97</f>
        <v>64.800000000000011</v>
      </c>
      <c r="AB21">
        <f>IF(Y21&lt;'Dane dla CO'!$Z$67,0,IF(Z21&gt;1,AA21,Z21*AA21))</f>
        <v>64.800000000000011</v>
      </c>
      <c r="AC21">
        <f t="shared" si="12"/>
        <v>0</v>
      </c>
      <c r="AD21" s="84">
        <f>(Y21*'Dane dla CWU'!$AB$53+'Dane dla CWU'!$AD$53)/(Y21*'Dane dla CO'!$P$35+'Dane dla CO'!$Q$35)</f>
        <v>2.3585390946502054</v>
      </c>
      <c r="AE21" s="84">
        <f t="shared" si="13"/>
        <v>10.319026666666666</v>
      </c>
      <c r="AF21" s="84">
        <f>IF(Y21&lt;'Dane dla CWU'!$Z$67,0,IF(AD21&gt;1,AE21,AD21*AE21))</f>
        <v>0</v>
      </c>
      <c r="AG21" s="84">
        <f t="shared" si="14"/>
        <v>10.319026666666666</v>
      </c>
      <c r="AI21">
        <v>19</v>
      </c>
      <c r="AJ21">
        <v>10</v>
      </c>
      <c r="AK21">
        <f>(AJ21*'Dane dla CO'!$AB$53+'Dane dla CO'!$AD$53)/(AJ21*'Dane dla CO'!$P$35+'Dane dla CO'!$Q$35)</f>
        <v>3.6080246913580249</v>
      </c>
      <c r="AL21">
        <f>AJ21*'Dane dla CO'!$N$96+'Dane dla CO'!$N$97</f>
        <v>43.2</v>
      </c>
      <c r="AM21">
        <f>IF(AJ21&lt;'Dane dla CO'!$Z$67,0,IF(AK21&gt;1,AL21,AK21*AL21))</f>
        <v>43.2</v>
      </c>
      <c r="AN21">
        <f t="shared" si="15"/>
        <v>0</v>
      </c>
      <c r="AO21" s="84">
        <f>(AJ21*'Dane dla CWU'!$AB$53+'Dane dla CWU'!$AD$53)/(AJ21*'Dane dla CO'!$P$35+'Dane dla CO'!$Q$35)</f>
        <v>4.0545267489711936</v>
      </c>
      <c r="AP21" s="84">
        <f t="shared" si="16"/>
        <v>10.319026666666666</v>
      </c>
      <c r="AQ21" s="84">
        <f>IF(AJ21&lt;'Dane dla CWU'!$Z$67,0,IF(AO21&gt;1,AP21,AO21*AP21))</f>
        <v>10.319026666666666</v>
      </c>
      <c r="AR21" s="84">
        <f t="shared" si="17"/>
        <v>0</v>
      </c>
      <c r="AT21">
        <v>19</v>
      </c>
      <c r="AU21">
        <v>14</v>
      </c>
      <c r="BA21">
        <v>19</v>
      </c>
      <c r="BB21">
        <v>25</v>
      </c>
      <c r="BH21">
        <v>19</v>
      </c>
      <c r="BI21">
        <v>21</v>
      </c>
      <c r="BO21">
        <v>19</v>
      </c>
      <c r="BP21">
        <v>20</v>
      </c>
      <c r="BV21">
        <v>19</v>
      </c>
      <c r="BW21">
        <v>14</v>
      </c>
      <c r="BX21">
        <f>(BW21*'Dane dla CO'!$AB$53+'Dane dla CO'!$AD$53)/(BW21*'Dane dla CO'!$P$35+'Dane dla CO'!$Q$35)</f>
        <v>18.472222222222211</v>
      </c>
      <c r="BY21">
        <f>BW21*'Dane dla CO'!$N$96+'Dane dla CO'!$N$97</f>
        <v>14.400000000000006</v>
      </c>
      <c r="BZ21">
        <f>IF(BW21&lt;'Dane dla CO'!$Z$67,0,IF(BX21&gt;1,BY21,BX21*BY21))</f>
        <v>14.400000000000006</v>
      </c>
      <c r="CA21">
        <f t="shared" si="37"/>
        <v>0</v>
      </c>
      <c r="CB21" s="84">
        <f>(BW21*'Dane dla CWU'!$AB$53+'Dane dla CWU'!$AD$53)/(BW21*'Dane dla CO'!$P$35+'Dane dla CO'!$Q$35)</f>
        <v>22.145061728395049</v>
      </c>
      <c r="CC21" s="84">
        <f t="shared" si="18"/>
        <v>10.319026666666666</v>
      </c>
      <c r="CD21" s="84">
        <f>IF(BW21&lt;'Dane dla CWU'!$Z$67,0,IF(CB21&gt;1,CC21,CB21*CC21))</f>
        <v>10.319026666666666</v>
      </c>
      <c r="CE21" s="84">
        <f t="shared" si="20"/>
        <v>0</v>
      </c>
      <c r="CG21">
        <v>19</v>
      </c>
      <c r="CH21">
        <v>9</v>
      </c>
      <c r="CI21">
        <f>(CH21*'Dane dla CO'!$AB$53+'Dane dla CO'!$AD$53)/(CH21*'Dane dla CO'!$P$35+'Dane dla CO'!$Q$35)</f>
        <v>2.9886831275720165</v>
      </c>
      <c r="CJ21">
        <f>CH21*'Dane dla CO'!$N$96+'Dane dla CO'!$N$97</f>
        <v>50.400000000000006</v>
      </c>
      <c r="CK21">
        <f>IF(CH21&lt;'Dane dla CO'!$Z$67,0,IF(CI21&gt;1,CJ21,CI21*CJ21))</f>
        <v>50.400000000000006</v>
      </c>
      <c r="CL21">
        <f t="shared" si="21"/>
        <v>0</v>
      </c>
      <c r="CM21" s="84">
        <f>(CH21*'Dane dla CWU'!$AB$53+'Dane dla CWU'!$AD$53)/(CH21*'Dane dla CO'!$P$35+'Dane dla CO'!$Q$35)</f>
        <v>3.3007544581618653</v>
      </c>
      <c r="CN21" s="84">
        <f t="shared" si="0"/>
        <v>10.319026666666666</v>
      </c>
      <c r="CO21" s="84">
        <f>IF(CH21&lt;'Dane dla CWU'!$Z$67,0,IF(CM21&gt;1,CN21,CM21*CN21))</f>
        <v>10.319026666666666</v>
      </c>
      <c r="CP21" s="84">
        <f t="shared" si="1"/>
        <v>0</v>
      </c>
      <c r="CR21">
        <v>19</v>
      </c>
      <c r="CS21">
        <v>5</v>
      </c>
      <c r="CT21">
        <f>(CS21*'Dane dla CO'!$AB$53+'Dane dla CO'!$AD$53)/(CS21*'Dane dla CO'!$P$35+'Dane dla CO'!$Q$35)</f>
        <v>1.75</v>
      </c>
      <c r="CU21">
        <f>CS21*'Dane dla CO'!$N$96+'Dane dla CO'!$N$97</f>
        <v>79.200000000000017</v>
      </c>
      <c r="CV21">
        <f>IF(CS21&lt;'Dane dla CO'!$Z$67,0,IF(CT21&gt;1,CU21,CT21*CU21))</f>
        <v>79.200000000000017</v>
      </c>
      <c r="CW21">
        <f t="shared" si="22"/>
        <v>0</v>
      </c>
      <c r="CX21" s="84">
        <f>(CS21*'Dane dla CWU'!$AB$53+'Dane dla CWU'!$AD$53)/(CS21*'Dane dla CO'!$P$35+'Dane dla CO'!$Q$35)</f>
        <v>1.7932098765432098</v>
      </c>
      <c r="CY21" s="84">
        <f t="shared" si="2"/>
        <v>10.319026666666666</v>
      </c>
      <c r="CZ21" s="84">
        <f>IF(CS21&lt;'Dane dla CWU'!$Z$67,0,IF(CX21&gt;1,CY21,CX21*CY21))</f>
        <v>0</v>
      </c>
      <c r="DA21" s="84">
        <f t="shared" si="3"/>
        <v>10.319026666666666</v>
      </c>
      <c r="DC21">
        <v>19</v>
      </c>
      <c r="DD21">
        <v>-1</v>
      </c>
      <c r="DE21">
        <f>(DD21*'Dane dla CO'!$AB$53+'Dane dla CO'!$AD$53)/(DD21*'Dane dla CO'!$P$35+'Dane dla CO'!$Q$35)</f>
        <v>1.0532407407407407</v>
      </c>
      <c r="DF21">
        <f>DD21*'Dane dla CO'!$N$96+'Dane dla CO'!$N$97</f>
        <v>122.40000000000002</v>
      </c>
      <c r="DG21">
        <f>IF(DD21&lt;'Dane dla CO'!$Z$67,0,IF(DE21&gt;1,DF21,DE21*DF21))</f>
        <v>122.40000000000002</v>
      </c>
      <c r="DH21">
        <f t="shared" si="23"/>
        <v>0</v>
      </c>
      <c r="DI21" s="84">
        <f>(DD21*'Dane dla CWU'!$AB$53+'Dane dla CWU'!$AD$53)/(DD21*'Dane dla CO'!$P$35+'Dane dla CO'!$Q$35)</f>
        <v>0.94521604938271586</v>
      </c>
      <c r="DJ21" s="84">
        <f t="shared" si="4"/>
        <v>10.319026666666666</v>
      </c>
      <c r="DK21" s="84">
        <f>IF(DD21&lt;'Dane dla CWU'!$Z$67,0,IF(DI21&gt;1,DJ21,DI21*DJ21))</f>
        <v>0</v>
      </c>
      <c r="DL21" s="84">
        <f t="shared" si="5"/>
        <v>10.319026666666666</v>
      </c>
      <c r="DM21" s="49">
        <v>-7</v>
      </c>
      <c r="DN21" s="94">
        <f>DO21*'Dane dla CO'!$N$80</f>
        <v>670.04081632653072</v>
      </c>
      <c r="DO21" s="94">
        <f>(15-DS21)/35*'Dane dla CO'!$N$75</f>
        <v>5.862857142857143</v>
      </c>
      <c r="DP21" s="94">
        <f t="shared" si="24"/>
        <v>223.34693877551024</v>
      </c>
      <c r="DQ21" s="51">
        <v>-7</v>
      </c>
      <c r="DR21" s="127">
        <v>3</v>
      </c>
      <c r="DS21" s="127">
        <v>-4</v>
      </c>
      <c r="DT21" s="89">
        <f>Wykresy!Y19</f>
        <v>45.4</v>
      </c>
      <c r="DU21" s="90">
        <f>Wykresy!AE19</f>
        <v>29.133333333333333</v>
      </c>
      <c r="DV21" s="92">
        <f>(($DV$27-$DV$18)/9)*3+$DV$18</f>
        <v>5.0999999999999996</v>
      </c>
      <c r="DW21" s="92">
        <f>(($DW$27-$DW$18)/9)*3+$DW$18</f>
        <v>2.3833333333333333</v>
      </c>
      <c r="DX21" s="92">
        <f t="shared" si="29"/>
        <v>2.1398601398601396</v>
      </c>
      <c r="DY21" s="86">
        <f>(($DY$27-$DY$18)/9)*3+$DY$18</f>
        <v>6.3666666666666671</v>
      </c>
      <c r="DZ21" s="86">
        <f>(($DZ$27-$DZ$18)/9)*3+$DZ$18</f>
        <v>2.253333333333333</v>
      </c>
      <c r="EA21" s="96">
        <f t="shared" si="30"/>
        <v>2.8254437869822491</v>
      </c>
      <c r="EB21" s="85">
        <f t="shared" si="32"/>
        <v>3</v>
      </c>
      <c r="EC21" s="85">
        <f t="shared" si="26"/>
        <v>2.8531468531468526E-2</v>
      </c>
      <c r="ED21" s="92">
        <f>'Energia 221.A26'!P18</f>
        <v>2.9998298603813591</v>
      </c>
      <c r="EE21" s="86">
        <f t="shared" si="33"/>
        <v>3</v>
      </c>
      <c r="EF21" s="86">
        <f t="shared" si="27"/>
        <v>3.7672583826429989E-2</v>
      </c>
      <c r="EG21" s="96">
        <f>'Energia 221.A26'!S18</f>
        <v>4.1231195064544357</v>
      </c>
      <c r="EI21" s="127">
        <v>3</v>
      </c>
      <c r="EJ21" s="127">
        <f t="shared" si="25"/>
        <v>28</v>
      </c>
      <c r="EK21" s="127">
        <v>-4</v>
      </c>
      <c r="EL21" s="89">
        <v>55</v>
      </c>
      <c r="EM21" s="92">
        <f t="shared" si="38"/>
        <v>4.2333333333333334</v>
      </c>
      <c r="EN21" s="92">
        <f t="shared" si="39"/>
        <v>2.5333333333333337</v>
      </c>
      <c r="EO21" s="92">
        <f t="shared" si="31"/>
        <v>1.6710526315789471</v>
      </c>
      <c r="EP21" s="85">
        <f t="shared" si="36"/>
        <v>3</v>
      </c>
      <c r="EQ21" s="85">
        <f t="shared" si="28"/>
        <v>2.2280701754385963E-2</v>
      </c>
      <c r="ER21" s="92">
        <f>'Energia 221.A26'!V18</f>
        <v>2.3812802076469084</v>
      </c>
    </row>
    <row r="22" spans="1:169">
      <c r="A22" s="162"/>
      <c r="B22">
        <v>20</v>
      </c>
      <c r="C22">
        <v>3</v>
      </c>
      <c r="D22" s="84">
        <f>(C22*'Dane dla CO'!$AB$53+'Dane dla CO'!$AD$53)/(C22*'Dane dla CO'!$P$35+'Dane dla CO'!$Q$35)</f>
        <v>1.4403292181069955</v>
      </c>
      <c r="E22" s="84">
        <f>C22*'Dane dla CO'!$N$96+'Dane dla CO'!$N$97</f>
        <v>93.600000000000023</v>
      </c>
      <c r="F22" s="84">
        <f>IF(C22&lt;'Dane dla CO'!$Z$67,0,IF(D22&gt;1,E22,D22*E22))</f>
        <v>93.600000000000023</v>
      </c>
      <c r="G22" s="84">
        <f t="shared" si="6"/>
        <v>0</v>
      </c>
      <c r="H22" s="84">
        <f>(C22*'Dane dla CWU'!$AB$53+'Dane dla CWU'!$AD$53)/(C22*'Dane dla CO'!$P$35+'Dane dla CO'!$Q$35)</f>
        <v>1.4163237311385457</v>
      </c>
      <c r="I22" s="84">
        <f t="shared" si="7"/>
        <v>10.319026666666666</v>
      </c>
      <c r="J22" s="84">
        <f>IF(C22&lt;'Dane dla CWU'!$Z$67,0,IF(H22&gt;1,I22,H22*I22))</f>
        <v>0</v>
      </c>
      <c r="K22" s="84">
        <f t="shared" si="8"/>
        <v>10.319026666666666</v>
      </c>
      <c r="M22">
        <v>20</v>
      </c>
      <c r="N22">
        <v>3</v>
      </c>
      <c r="O22">
        <f>(N22*'Dane dla CO'!$AB$53+'Dane dla CO'!$AD$53)/(N22*'Dane dla CO'!$P$35+'Dane dla CO'!$Q$35)</f>
        <v>1.4403292181069955</v>
      </c>
      <c r="P22">
        <f>N22*'Dane dla CO'!$N$96+'Dane dla CO'!$N$97</f>
        <v>93.600000000000023</v>
      </c>
      <c r="Q22">
        <f>IF(N22&lt;'Dane dla CO'!$Z$67,0,IF(O22&gt;1,P22,O22*P22))</f>
        <v>93.600000000000023</v>
      </c>
      <c r="R22">
        <f t="shared" si="9"/>
        <v>0</v>
      </c>
      <c r="S22" s="84">
        <f>(N22*'Dane dla CWU'!$AB$53+'Dane dla CWU'!$AD$53)/(N22*'Dane dla CO'!$P$35+'Dane dla CO'!$Q$35)</f>
        <v>1.4163237311385457</v>
      </c>
      <c r="T22" s="84">
        <f t="shared" si="10"/>
        <v>10.319026666666666</v>
      </c>
      <c r="U22" s="84">
        <f>IF(N22&lt;'Dane dla CWU'!$Z$67,0,IF(S22&gt;1,T22,S22*T22))</f>
        <v>0</v>
      </c>
      <c r="V22" s="84">
        <f t="shared" si="11"/>
        <v>10.319026666666666</v>
      </c>
      <c r="X22">
        <v>20</v>
      </c>
      <c r="Y22">
        <v>7</v>
      </c>
      <c r="Z22">
        <f>(Y22*'Dane dla CO'!$AB$53+'Dane dla CO'!$AD$53)/(Y22*'Dane dla CO'!$P$35+'Dane dla CO'!$Q$35)</f>
        <v>2.2145061728395059</v>
      </c>
      <c r="AA22">
        <f>Y22*'Dane dla CO'!$N$96+'Dane dla CO'!$N$97</f>
        <v>64.800000000000011</v>
      </c>
      <c r="AB22">
        <f>IF(Y22&lt;'Dane dla CO'!$Z$67,0,IF(Z22&gt;1,AA22,Z22*AA22))</f>
        <v>64.800000000000011</v>
      </c>
      <c r="AC22">
        <f t="shared" si="12"/>
        <v>0</v>
      </c>
      <c r="AD22" s="84">
        <f>(Y22*'Dane dla CWU'!$AB$53+'Dane dla CWU'!$AD$53)/(Y22*'Dane dla CO'!$P$35+'Dane dla CO'!$Q$35)</f>
        <v>2.3585390946502054</v>
      </c>
      <c r="AE22" s="84">
        <f t="shared" si="13"/>
        <v>10.319026666666666</v>
      </c>
      <c r="AF22" s="84">
        <f>IF(Y22&lt;'Dane dla CWU'!$Z$67,0,IF(AD22&gt;1,AE22,AD22*AE22))</f>
        <v>0</v>
      </c>
      <c r="AG22" s="84">
        <f t="shared" si="14"/>
        <v>10.319026666666666</v>
      </c>
      <c r="AI22">
        <v>20</v>
      </c>
      <c r="AJ22">
        <v>14</v>
      </c>
      <c r="AK22">
        <f>(AJ22*'Dane dla CO'!$AB$53+'Dane dla CO'!$AD$53)/(AJ22*'Dane dla CO'!$P$35+'Dane dla CO'!$Q$35)</f>
        <v>18.472222222222211</v>
      </c>
      <c r="AL22">
        <f>AJ22*'Dane dla CO'!$N$96+'Dane dla CO'!$N$97</f>
        <v>14.400000000000006</v>
      </c>
      <c r="AM22">
        <f>IF(AJ22&lt;'Dane dla CO'!$Z$67,0,IF(AK22&gt;1,AL22,AK22*AL22))</f>
        <v>14.400000000000006</v>
      </c>
      <c r="AN22">
        <f t="shared" si="15"/>
        <v>0</v>
      </c>
      <c r="AO22" s="84">
        <f>(AJ22*'Dane dla CWU'!$AB$53+'Dane dla CWU'!$AD$53)/(AJ22*'Dane dla CO'!$P$35+'Dane dla CO'!$Q$35)</f>
        <v>22.145061728395049</v>
      </c>
      <c r="AP22" s="84">
        <f t="shared" si="16"/>
        <v>10.319026666666666</v>
      </c>
      <c r="AQ22" s="84">
        <f>IF(AJ22&lt;'Dane dla CWU'!$Z$67,0,IF(AO22&gt;1,AP22,AO22*AP22))</f>
        <v>10.319026666666666</v>
      </c>
      <c r="AR22" s="84">
        <f t="shared" si="17"/>
        <v>0</v>
      </c>
      <c r="AT22">
        <v>20</v>
      </c>
      <c r="AU22">
        <v>18</v>
      </c>
      <c r="BA22">
        <v>20</v>
      </c>
      <c r="BB22">
        <v>24</v>
      </c>
      <c r="BH22">
        <v>20</v>
      </c>
      <c r="BI22">
        <v>19</v>
      </c>
      <c r="BO22">
        <v>20</v>
      </c>
      <c r="BP22">
        <v>23</v>
      </c>
      <c r="BV22">
        <v>20</v>
      </c>
      <c r="BW22">
        <v>10</v>
      </c>
      <c r="BX22">
        <f>(BW22*'Dane dla CO'!$AB$53+'Dane dla CO'!$AD$53)/(BW22*'Dane dla CO'!$P$35+'Dane dla CO'!$Q$35)</f>
        <v>3.6080246913580249</v>
      </c>
      <c r="BY22">
        <f>BW22*'Dane dla CO'!$N$96+'Dane dla CO'!$N$97</f>
        <v>43.2</v>
      </c>
      <c r="BZ22">
        <f>IF(BW22&lt;'Dane dla CO'!$Z$67,0,IF(BX22&gt;1,BY22,BX22*BY22))</f>
        <v>43.2</v>
      </c>
      <c r="CA22">
        <f t="shared" si="37"/>
        <v>0</v>
      </c>
      <c r="CB22" s="84">
        <f>(BW22*'Dane dla CWU'!$AB$53+'Dane dla CWU'!$AD$53)/(BW22*'Dane dla CO'!$P$35+'Dane dla CO'!$Q$35)</f>
        <v>4.0545267489711936</v>
      </c>
      <c r="CC22" s="84">
        <f t="shared" si="18"/>
        <v>10.319026666666666</v>
      </c>
      <c r="CD22" s="84">
        <f>IF(BW22&lt;'Dane dla CWU'!$Z$67,0,IF(CB22&gt;1,CC22,CB22*CC22))</f>
        <v>10.319026666666666</v>
      </c>
      <c r="CE22" s="84">
        <f t="shared" si="20"/>
        <v>0</v>
      </c>
      <c r="CG22">
        <v>20</v>
      </c>
      <c r="CH22">
        <v>8</v>
      </c>
      <c r="CI22">
        <f>(CH22*'Dane dla CO'!$AB$53+'Dane dla CO'!$AD$53)/(CH22*'Dane dla CO'!$P$35+'Dane dla CO'!$Q$35)</f>
        <v>2.5462962962962963</v>
      </c>
      <c r="CJ22">
        <f>CH22*'Dane dla CO'!$N$96+'Dane dla CO'!$N$97</f>
        <v>57.600000000000009</v>
      </c>
      <c r="CK22">
        <f>IF(CH22&lt;'Dane dla CO'!$Z$67,0,IF(CI22&gt;1,CJ22,CI22*CJ22))</f>
        <v>57.600000000000009</v>
      </c>
      <c r="CL22">
        <f t="shared" si="21"/>
        <v>0</v>
      </c>
      <c r="CM22" s="84">
        <f>(CH22*'Dane dla CWU'!$AB$53+'Dane dla CWU'!$AD$53)/(CH22*'Dane dla CO'!$P$35+'Dane dla CO'!$Q$35)</f>
        <v>2.7623456790123457</v>
      </c>
      <c r="CN22" s="84">
        <f t="shared" si="0"/>
        <v>10.319026666666666</v>
      </c>
      <c r="CO22" s="84">
        <f>IF(CH22&lt;'Dane dla CWU'!$Z$67,0,IF(CM22&gt;1,CN22,CM22*CN22))</f>
        <v>10.319026666666666</v>
      </c>
      <c r="CP22" s="84">
        <f t="shared" si="1"/>
        <v>0</v>
      </c>
      <c r="CR22">
        <v>20</v>
      </c>
      <c r="CS22">
        <v>5</v>
      </c>
      <c r="CT22">
        <f>(CS22*'Dane dla CO'!$AB$53+'Dane dla CO'!$AD$53)/(CS22*'Dane dla CO'!$P$35+'Dane dla CO'!$Q$35)</f>
        <v>1.75</v>
      </c>
      <c r="CU22">
        <f>CS22*'Dane dla CO'!$N$96+'Dane dla CO'!$N$97</f>
        <v>79.200000000000017</v>
      </c>
      <c r="CV22">
        <f>IF(CS22&lt;'Dane dla CO'!$Z$67,0,IF(CT22&gt;1,CU22,CT22*CU22))</f>
        <v>79.200000000000017</v>
      </c>
      <c r="CW22">
        <f t="shared" si="22"/>
        <v>0</v>
      </c>
      <c r="CX22" s="84">
        <f>(CS22*'Dane dla CWU'!$AB$53+'Dane dla CWU'!$AD$53)/(CS22*'Dane dla CO'!$P$35+'Dane dla CO'!$Q$35)</f>
        <v>1.7932098765432098</v>
      </c>
      <c r="CY22" s="84">
        <f t="shared" si="2"/>
        <v>10.319026666666666</v>
      </c>
      <c r="CZ22" s="84">
        <f>IF(CS22&lt;'Dane dla CWU'!$Z$67,0,IF(CX22&gt;1,CY22,CX22*CY22))</f>
        <v>0</v>
      </c>
      <c r="DA22" s="84">
        <f t="shared" si="3"/>
        <v>10.319026666666666</v>
      </c>
      <c r="DC22">
        <v>20</v>
      </c>
      <c r="DD22">
        <v>-5</v>
      </c>
      <c r="DE22">
        <f>(DD22*'Dane dla CO'!$AB$53+'Dane dla CO'!$AD$53)/(DD22*'Dane dla CO'!$P$35+'Dane dla CO'!$Q$35)</f>
        <v>0.82098765432098741</v>
      </c>
      <c r="DF22">
        <f>DD22*'Dane dla CO'!$N$96+'Dane dla CO'!$N$97</f>
        <v>151.20000000000002</v>
      </c>
      <c r="DG22">
        <f>IF(DD22&lt;'Dane dla CO'!$Z$67,0,IF(DE22&gt;1,DF22,DE22*DF22))</f>
        <v>0</v>
      </c>
      <c r="DH22">
        <f t="shared" si="23"/>
        <v>151.20000000000002</v>
      </c>
      <c r="DI22" s="84">
        <f>(DD22*'Dane dla CWU'!$AB$53+'Dane dla CWU'!$AD$53)/(DD22*'Dane dla CO'!$P$35+'Dane dla CO'!$Q$35)</f>
        <v>0.66255144032921798</v>
      </c>
      <c r="DJ22" s="84">
        <f t="shared" si="4"/>
        <v>10.319026666666666</v>
      </c>
      <c r="DK22" s="84">
        <f>IF(DD22&lt;'Dane dla CWU'!$Z$67,0,IF(DI22&gt;1,DJ22,DI22*DJ22))</f>
        <v>0</v>
      </c>
      <c r="DL22" s="84">
        <f t="shared" si="5"/>
        <v>10.319026666666666</v>
      </c>
      <c r="DM22" s="49">
        <v>-6</v>
      </c>
      <c r="DN22" s="94">
        <f>DO22*'Dane dla CO'!$N$80</f>
        <v>634.77551020408168</v>
      </c>
      <c r="DO22" s="94">
        <f>(15-DS22)/35*'Dane dla CO'!$N$75</f>
        <v>5.5542857142857143</v>
      </c>
      <c r="DP22" s="94">
        <f t="shared" si="24"/>
        <v>158.69387755102042</v>
      </c>
      <c r="DQ22" s="51">
        <v>-6</v>
      </c>
      <c r="DR22" s="127">
        <v>4</v>
      </c>
      <c r="DS22" s="127">
        <v>-3</v>
      </c>
      <c r="DT22" s="89">
        <f>Wykresy!Y20</f>
        <v>44.8</v>
      </c>
      <c r="DU22" s="90">
        <f>Wykresy!AE20</f>
        <v>28.766666666666669</v>
      </c>
      <c r="DV22" s="92">
        <f>(($DV$27-$DV$18)/9)*4+$DV$18</f>
        <v>5.1333333333333329</v>
      </c>
      <c r="DW22" s="92">
        <f>(($DW$27-$DW$18)/9)*4+$DW$18</f>
        <v>2.3511111111111109</v>
      </c>
      <c r="DX22" s="92">
        <f t="shared" si="29"/>
        <v>2.1833648393194705</v>
      </c>
      <c r="DY22" s="86">
        <f>(($DY$27-$DY$18)/9)*4+$DY$18</f>
        <v>6.3555555555555561</v>
      </c>
      <c r="DZ22" s="86">
        <f>(($DZ$27-$DZ$18)/9)*4+$DZ$18</f>
        <v>2.161111111111111</v>
      </c>
      <c r="EA22" s="96">
        <f t="shared" si="30"/>
        <v>2.9408740359897174</v>
      </c>
      <c r="EB22" s="85">
        <f t="shared" si="32"/>
        <v>4</v>
      </c>
      <c r="EC22" s="85">
        <f t="shared" si="26"/>
        <v>3.8815374921235032E-2</v>
      </c>
      <c r="ED22" s="92">
        <f>'Energia 221.A26'!P19</f>
        <v>3.0246247586183959</v>
      </c>
      <c r="EE22" s="86">
        <f t="shared" si="33"/>
        <v>4</v>
      </c>
      <c r="EF22" s="86">
        <f t="shared" si="27"/>
        <v>5.2282205084261645E-2</v>
      </c>
      <c r="EG22" s="96">
        <f>'Energia 221.A26'!S19</f>
        <v>4.1605344719365744</v>
      </c>
      <c r="EI22" s="127">
        <v>4</v>
      </c>
      <c r="EJ22" s="127">
        <f t="shared" si="25"/>
        <v>32</v>
      </c>
      <c r="EK22" s="127">
        <v>-3</v>
      </c>
      <c r="EL22" s="89">
        <v>55</v>
      </c>
      <c r="EM22" s="92">
        <f t="shared" si="38"/>
        <v>4.3777777777777782</v>
      </c>
      <c r="EN22" s="92">
        <f t="shared" si="39"/>
        <v>2.5511111111111116</v>
      </c>
      <c r="EO22" s="92">
        <f t="shared" si="31"/>
        <v>1.7160278745644597</v>
      </c>
      <c r="EP22" s="85">
        <f t="shared" si="36"/>
        <v>4</v>
      </c>
      <c r="EQ22" s="85">
        <f t="shared" si="28"/>
        <v>3.0507162214479282E-2</v>
      </c>
      <c r="ER22" s="92">
        <f>'Energia 221.A26'!V19</f>
        <v>2.3875840027007662</v>
      </c>
    </row>
    <row r="23" spans="1:169">
      <c r="A23" s="162"/>
      <c r="B23">
        <v>21</v>
      </c>
      <c r="C23">
        <v>2</v>
      </c>
      <c r="D23" s="84">
        <f>(C23*'Dane dla CO'!$AB$53+'Dane dla CO'!$AD$53)/(C23*'Dane dla CO'!$P$35+'Dane dla CO'!$Q$35)</f>
        <v>1.321225071225071</v>
      </c>
      <c r="E23" s="84">
        <f>C23*'Dane dla CO'!$N$96+'Dane dla CO'!$N$97</f>
        <v>100.80000000000001</v>
      </c>
      <c r="F23" s="84">
        <f>IF(C23&lt;'Dane dla CO'!$Z$67,0,IF(D23&gt;1,E23,D23*E23))</f>
        <v>100.80000000000001</v>
      </c>
      <c r="G23" s="84">
        <f t="shared" si="6"/>
        <v>0</v>
      </c>
      <c r="H23" s="84">
        <f>(C23*'Dane dla CWU'!$AB$53+'Dane dla CWU'!$AD$53)/(C23*'Dane dla CO'!$P$35+'Dane dla CO'!$Q$35)</f>
        <v>1.2713675213675213</v>
      </c>
      <c r="I23" s="84">
        <f t="shared" si="7"/>
        <v>10.319026666666666</v>
      </c>
      <c r="J23" s="84">
        <f>IF(C23&lt;'Dane dla CWU'!$Z$67,0,IF(H23&gt;1,I23,H23*I23))</f>
        <v>0</v>
      </c>
      <c r="K23" s="84">
        <f t="shared" si="8"/>
        <v>10.319026666666666</v>
      </c>
      <c r="M23">
        <v>21</v>
      </c>
      <c r="N23">
        <v>1</v>
      </c>
      <c r="O23">
        <f>(N23*'Dane dla CO'!$AB$53+'Dane dla CO'!$AD$53)/(N23*'Dane dla CO'!$P$35+'Dane dla CO'!$Q$35)</f>
        <v>1.2191358024691357</v>
      </c>
      <c r="P23">
        <f>N23*'Dane dla CO'!$N$96+'Dane dla CO'!$N$97</f>
        <v>108.00000000000001</v>
      </c>
      <c r="Q23">
        <f>IF(N23&lt;'Dane dla CO'!$Z$67,0,IF(O23&gt;1,P23,O23*P23))</f>
        <v>108.00000000000001</v>
      </c>
      <c r="R23">
        <f t="shared" si="9"/>
        <v>0</v>
      </c>
      <c r="S23" s="84">
        <f>(N23*'Dane dla CWU'!$AB$53+'Dane dla CWU'!$AD$53)/(N23*'Dane dla CO'!$P$35+'Dane dla CO'!$Q$35)</f>
        <v>1.1471193415637859</v>
      </c>
      <c r="T23" s="84">
        <f t="shared" si="10"/>
        <v>10.319026666666666</v>
      </c>
      <c r="U23" s="84">
        <f>IF(N23&lt;'Dane dla CWU'!$Z$67,0,IF(S23&gt;1,T23,S23*T23))</f>
        <v>0</v>
      </c>
      <c r="V23" s="84">
        <f t="shared" si="11"/>
        <v>10.319026666666666</v>
      </c>
      <c r="X23">
        <v>21</v>
      </c>
      <c r="Y23">
        <v>10</v>
      </c>
      <c r="Z23">
        <f>(Y23*'Dane dla CO'!$AB$53+'Dane dla CO'!$AD$53)/(Y23*'Dane dla CO'!$P$35+'Dane dla CO'!$Q$35)</f>
        <v>3.6080246913580249</v>
      </c>
      <c r="AA23">
        <f>Y23*'Dane dla CO'!$N$96+'Dane dla CO'!$N$97</f>
        <v>43.2</v>
      </c>
      <c r="AB23">
        <f>IF(Y23&lt;'Dane dla CO'!$Z$67,0,IF(Z23&gt;1,AA23,Z23*AA23))</f>
        <v>43.2</v>
      </c>
      <c r="AC23">
        <f t="shared" si="12"/>
        <v>0</v>
      </c>
      <c r="AD23" s="84">
        <f>(Y23*'Dane dla CWU'!$AB$53+'Dane dla CWU'!$AD$53)/(Y23*'Dane dla CO'!$P$35+'Dane dla CO'!$Q$35)</f>
        <v>4.0545267489711936</v>
      </c>
      <c r="AE23" s="84">
        <f t="shared" si="13"/>
        <v>10.319026666666666</v>
      </c>
      <c r="AF23" s="84">
        <f>IF(Y23&lt;'Dane dla CWU'!$Z$67,0,IF(AD23&gt;1,AE23,AD23*AE23))</f>
        <v>10.319026666666666</v>
      </c>
      <c r="AG23" s="84">
        <f t="shared" si="14"/>
        <v>0</v>
      </c>
      <c r="AI23">
        <v>21</v>
      </c>
      <c r="AJ23">
        <v>12</v>
      </c>
      <c r="AK23">
        <f>(AJ23*'Dane dla CO'!$AB$53+'Dane dla CO'!$AD$53)/(AJ23*'Dane dla CO'!$P$35+'Dane dla CO'!$Q$35)</f>
        <v>6.0853909465020575</v>
      </c>
      <c r="AL23">
        <f>AJ23*'Dane dla CO'!$N$96+'Dane dla CO'!$N$97</f>
        <v>28.800000000000011</v>
      </c>
      <c r="AM23">
        <f>IF(AJ23&lt;'Dane dla CO'!$Z$67,0,IF(AK23&gt;1,AL23,AK23*AL23))</f>
        <v>28.800000000000011</v>
      </c>
      <c r="AN23">
        <f t="shared" si="15"/>
        <v>0</v>
      </c>
      <c r="AO23" s="84">
        <f>(AJ23*'Dane dla CWU'!$AB$53+'Dane dla CWU'!$AD$53)/(AJ23*'Dane dla CO'!$P$35+'Dane dla CO'!$Q$35)</f>
        <v>7.0696159122085049</v>
      </c>
      <c r="AP23" s="84">
        <f t="shared" si="16"/>
        <v>10.319026666666666</v>
      </c>
      <c r="AQ23" s="84">
        <f>IF(AJ23&lt;'Dane dla CWU'!$Z$67,0,IF(AO23&gt;1,AP23,AO23*AP23))</f>
        <v>10.319026666666666</v>
      </c>
      <c r="AR23" s="84">
        <f t="shared" si="17"/>
        <v>0</v>
      </c>
      <c r="AT23">
        <v>21</v>
      </c>
      <c r="AU23">
        <v>20</v>
      </c>
      <c r="BA23">
        <v>21</v>
      </c>
      <c r="BB23">
        <v>23</v>
      </c>
      <c r="BH23">
        <v>21</v>
      </c>
      <c r="BI23">
        <v>16</v>
      </c>
      <c r="BO23">
        <v>21</v>
      </c>
      <c r="BP23">
        <v>23</v>
      </c>
      <c r="BV23">
        <v>21</v>
      </c>
      <c r="BW23">
        <v>8</v>
      </c>
      <c r="BX23">
        <f>(BW23*'Dane dla CO'!$AB$53+'Dane dla CO'!$AD$53)/(BW23*'Dane dla CO'!$P$35+'Dane dla CO'!$Q$35)</f>
        <v>2.5462962962962963</v>
      </c>
      <c r="BY23">
        <f>BW23*'Dane dla CO'!$N$96+'Dane dla CO'!$N$97</f>
        <v>57.600000000000009</v>
      </c>
      <c r="BZ23">
        <f>IF(BW23&lt;'Dane dla CO'!$Z$67,0,IF(BX23&gt;1,BY23,BX23*BY23))</f>
        <v>57.600000000000009</v>
      </c>
      <c r="CA23">
        <f t="shared" si="37"/>
        <v>0</v>
      </c>
      <c r="CB23" s="84">
        <f>(BW23*'Dane dla CWU'!$AB$53+'Dane dla CWU'!$AD$53)/(BW23*'Dane dla CO'!$P$35+'Dane dla CO'!$Q$35)</f>
        <v>2.7623456790123457</v>
      </c>
      <c r="CC23" s="84">
        <f t="shared" si="18"/>
        <v>10.319026666666666</v>
      </c>
      <c r="CD23" s="84">
        <f>IF(BW23&lt;'Dane dla CWU'!$Z$67,0,IF(CB23&gt;1,CC23,CB23*CC23))</f>
        <v>10.319026666666666</v>
      </c>
      <c r="CE23" s="84">
        <f t="shared" si="20"/>
        <v>0</v>
      </c>
      <c r="CG23">
        <v>21</v>
      </c>
      <c r="CH23">
        <v>8</v>
      </c>
      <c r="CI23">
        <f>(CH23*'Dane dla CO'!$AB$53+'Dane dla CO'!$AD$53)/(CH23*'Dane dla CO'!$P$35+'Dane dla CO'!$Q$35)</f>
        <v>2.5462962962962963</v>
      </c>
      <c r="CJ23">
        <f>CH23*'Dane dla CO'!$N$96+'Dane dla CO'!$N$97</f>
        <v>57.600000000000009</v>
      </c>
      <c r="CK23">
        <f>IF(CH23&lt;'Dane dla CO'!$Z$67,0,IF(CI23&gt;1,CJ23,CI23*CJ23))</f>
        <v>57.600000000000009</v>
      </c>
      <c r="CL23">
        <f t="shared" si="21"/>
        <v>0</v>
      </c>
      <c r="CM23" s="84">
        <f>(CH23*'Dane dla CWU'!$AB$53+'Dane dla CWU'!$AD$53)/(CH23*'Dane dla CO'!$P$35+'Dane dla CO'!$Q$35)</f>
        <v>2.7623456790123457</v>
      </c>
      <c r="CN23" s="84">
        <f t="shared" si="0"/>
        <v>10.319026666666666</v>
      </c>
      <c r="CO23" s="84">
        <f>IF(CH23&lt;'Dane dla CWU'!$Z$67,0,IF(CM23&gt;1,CN23,CM23*CN23))</f>
        <v>10.319026666666666</v>
      </c>
      <c r="CP23" s="84">
        <f t="shared" si="1"/>
        <v>0</v>
      </c>
      <c r="CR23">
        <v>21</v>
      </c>
      <c r="CS23">
        <v>4</v>
      </c>
      <c r="CT23">
        <f>(CS23*'Dane dla CO'!$AB$53+'Dane dla CO'!$AD$53)/(CS23*'Dane dla CO'!$P$35+'Dane dla CO'!$Q$35)</f>
        <v>1.5810886644219975</v>
      </c>
      <c r="CU23">
        <f>CS23*'Dane dla CO'!$N$96+'Dane dla CO'!$N$97</f>
        <v>86.4</v>
      </c>
      <c r="CV23">
        <f>IF(CS23&lt;'Dane dla CO'!$Z$67,0,IF(CT23&gt;1,CU23,CT23*CU23))</f>
        <v>86.4</v>
      </c>
      <c r="CW23">
        <f t="shared" si="22"/>
        <v>0</v>
      </c>
      <c r="CX23" s="84">
        <f>(CS23*'Dane dla CWU'!$AB$53+'Dane dla CWU'!$AD$53)/(CS23*'Dane dla CO'!$P$35+'Dane dla CO'!$Q$35)</f>
        <v>1.5876356154133928</v>
      </c>
      <c r="CY23" s="84">
        <f t="shared" si="2"/>
        <v>10.319026666666666</v>
      </c>
      <c r="CZ23" s="84">
        <f>IF(CS23&lt;'Dane dla CWU'!$Z$67,0,IF(CX23&gt;1,CY23,CX23*CY23))</f>
        <v>0</v>
      </c>
      <c r="DA23" s="84">
        <f t="shared" si="3"/>
        <v>10.319026666666666</v>
      </c>
      <c r="DC23">
        <v>21</v>
      </c>
      <c r="DD23">
        <v>-5</v>
      </c>
      <c r="DE23">
        <f>(DD23*'Dane dla CO'!$AB$53+'Dane dla CO'!$AD$53)/(DD23*'Dane dla CO'!$P$35+'Dane dla CO'!$Q$35)</f>
        <v>0.82098765432098741</v>
      </c>
      <c r="DF23">
        <f>DD23*'Dane dla CO'!$N$96+'Dane dla CO'!$N$97</f>
        <v>151.20000000000002</v>
      </c>
      <c r="DG23">
        <f>IF(DD23&lt;'Dane dla CO'!$Z$67,0,IF(DE23&gt;1,DF23,DE23*DF23))</f>
        <v>0</v>
      </c>
      <c r="DH23">
        <f t="shared" si="23"/>
        <v>151.20000000000002</v>
      </c>
      <c r="DI23" s="84">
        <f>(DD23*'Dane dla CWU'!$AB$53+'Dane dla CWU'!$AD$53)/(DD23*'Dane dla CO'!$P$35+'Dane dla CO'!$Q$35)</f>
        <v>0.66255144032921798</v>
      </c>
      <c r="DJ23" s="84">
        <f t="shared" si="4"/>
        <v>10.319026666666666</v>
      </c>
      <c r="DK23" s="84">
        <f>IF(DD23&lt;'Dane dla CWU'!$Z$67,0,IF(DI23&gt;1,DJ23,DI23*DJ23))</f>
        <v>0</v>
      </c>
      <c r="DL23" s="84">
        <f t="shared" si="5"/>
        <v>10.319026666666666</v>
      </c>
      <c r="DM23" s="49">
        <v>-6</v>
      </c>
      <c r="DN23" s="94">
        <f>DO23*'Dane dla CO'!$N$80</f>
        <v>599.51020408163276</v>
      </c>
      <c r="DO23" s="94">
        <f>(15-DS23)/35*'Dane dla CO'!$N$75</f>
        <v>5.2457142857142864</v>
      </c>
      <c r="DP23" s="94">
        <f t="shared" si="24"/>
        <v>149.87755102040819</v>
      </c>
      <c r="DQ23" s="51">
        <v>-6</v>
      </c>
      <c r="DR23" s="127">
        <v>4</v>
      </c>
      <c r="DS23" s="127">
        <v>-2</v>
      </c>
      <c r="DT23" s="89">
        <f>Wykresy!Y21</f>
        <v>44.2</v>
      </c>
      <c r="DU23" s="90">
        <f>Wykresy!AE21</f>
        <v>28.400000000000002</v>
      </c>
      <c r="DV23" s="92">
        <f>(($DV$27-$DV$18)/9)*5+$DV$18</f>
        <v>5.166666666666667</v>
      </c>
      <c r="DW23" s="92">
        <f>(($DW$27-$DW$18)/9)*5+$DW$18</f>
        <v>2.318888888888889</v>
      </c>
      <c r="DX23" s="92">
        <f t="shared" si="29"/>
        <v>2.2280785816962148</v>
      </c>
      <c r="DY23" s="86">
        <f>(($DY$27-$DY$18)/9)*5+$DY$18</f>
        <v>6.3444444444444441</v>
      </c>
      <c r="DZ23" s="86">
        <f>(($DZ$27-$DZ$18)/9)*5+$DZ$18</f>
        <v>2.068888888888889</v>
      </c>
      <c r="EA23" s="96">
        <f t="shared" si="30"/>
        <v>3.0665950590762616</v>
      </c>
      <c r="EB23" s="85">
        <f t="shared" si="32"/>
        <v>4</v>
      </c>
      <c r="EC23" s="85">
        <f t="shared" si="26"/>
        <v>3.9610285896821598E-2</v>
      </c>
      <c r="ED23" s="92">
        <f>'Energia 221.A26'!P20</f>
        <v>3.0565129151604</v>
      </c>
      <c r="EE23" s="86">
        <f t="shared" si="33"/>
        <v>4</v>
      </c>
      <c r="EF23" s="86">
        <f t="shared" si="27"/>
        <v>5.4517245494689094E-2</v>
      </c>
      <c r="EG23" s="96">
        <f>'Energia 221.A26'!S20</f>
        <v>4.206765989708126</v>
      </c>
      <c r="EI23" s="127">
        <v>4</v>
      </c>
      <c r="EJ23" s="127">
        <f t="shared" si="25"/>
        <v>36</v>
      </c>
      <c r="EK23" s="127">
        <v>-2</v>
      </c>
      <c r="EL23" s="89">
        <v>55</v>
      </c>
      <c r="EM23" s="92">
        <f t="shared" si="38"/>
        <v>4.522222222222223</v>
      </c>
      <c r="EN23" s="92">
        <f t="shared" si="39"/>
        <v>2.5688888888888894</v>
      </c>
      <c r="EO23" s="92">
        <f t="shared" si="31"/>
        <v>1.7603806228373702</v>
      </c>
      <c r="EP23" s="85">
        <f t="shared" si="36"/>
        <v>4</v>
      </c>
      <c r="EQ23" s="85">
        <f t="shared" si="28"/>
        <v>3.1295655517108806E-2</v>
      </c>
      <c r="ER23" s="92">
        <f>'Energia 221.A26'!V20</f>
        <v>2.3956265910616801</v>
      </c>
    </row>
    <row r="24" spans="1:169">
      <c r="A24" s="162"/>
      <c r="B24">
        <v>22</v>
      </c>
      <c r="C24">
        <v>3</v>
      </c>
      <c r="D24" s="84">
        <f>(C24*'Dane dla CO'!$AB$53+'Dane dla CO'!$AD$53)/(C24*'Dane dla CO'!$P$35+'Dane dla CO'!$Q$35)</f>
        <v>1.4403292181069955</v>
      </c>
      <c r="E24" s="84">
        <f>C24*'Dane dla CO'!$N$96+'Dane dla CO'!$N$97</f>
        <v>93.600000000000023</v>
      </c>
      <c r="F24" s="84">
        <f>IF(C24&lt;'Dane dla CO'!$Z$67,0,IF(D24&gt;1,E24,D24*E24))</f>
        <v>93.600000000000023</v>
      </c>
      <c r="G24" s="84">
        <f t="shared" si="6"/>
        <v>0</v>
      </c>
      <c r="H24" s="84">
        <f>(C24*'Dane dla CWU'!$AB$53+'Dane dla CWU'!$AD$53)/(C24*'Dane dla CO'!$P$35+'Dane dla CO'!$Q$35)</f>
        <v>1.4163237311385457</v>
      </c>
      <c r="I24" s="84">
        <f t="shared" si="7"/>
        <v>10.319026666666666</v>
      </c>
      <c r="J24" s="84">
        <f>IF(C24&lt;'Dane dla CWU'!$Z$67,0,IF(H24&gt;1,I24,H24*I24))</f>
        <v>0</v>
      </c>
      <c r="K24" s="84">
        <f t="shared" si="8"/>
        <v>10.319026666666666</v>
      </c>
      <c r="M24">
        <v>22</v>
      </c>
      <c r="N24">
        <v>5</v>
      </c>
      <c r="O24">
        <f>(N24*'Dane dla CO'!$AB$53+'Dane dla CO'!$AD$53)/(N24*'Dane dla CO'!$P$35+'Dane dla CO'!$Q$35)</f>
        <v>1.75</v>
      </c>
      <c r="P24">
        <f>N24*'Dane dla CO'!$N$96+'Dane dla CO'!$N$97</f>
        <v>79.200000000000017</v>
      </c>
      <c r="Q24">
        <f>IF(N24&lt;'Dane dla CO'!$Z$67,0,IF(O24&gt;1,P24,O24*P24))</f>
        <v>79.200000000000017</v>
      </c>
      <c r="R24">
        <f t="shared" si="9"/>
        <v>0</v>
      </c>
      <c r="S24" s="84">
        <f>(N24*'Dane dla CWU'!$AB$53+'Dane dla CWU'!$AD$53)/(N24*'Dane dla CO'!$P$35+'Dane dla CO'!$Q$35)</f>
        <v>1.7932098765432098</v>
      </c>
      <c r="T24" s="84">
        <f t="shared" si="10"/>
        <v>10.319026666666666</v>
      </c>
      <c r="U24" s="84">
        <f>IF(N24&lt;'Dane dla CWU'!$Z$67,0,IF(S24&gt;1,T24,S24*T24))</f>
        <v>0</v>
      </c>
      <c r="V24" s="84">
        <f t="shared" si="11"/>
        <v>10.319026666666666</v>
      </c>
      <c r="X24">
        <v>22</v>
      </c>
      <c r="Y24">
        <v>10</v>
      </c>
      <c r="Z24">
        <f>(Y24*'Dane dla CO'!$AB$53+'Dane dla CO'!$AD$53)/(Y24*'Dane dla CO'!$P$35+'Dane dla CO'!$Q$35)</f>
        <v>3.6080246913580249</v>
      </c>
      <c r="AA24">
        <f>Y24*'Dane dla CO'!$N$96+'Dane dla CO'!$N$97</f>
        <v>43.2</v>
      </c>
      <c r="AB24">
        <f>IF(Y24&lt;'Dane dla CO'!$Z$67,0,IF(Z24&gt;1,AA24,Z24*AA24))</f>
        <v>43.2</v>
      </c>
      <c r="AC24">
        <f t="shared" si="12"/>
        <v>0</v>
      </c>
      <c r="AD24" s="84">
        <f>(Y24*'Dane dla CWU'!$AB$53+'Dane dla CWU'!$AD$53)/(Y24*'Dane dla CO'!$P$35+'Dane dla CO'!$Q$35)</f>
        <v>4.0545267489711936</v>
      </c>
      <c r="AE24" s="84">
        <f t="shared" si="13"/>
        <v>10.319026666666666</v>
      </c>
      <c r="AF24" s="84">
        <f>IF(Y24&lt;'Dane dla CWU'!$Z$67,0,IF(AD24&gt;1,AE24,AD24*AE24))</f>
        <v>10.319026666666666</v>
      </c>
      <c r="AG24" s="84">
        <f t="shared" si="14"/>
        <v>0</v>
      </c>
      <c r="AI24">
        <v>22</v>
      </c>
      <c r="AJ24">
        <v>12</v>
      </c>
      <c r="AK24">
        <f>(AJ24*'Dane dla CO'!$AB$53+'Dane dla CO'!$AD$53)/(AJ24*'Dane dla CO'!$P$35+'Dane dla CO'!$Q$35)</f>
        <v>6.0853909465020575</v>
      </c>
      <c r="AL24">
        <f>AJ24*'Dane dla CO'!$N$96+'Dane dla CO'!$N$97</f>
        <v>28.800000000000011</v>
      </c>
      <c r="AM24">
        <f>IF(AJ24&lt;'Dane dla CO'!$Z$67,0,IF(AK24&gt;1,AL24,AK24*AL24))</f>
        <v>28.800000000000011</v>
      </c>
      <c r="AN24">
        <f t="shared" si="15"/>
        <v>0</v>
      </c>
      <c r="AO24" s="84">
        <f>(AJ24*'Dane dla CWU'!$AB$53+'Dane dla CWU'!$AD$53)/(AJ24*'Dane dla CO'!$P$35+'Dane dla CO'!$Q$35)</f>
        <v>7.0696159122085049</v>
      </c>
      <c r="AP24" s="84">
        <f t="shared" si="16"/>
        <v>10.319026666666666</v>
      </c>
      <c r="AQ24" s="84">
        <f>IF(AJ24&lt;'Dane dla CWU'!$Z$67,0,IF(AO24&gt;1,AP24,AO24*AP24))</f>
        <v>10.319026666666666</v>
      </c>
      <c r="AR24" s="84">
        <f t="shared" si="17"/>
        <v>0</v>
      </c>
      <c r="AT24">
        <v>22</v>
      </c>
      <c r="AU24">
        <v>21</v>
      </c>
      <c r="BA24">
        <v>22</v>
      </c>
      <c r="BB24">
        <v>20</v>
      </c>
      <c r="BH24">
        <v>22</v>
      </c>
      <c r="BI24">
        <v>16</v>
      </c>
      <c r="BO24">
        <v>22</v>
      </c>
      <c r="BP24">
        <v>23</v>
      </c>
      <c r="BV24">
        <v>22</v>
      </c>
      <c r="BW24">
        <v>9</v>
      </c>
      <c r="BX24">
        <f>(BW24*'Dane dla CO'!$AB$53+'Dane dla CO'!$AD$53)/(BW24*'Dane dla CO'!$P$35+'Dane dla CO'!$Q$35)</f>
        <v>2.9886831275720165</v>
      </c>
      <c r="BY24">
        <f>BW24*'Dane dla CO'!$N$96+'Dane dla CO'!$N$97</f>
        <v>50.400000000000006</v>
      </c>
      <c r="BZ24">
        <f>IF(BW24&lt;'Dane dla CO'!$Z$67,0,IF(BX24&gt;1,BY24,BX24*BY24))</f>
        <v>50.400000000000006</v>
      </c>
      <c r="CA24">
        <f t="shared" si="37"/>
        <v>0</v>
      </c>
      <c r="CB24" s="84">
        <f>(BW24*'Dane dla CWU'!$AB$53+'Dane dla CWU'!$AD$53)/(BW24*'Dane dla CO'!$P$35+'Dane dla CO'!$Q$35)</f>
        <v>3.3007544581618653</v>
      </c>
      <c r="CC24" s="84">
        <f t="shared" si="18"/>
        <v>10.319026666666666</v>
      </c>
      <c r="CD24" s="84">
        <f>IF(BW24&lt;'Dane dla CWU'!$Z$67,0,IF(CB24&gt;1,CC24,CB24*CC24))</f>
        <v>10.319026666666666</v>
      </c>
      <c r="CE24" s="84">
        <f t="shared" si="20"/>
        <v>0</v>
      </c>
      <c r="CG24">
        <v>22</v>
      </c>
      <c r="CH24">
        <v>9</v>
      </c>
      <c r="CI24">
        <f>(CH24*'Dane dla CO'!$AB$53+'Dane dla CO'!$AD$53)/(CH24*'Dane dla CO'!$P$35+'Dane dla CO'!$Q$35)</f>
        <v>2.9886831275720165</v>
      </c>
      <c r="CJ24">
        <f>CH24*'Dane dla CO'!$N$96+'Dane dla CO'!$N$97</f>
        <v>50.400000000000006</v>
      </c>
      <c r="CK24">
        <f>IF(CH24&lt;'Dane dla CO'!$Z$67,0,IF(CI24&gt;1,CJ24,CI24*CJ24))</f>
        <v>50.400000000000006</v>
      </c>
      <c r="CL24">
        <f t="shared" si="21"/>
        <v>0</v>
      </c>
      <c r="CM24" s="84">
        <f>(CH24*'Dane dla CWU'!$AB$53+'Dane dla CWU'!$AD$53)/(CH24*'Dane dla CO'!$P$35+'Dane dla CO'!$Q$35)</f>
        <v>3.3007544581618653</v>
      </c>
      <c r="CN24" s="84">
        <f t="shared" si="0"/>
        <v>10.319026666666666</v>
      </c>
      <c r="CO24" s="84">
        <f>IF(CH24&lt;'Dane dla CWU'!$Z$67,0,IF(CM24&gt;1,CN24,CM24*CN24))</f>
        <v>10.319026666666666</v>
      </c>
      <c r="CP24" s="84">
        <f t="shared" si="1"/>
        <v>0</v>
      </c>
      <c r="CR24">
        <v>22</v>
      </c>
      <c r="CS24">
        <v>5</v>
      </c>
      <c r="CT24">
        <f>(CS24*'Dane dla CO'!$AB$53+'Dane dla CO'!$AD$53)/(CS24*'Dane dla CO'!$P$35+'Dane dla CO'!$Q$35)</f>
        <v>1.75</v>
      </c>
      <c r="CU24">
        <f>CS24*'Dane dla CO'!$N$96+'Dane dla CO'!$N$97</f>
        <v>79.200000000000017</v>
      </c>
      <c r="CV24">
        <f>IF(CS24&lt;'Dane dla CO'!$Z$67,0,IF(CT24&gt;1,CU24,CT24*CU24))</f>
        <v>79.200000000000017</v>
      </c>
      <c r="CW24">
        <f t="shared" si="22"/>
        <v>0</v>
      </c>
      <c r="CX24" s="84">
        <f>(CS24*'Dane dla CWU'!$AB$53+'Dane dla CWU'!$AD$53)/(CS24*'Dane dla CO'!$P$35+'Dane dla CO'!$Q$35)</f>
        <v>1.7932098765432098</v>
      </c>
      <c r="CY24" s="84">
        <f t="shared" si="2"/>
        <v>10.319026666666666</v>
      </c>
      <c r="CZ24" s="84">
        <f>IF(CS24&lt;'Dane dla CWU'!$Z$67,0,IF(CX24&gt;1,CY24,CX24*CY24))</f>
        <v>0</v>
      </c>
      <c r="DA24" s="84">
        <f t="shared" si="3"/>
        <v>10.319026666666666</v>
      </c>
      <c r="DC24">
        <v>22</v>
      </c>
      <c r="DD24">
        <v>-4</v>
      </c>
      <c r="DE24">
        <f>(DD24*'Dane dla CO'!$AB$53+'Dane dla CO'!$AD$53)/(DD24*'Dane dla CO'!$P$35+'Dane dla CO'!$Q$35)</f>
        <v>0.86988304093567259</v>
      </c>
      <c r="DF24">
        <f>DD24*'Dane dla CO'!$N$96+'Dane dla CO'!$N$97</f>
        <v>144.00000000000003</v>
      </c>
      <c r="DG24">
        <f>IF(DD24&lt;'Dane dla CO'!$Z$67,0,IF(DE24&gt;1,DF24,DE24*DF24))</f>
        <v>0</v>
      </c>
      <c r="DH24">
        <f t="shared" si="23"/>
        <v>144.00000000000003</v>
      </c>
      <c r="DI24" s="84">
        <f>(DD24*'Dane dla CWU'!$AB$53+'Dane dla CWU'!$AD$53)/(DD24*'Dane dla CO'!$P$35+'Dane dla CO'!$Q$35)</f>
        <v>0.72205977907732288</v>
      </c>
      <c r="DJ24" s="84">
        <f t="shared" si="4"/>
        <v>10.319026666666666</v>
      </c>
      <c r="DK24" s="84">
        <f>IF(DD24&lt;'Dane dla CWU'!$Z$67,0,IF(DI24&gt;1,DJ24,DI24*DJ24))</f>
        <v>0</v>
      </c>
      <c r="DL24" s="84">
        <f t="shared" si="5"/>
        <v>10.319026666666666</v>
      </c>
      <c r="DM24" s="49">
        <v>-5</v>
      </c>
      <c r="DN24" s="94">
        <f>DO24*'Dane dla CO'!$N$80</f>
        <v>564.24489795918373</v>
      </c>
      <c r="DO24" s="94">
        <f>(15-DS24)/35*'Dane dla CO'!$N$75</f>
        <v>4.9371428571428577</v>
      </c>
      <c r="DP24" s="94">
        <f t="shared" si="24"/>
        <v>70.530612244897966</v>
      </c>
      <c r="DQ24" s="51">
        <v>-5</v>
      </c>
      <c r="DR24" s="127">
        <v>8</v>
      </c>
      <c r="DS24" s="127">
        <v>-1</v>
      </c>
      <c r="DT24" s="89">
        <f>Wykresy!Y22</f>
        <v>43.6</v>
      </c>
      <c r="DU24" s="90">
        <f>Wykresy!AE22</f>
        <v>28.033333333333335</v>
      </c>
      <c r="DV24" s="92">
        <f>(($DV$27-$DV$18)/9)*6+$DV$18</f>
        <v>5.2</v>
      </c>
      <c r="DW24" s="92">
        <f>(($DW$27-$DW$18)/9)*6+$DW$18</f>
        <v>2.2866666666666666</v>
      </c>
      <c r="DX24" s="92">
        <f t="shared" si="29"/>
        <v>2.2740524781341107</v>
      </c>
      <c r="DY24" s="86">
        <f>(($DY$27-$DY$18)/9)*6+$DY$18</f>
        <v>6.333333333333333</v>
      </c>
      <c r="DZ24" s="86">
        <f>(($DZ$27-$DZ$18)/9)*6+$DZ$18</f>
        <v>1.9766666666666666</v>
      </c>
      <c r="EA24" s="96">
        <f t="shared" si="30"/>
        <v>3.2040472175379429</v>
      </c>
      <c r="EB24" s="85">
        <f t="shared" si="32"/>
        <v>8</v>
      </c>
      <c r="EC24" s="85">
        <f t="shared" si="26"/>
        <v>8.0855199222546165E-2</v>
      </c>
      <c r="ED24" s="92">
        <f>'Energia 221.A26'!P21</f>
        <v>3.0873702726407011</v>
      </c>
      <c r="EE24" s="86">
        <f t="shared" si="33"/>
        <v>8</v>
      </c>
      <c r="EF24" s="86">
        <f t="shared" si="27"/>
        <v>0.11392167884579352</v>
      </c>
      <c r="EG24" s="96">
        <f>'Energia 221.A26'!S21</f>
        <v>4.249234850031713</v>
      </c>
      <c r="EI24" s="127">
        <v>8</v>
      </c>
      <c r="EJ24" s="127">
        <f t="shared" si="25"/>
        <v>44</v>
      </c>
      <c r="EK24" s="127">
        <v>-1</v>
      </c>
      <c r="EL24" s="89">
        <v>55</v>
      </c>
      <c r="EM24" s="92">
        <f t="shared" si="38"/>
        <v>4.6666666666666679</v>
      </c>
      <c r="EN24" s="92">
        <f t="shared" si="39"/>
        <v>2.5866666666666673</v>
      </c>
      <c r="EO24" s="92">
        <f t="shared" si="31"/>
        <v>1.8041237113402062</v>
      </c>
      <c r="EP24" s="85">
        <f t="shared" si="36"/>
        <v>8</v>
      </c>
      <c r="EQ24" s="85">
        <f t="shared" si="28"/>
        <v>6.414662084765177E-2</v>
      </c>
      <c r="ER24" s="92">
        <f>'Energia 221.A26'!V21</f>
        <v>2.4033265421916714</v>
      </c>
    </row>
    <row r="25" spans="1:169">
      <c r="A25" s="162"/>
      <c r="B25">
        <v>23</v>
      </c>
      <c r="C25">
        <v>3</v>
      </c>
      <c r="D25" s="84">
        <f>(C25*'Dane dla CO'!$AB$53+'Dane dla CO'!$AD$53)/(C25*'Dane dla CO'!$P$35+'Dane dla CO'!$Q$35)</f>
        <v>1.4403292181069955</v>
      </c>
      <c r="E25" s="84">
        <f>C25*'Dane dla CO'!$N$96+'Dane dla CO'!$N$97</f>
        <v>93.600000000000023</v>
      </c>
      <c r="F25" s="84">
        <f>IF(C25&lt;'Dane dla CO'!$Z$67,0,IF(D25&gt;1,E25,D25*E25))</f>
        <v>93.600000000000023</v>
      </c>
      <c r="G25" s="84">
        <f t="shared" si="6"/>
        <v>0</v>
      </c>
      <c r="H25" s="84">
        <f>(C25*'Dane dla CWU'!$AB$53+'Dane dla CWU'!$AD$53)/(C25*'Dane dla CO'!$P$35+'Dane dla CO'!$Q$35)</f>
        <v>1.4163237311385457</v>
      </c>
      <c r="I25" s="84">
        <f t="shared" si="7"/>
        <v>10.319026666666666</v>
      </c>
      <c r="J25" s="84">
        <f>IF(C25&lt;'Dane dla CWU'!$Z$67,0,IF(H25&gt;1,I25,H25*I25))</f>
        <v>0</v>
      </c>
      <c r="K25" s="84">
        <f t="shared" si="8"/>
        <v>10.319026666666666</v>
      </c>
      <c r="M25">
        <v>23</v>
      </c>
      <c r="N25">
        <v>5</v>
      </c>
      <c r="O25">
        <f>(N25*'Dane dla CO'!$AB$53+'Dane dla CO'!$AD$53)/(N25*'Dane dla CO'!$P$35+'Dane dla CO'!$Q$35)</f>
        <v>1.75</v>
      </c>
      <c r="P25">
        <f>N25*'Dane dla CO'!$N$96+'Dane dla CO'!$N$97</f>
        <v>79.200000000000017</v>
      </c>
      <c r="Q25">
        <f>IF(N25&lt;'Dane dla CO'!$Z$67,0,IF(O25&gt;1,P25,O25*P25))</f>
        <v>79.200000000000017</v>
      </c>
      <c r="R25">
        <f t="shared" si="9"/>
        <v>0</v>
      </c>
      <c r="S25" s="84">
        <f>(N25*'Dane dla CWU'!$AB$53+'Dane dla CWU'!$AD$53)/(N25*'Dane dla CO'!$P$35+'Dane dla CO'!$Q$35)</f>
        <v>1.7932098765432098</v>
      </c>
      <c r="T25" s="84">
        <f t="shared" si="10"/>
        <v>10.319026666666666</v>
      </c>
      <c r="U25" s="84">
        <f>IF(N25&lt;'Dane dla CWU'!$Z$67,0,IF(S25&gt;1,T25,S25*T25))</f>
        <v>0</v>
      </c>
      <c r="V25" s="84">
        <f t="shared" si="11"/>
        <v>10.319026666666666</v>
      </c>
      <c r="X25">
        <v>23</v>
      </c>
      <c r="Y25">
        <v>8</v>
      </c>
      <c r="Z25">
        <f>(Y25*'Dane dla CO'!$AB$53+'Dane dla CO'!$AD$53)/(Y25*'Dane dla CO'!$P$35+'Dane dla CO'!$Q$35)</f>
        <v>2.5462962962962963</v>
      </c>
      <c r="AA25">
        <f>Y25*'Dane dla CO'!$N$96+'Dane dla CO'!$N$97</f>
        <v>57.600000000000009</v>
      </c>
      <c r="AB25">
        <f>IF(Y25&lt;'Dane dla CO'!$Z$67,0,IF(Z25&gt;1,AA25,Z25*AA25))</f>
        <v>57.600000000000009</v>
      </c>
      <c r="AC25">
        <f t="shared" si="12"/>
        <v>0</v>
      </c>
      <c r="AD25" s="84">
        <f>(Y25*'Dane dla CWU'!$AB$53+'Dane dla CWU'!$AD$53)/(Y25*'Dane dla CO'!$P$35+'Dane dla CO'!$Q$35)</f>
        <v>2.7623456790123457</v>
      </c>
      <c r="AE25" s="84">
        <f t="shared" si="13"/>
        <v>10.319026666666666</v>
      </c>
      <c r="AF25" s="84">
        <f>IF(Y25&lt;'Dane dla CWU'!$Z$67,0,IF(AD25&gt;1,AE25,AD25*AE25))</f>
        <v>10.319026666666666</v>
      </c>
      <c r="AG25" s="84">
        <f t="shared" si="14"/>
        <v>0</v>
      </c>
      <c r="AI25">
        <v>23</v>
      </c>
      <c r="AJ25">
        <v>13</v>
      </c>
      <c r="AK25">
        <f>(AJ25*'Dane dla CO'!$AB$53+'Dane dla CO'!$AD$53)/(AJ25*'Dane dla CO'!$P$35+'Dane dla CO'!$Q$35)</f>
        <v>9.1820987654320927</v>
      </c>
      <c r="AL25">
        <f>AJ25*'Dane dla CO'!$N$96+'Dane dla CO'!$N$97</f>
        <v>21.600000000000009</v>
      </c>
      <c r="AM25">
        <f>IF(AJ25&lt;'Dane dla CO'!$Z$67,0,IF(AK25&gt;1,AL25,AK25*AL25))</f>
        <v>21.600000000000009</v>
      </c>
      <c r="AN25">
        <f t="shared" si="15"/>
        <v>0</v>
      </c>
      <c r="AO25" s="84">
        <f>(AJ25*'Dane dla CWU'!$AB$53+'Dane dla CWU'!$AD$53)/(AJ25*'Dane dla CO'!$P$35+'Dane dla CO'!$Q$35)</f>
        <v>10.838477366255137</v>
      </c>
      <c r="AP25" s="84">
        <f t="shared" si="16"/>
        <v>10.319026666666666</v>
      </c>
      <c r="AQ25" s="84">
        <f>IF(AJ25&lt;'Dane dla CWU'!$Z$67,0,IF(AO25&gt;1,AP25,AO25*AP25))</f>
        <v>10.319026666666666</v>
      </c>
      <c r="AR25" s="84">
        <f t="shared" si="17"/>
        <v>0</v>
      </c>
      <c r="AT25">
        <v>23</v>
      </c>
      <c r="AU25">
        <v>21</v>
      </c>
      <c r="BA25">
        <v>23</v>
      </c>
      <c r="BB25">
        <v>20</v>
      </c>
      <c r="BH25">
        <v>23</v>
      </c>
      <c r="BI25">
        <v>17</v>
      </c>
      <c r="BO25">
        <v>23</v>
      </c>
      <c r="BP25">
        <v>22</v>
      </c>
      <c r="BV25">
        <v>23</v>
      </c>
      <c r="BW25">
        <v>10</v>
      </c>
      <c r="BX25">
        <f>(BW25*'Dane dla CO'!$AB$53+'Dane dla CO'!$AD$53)/(BW25*'Dane dla CO'!$P$35+'Dane dla CO'!$Q$35)</f>
        <v>3.6080246913580249</v>
      </c>
      <c r="BY25">
        <f>BW25*'Dane dla CO'!$N$96+'Dane dla CO'!$N$97</f>
        <v>43.2</v>
      </c>
      <c r="BZ25">
        <f>IF(BW25&lt;'Dane dla CO'!$Z$67,0,IF(BX25&gt;1,BY25,BX25*BY25))</f>
        <v>43.2</v>
      </c>
      <c r="CA25">
        <f t="shared" si="37"/>
        <v>0</v>
      </c>
      <c r="CB25" s="84">
        <f>(BW25*'Dane dla CWU'!$AB$53+'Dane dla CWU'!$AD$53)/(BW25*'Dane dla CO'!$P$35+'Dane dla CO'!$Q$35)</f>
        <v>4.0545267489711936</v>
      </c>
      <c r="CC25" s="84">
        <f t="shared" si="18"/>
        <v>10.319026666666666</v>
      </c>
      <c r="CD25" s="84">
        <f>IF(BW25&lt;'Dane dla CWU'!$Z$67,0,IF(CB25&gt;1,CC25,CB25*CC25))</f>
        <v>10.319026666666666</v>
      </c>
      <c r="CE25" s="84">
        <f t="shared" si="20"/>
        <v>0</v>
      </c>
      <c r="CG25">
        <v>23</v>
      </c>
      <c r="CH25">
        <v>9</v>
      </c>
      <c r="CI25">
        <f>(CH25*'Dane dla CO'!$AB$53+'Dane dla CO'!$AD$53)/(CH25*'Dane dla CO'!$P$35+'Dane dla CO'!$Q$35)</f>
        <v>2.9886831275720165</v>
      </c>
      <c r="CJ25">
        <f>CH25*'Dane dla CO'!$N$96+'Dane dla CO'!$N$97</f>
        <v>50.400000000000006</v>
      </c>
      <c r="CK25">
        <f>IF(CH25&lt;'Dane dla CO'!$Z$67,0,IF(CI25&gt;1,CJ25,CI25*CJ25))</f>
        <v>50.400000000000006</v>
      </c>
      <c r="CL25">
        <f t="shared" si="21"/>
        <v>0</v>
      </c>
      <c r="CM25" s="84">
        <f>(CH25*'Dane dla CWU'!$AB$53+'Dane dla CWU'!$AD$53)/(CH25*'Dane dla CO'!$P$35+'Dane dla CO'!$Q$35)</f>
        <v>3.3007544581618653</v>
      </c>
      <c r="CN25" s="84">
        <f t="shared" si="0"/>
        <v>10.319026666666666</v>
      </c>
      <c r="CO25" s="84">
        <f>IF(CH25&lt;'Dane dla CWU'!$Z$67,0,IF(CM25&gt;1,CN25,CM25*CN25))</f>
        <v>10.319026666666666</v>
      </c>
      <c r="CP25" s="84">
        <f t="shared" si="1"/>
        <v>0</v>
      </c>
      <c r="CR25">
        <v>23</v>
      </c>
      <c r="CS25">
        <v>6</v>
      </c>
      <c r="CT25">
        <f>(CS25*'Dane dla CO'!$AB$53+'Dane dla CO'!$AD$53)/(CS25*'Dane dla CO'!$P$35+'Dane dla CO'!$Q$35)</f>
        <v>1.9564471879286691</v>
      </c>
      <c r="CU25">
        <f>CS25*'Dane dla CO'!$N$96+'Dane dla CO'!$N$97</f>
        <v>72.000000000000014</v>
      </c>
      <c r="CV25">
        <f>IF(CS25&lt;'Dane dla CO'!$Z$67,0,IF(CT25&gt;1,CU25,CT25*CU25))</f>
        <v>72.000000000000014</v>
      </c>
      <c r="CW25">
        <f t="shared" si="22"/>
        <v>0</v>
      </c>
      <c r="CX25" s="84">
        <f>(CS25*'Dane dla CWU'!$AB$53+'Dane dla CWU'!$AD$53)/(CS25*'Dane dla CO'!$P$35+'Dane dla CO'!$Q$35)</f>
        <v>2.0444673068129853</v>
      </c>
      <c r="CY25" s="84">
        <f t="shared" si="2"/>
        <v>10.319026666666666</v>
      </c>
      <c r="CZ25" s="84">
        <f>IF(CS25&lt;'Dane dla CWU'!$Z$67,0,IF(CX25&gt;1,CY25,CX25*CY25))</f>
        <v>0</v>
      </c>
      <c r="DA25" s="84">
        <f t="shared" si="3"/>
        <v>10.319026666666666</v>
      </c>
      <c r="DC25">
        <v>23</v>
      </c>
      <c r="DD25">
        <v>-2</v>
      </c>
      <c r="DE25">
        <f>(DD25*'Dane dla CO'!$AB$53+'Dane dla CO'!$AD$53)/(DD25*'Dane dla CO'!$P$35+'Dane dla CO'!$Q$35)</f>
        <v>0.98493100944081324</v>
      </c>
      <c r="DF25">
        <f>DD25*'Dane dla CO'!$N$96+'Dane dla CO'!$N$97</f>
        <v>129.60000000000002</v>
      </c>
      <c r="DG25">
        <f>IF(DD25&lt;'Dane dla CO'!$Z$67,0,IF(DE25&gt;1,DF25,DE25*DF25))</f>
        <v>127.64705882352942</v>
      </c>
      <c r="DH25">
        <f t="shared" si="23"/>
        <v>1.9529411764706026</v>
      </c>
      <c r="DI25" s="84">
        <f>(DD25*'Dane dla CWU'!$AB$53+'Dane dla CWU'!$AD$53)/(DD25*'Dane dla CO'!$P$35+'Dane dla CO'!$Q$35)</f>
        <v>0.86207939966109892</v>
      </c>
      <c r="DJ25" s="84">
        <f t="shared" si="4"/>
        <v>10.319026666666666</v>
      </c>
      <c r="DK25" s="84">
        <f>IF(DD25&lt;'Dane dla CWU'!$Z$67,0,IF(DI25&gt;1,DJ25,DI25*DJ25))</f>
        <v>0</v>
      </c>
      <c r="DL25" s="84">
        <f t="shared" si="5"/>
        <v>10.319026666666666</v>
      </c>
      <c r="DM25" s="49">
        <v>-5</v>
      </c>
      <c r="DN25" s="94">
        <f>DO25*'Dane dla CO'!$N$80</f>
        <v>528.97959183673481</v>
      </c>
      <c r="DO25" s="94">
        <f>(15-DS25)/35*'Dane dla CO'!$N$75</f>
        <v>4.628571428571429</v>
      </c>
      <c r="DP25" s="94">
        <f t="shared" si="24"/>
        <v>31.116446578631461</v>
      </c>
      <c r="DQ25" s="51">
        <v>-5</v>
      </c>
      <c r="DR25" s="127">
        <v>17</v>
      </c>
      <c r="DS25" s="127">
        <v>0</v>
      </c>
      <c r="DT25" s="89">
        <f>Wykresy!Y23</f>
        <v>43</v>
      </c>
      <c r="DU25" s="90">
        <f>Wykresy!AE23</f>
        <v>27.666666666666668</v>
      </c>
      <c r="DV25" s="92">
        <f>(($DV$27-$DV$18)/9)*7+$DV$18</f>
        <v>5.2333333333333334</v>
      </c>
      <c r="DW25" s="92">
        <f>(($DW$27-$DW$18)/9)*7+$DW$18</f>
        <v>2.2544444444444443</v>
      </c>
      <c r="DX25" s="92">
        <f t="shared" si="29"/>
        <v>2.32134056185313</v>
      </c>
      <c r="DY25" s="86">
        <f>(($DY$27-$DY$18)/9)*7+$DY$18</f>
        <v>6.322222222222222</v>
      </c>
      <c r="DZ25" s="86">
        <f>(($DZ$27-$DZ$18)/9)*7+$DZ$18</f>
        <v>1.8844444444444444</v>
      </c>
      <c r="EA25" s="96">
        <f t="shared" si="30"/>
        <v>3.3549528301886791</v>
      </c>
      <c r="EB25" s="85">
        <f t="shared" si="32"/>
        <v>17</v>
      </c>
      <c r="EC25" s="85">
        <f t="shared" si="26"/>
        <v>0.1753901757844587</v>
      </c>
      <c r="ED25" s="92">
        <f>'Energia 221.A26'!P22</f>
        <v>3.1489235392255073</v>
      </c>
      <c r="EE25" s="86">
        <f t="shared" si="33"/>
        <v>17</v>
      </c>
      <c r="EF25" s="86">
        <f t="shared" si="27"/>
        <v>0.25348532494758907</v>
      </c>
      <c r="EG25" s="96">
        <f>'Energia 221.A26'!S22</f>
        <v>4.3283364182115429</v>
      </c>
      <c r="EI25" s="127">
        <v>17</v>
      </c>
      <c r="EJ25" s="127">
        <f t="shared" si="25"/>
        <v>61</v>
      </c>
      <c r="EK25" s="127">
        <v>0</v>
      </c>
      <c r="EL25" s="89">
        <v>55</v>
      </c>
      <c r="EM25" s="92">
        <f t="shared" si="38"/>
        <v>4.8111111111111127</v>
      </c>
      <c r="EN25" s="92">
        <f t="shared" si="39"/>
        <v>2.6044444444444452</v>
      </c>
      <c r="EO25" s="92">
        <f t="shared" si="31"/>
        <v>1.8472696245733788</v>
      </c>
      <c r="EP25" s="85">
        <f t="shared" si="36"/>
        <v>17</v>
      </c>
      <c r="EQ25" s="85">
        <f t="shared" si="28"/>
        <v>0.13957148274554418</v>
      </c>
      <c r="ER25" s="92">
        <f>'Energia 221.A26'!V22</f>
        <v>2.4182135690451241</v>
      </c>
    </row>
    <row r="26" spans="1:169">
      <c r="A26" s="162"/>
      <c r="B26">
        <v>24</v>
      </c>
      <c r="C26">
        <v>1</v>
      </c>
      <c r="D26" s="84">
        <f>(C26*'Dane dla CO'!$AB$53+'Dane dla CO'!$AD$53)/(C26*'Dane dla CO'!$P$35+'Dane dla CO'!$Q$35)</f>
        <v>1.2191358024691357</v>
      </c>
      <c r="E26" s="84">
        <f>C26*'Dane dla CO'!$N$96+'Dane dla CO'!$N$97</f>
        <v>108.00000000000001</v>
      </c>
      <c r="F26" s="84">
        <f>IF(C26&lt;'Dane dla CO'!$Z$67,0,IF(D26&gt;1,E26,D26*E26))</f>
        <v>108.00000000000001</v>
      </c>
      <c r="G26" s="84">
        <f t="shared" si="6"/>
        <v>0</v>
      </c>
      <c r="H26" s="84">
        <f>(C26*'Dane dla CWU'!$AB$53+'Dane dla CWU'!$AD$53)/(C26*'Dane dla CO'!$P$35+'Dane dla CO'!$Q$35)</f>
        <v>1.1471193415637859</v>
      </c>
      <c r="I26" s="84">
        <f t="shared" si="7"/>
        <v>10.319026666666666</v>
      </c>
      <c r="J26" s="84">
        <f>IF(C26&lt;'Dane dla CWU'!$Z$67,0,IF(H26&gt;1,I26,H26*I26))</f>
        <v>0</v>
      </c>
      <c r="K26" s="84">
        <f t="shared" si="8"/>
        <v>10.319026666666666</v>
      </c>
      <c r="M26">
        <v>24</v>
      </c>
      <c r="N26">
        <v>8</v>
      </c>
      <c r="O26">
        <f>(N26*'Dane dla CO'!$AB$53+'Dane dla CO'!$AD$53)/(N26*'Dane dla CO'!$P$35+'Dane dla CO'!$Q$35)</f>
        <v>2.5462962962962963</v>
      </c>
      <c r="P26">
        <f>N26*'Dane dla CO'!$N$96+'Dane dla CO'!$N$97</f>
        <v>57.600000000000009</v>
      </c>
      <c r="Q26">
        <f>IF(N26&lt;'Dane dla CO'!$Z$67,0,IF(O26&gt;1,P26,O26*P26))</f>
        <v>57.600000000000009</v>
      </c>
      <c r="R26">
        <f t="shared" si="9"/>
        <v>0</v>
      </c>
      <c r="S26" s="84">
        <f>(N26*'Dane dla CWU'!$AB$53+'Dane dla CWU'!$AD$53)/(N26*'Dane dla CO'!$P$35+'Dane dla CO'!$Q$35)</f>
        <v>2.7623456790123457</v>
      </c>
      <c r="T26" s="84">
        <f t="shared" si="10"/>
        <v>10.319026666666666</v>
      </c>
      <c r="U26" s="84">
        <f>IF(N26&lt;'Dane dla CWU'!$Z$67,0,IF(S26&gt;1,T26,S26*T26))</f>
        <v>10.319026666666666</v>
      </c>
      <c r="V26" s="84">
        <f t="shared" si="11"/>
        <v>0</v>
      </c>
      <c r="X26">
        <v>24</v>
      </c>
      <c r="Y26">
        <v>9</v>
      </c>
      <c r="Z26">
        <f>(Y26*'Dane dla CO'!$AB$53+'Dane dla CO'!$AD$53)/(Y26*'Dane dla CO'!$P$35+'Dane dla CO'!$Q$35)</f>
        <v>2.9886831275720165</v>
      </c>
      <c r="AA26">
        <f>Y26*'Dane dla CO'!$N$96+'Dane dla CO'!$N$97</f>
        <v>50.400000000000006</v>
      </c>
      <c r="AB26">
        <f>IF(Y26&lt;'Dane dla CO'!$Z$67,0,IF(Z26&gt;1,AA26,Z26*AA26))</f>
        <v>50.400000000000006</v>
      </c>
      <c r="AC26">
        <f t="shared" si="12"/>
        <v>0</v>
      </c>
      <c r="AD26" s="84">
        <f>(Y26*'Dane dla CWU'!$AB$53+'Dane dla CWU'!$AD$53)/(Y26*'Dane dla CO'!$P$35+'Dane dla CO'!$Q$35)</f>
        <v>3.3007544581618653</v>
      </c>
      <c r="AE26" s="84">
        <f t="shared" si="13"/>
        <v>10.319026666666666</v>
      </c>
      <c r="AF26" s="84">
        <f>IF(Y26&lt;'Dane dla CWU'!$Z$67,0,IF(AD26&gt;1,AE26,AD26*AE26))</f>
        <v>10.319026666666666</v>
      </c>
      <c r="AG26" s="84">
        <f t="shared" si="14"/>
        <v>0</v>
      </c>
      <c r="AI26">
        <v>24</v>
      </c>
      <c r="AJ26">
        <v>13</v>
      </c>
      <c r="AK26">
        <f>(AJ26*'Dane dla CO'!$AB$53+'Dane dla CO'!$AD$53)/(AJ26*'Dane dla CO'!$P$35+'Dane dla CO'!$Q$35)</f>
        <v>9.1820987654320927</v>
      </c>
      <c r="AL26">
        <f>AJ26*'Dane dla CO'!$N$96+'Dane dla CO'!$N$97</f>
        <v>21.600000000000009</v>
      </c>
      <c r="AM26">
        <f>IF(AJ26&lt;'Dane dla CO'!$Z$67,0,IF(AK26&gt;1,AL26,AK26*AL26))</f>
        <v>21.600000000000009</v>
      </c>
      <c r="AN26">
        <f t="shared" si="15"/>
        <v>0</v>
      </c>
      <c r="AO26" s="84">
        <f>(AJ26*'Dane dla CWU'!$AB$53+'Dane dla CWU'!$AD$53)/(AJ26*'Dane dla CO'!$P$35+'Dane dla CO'!$Q$35)</f>
        <v>10.838477366255137</v>
      </c>
      <c r="AP26" s="84">
        <f t="shared" si="16"/>
        <v>10.319026666666666</v>
      </c>
      <c r="AQ26" s="84">
        <f>IF(AJ26&lt;'Dane dla CWU'!$Z$67,0,IF(AO26&gt;1,AP26,AO26*AP26))</f>
        <v>10.319026666666666</v>
      </c>
      <c r="AR26" s="84">
        <f t="shared" si="17"/>
        <v>0</v>
      </c>
      <c r="AT26">
        <v>24</v>
      </c>
      <c r="AU26">
        <v>20</v>
      </c>
      <c r="BA26">
        <v>24</v>
      </c>
      <c r="BB26">
        <v>21</v>
      </c>
      <c r="BH26">
        <v>24</v>
      </c>
      <c r="BI26">
        <v>19</v>
      </c>
      <c r="BO26">
        <v>24</v>
      </c>
      <c r="BP26">
        <v>22</v>
      </c>
      <c r="BV26">
        <v>24</v>
      </c>
      <c r="BW26">
        <v>13</v>
      </c>
      <c r="BX26">
        <f>(BW26*'Dane dla CO'!$AB$53+'Dane dla CO'!$AD$53)/(BW26*'Dane dla CO'!$P$35+'Dane dla CO'!$Q$35)</f>
        <v>9.1820987654320927</v>
      </c>
      <c r="BY26">
        <f>BW26*'Dane dla CO'!$N$96+'Dane dla CO'!$N$97</f>
        <v>21.600000000000009</v>
      </c>
      <c r="BZ26">
        <f>IF(BW26&lt;'Dane dla CO'!$Z$67,0,IF(BX26&gt;1,BY26,BX26*BY26))</f>
        <v>21.600000000000009</v>
      </c>
      <c r="CA26">
        <f t="shared" si="37"/>
        <v>0</v>
      </c>
      <c r="CB26" s="84">
        <f>(BW26*'Dane dla CWU'!$AB$53+'Dane dla CWU'!$AD$53)/(BW26*'Dane dla CO'!$P$35+'Dane dla CO'!$Q$35)</f>
        <v>10.838477366255137</v>
      </c>
      <c r="CC26" s="84">
        <f t="shared" si="18"/>
        <v>10.319026666666666</v>
      </c>
      <c r="CD26" s="84">
        <f>IF(BW26&lt;'Dane dla CWU'!$Z$67,0,IF(CB26&gt;1,CC26,CB26*CC26))</f>
        <v>10.319026666666666</v>
      </c>
      <c r="CE26" s="84">
        <f t="shared" si="20"/>
        <v>0</v>
      </c>
      <c r="CG26">
        <v>24</v>
      </c>
      <c r="CH26">
        <v>8</v>
      </c>
      <c r="CI26">
        <f>(CH26*'Dane dla CO'!$AB$53+'Dane dla CO'!$AD$53)/(CH26*'Dane dla CO'!$P$35+'Dane dla CO'!$Q$35)</f>
        <v>2.5462962962962963</v>
      </c>
      <c r="CJ26">
        <f>CH26*'Dane dla CO'!$N$96+'Dane dla CO'!$N$97</f>
        <v>57.600000000000009</v>
      </c>
      <c r="CK26">
        <f>IF(CH26&lt;'Dane dla CO'!$Z$67,0,IF(CI26&gt;1,CJ26,CI26*CJ26))</f>
        <v>57.600000000000009</v>
      </c>
      <c r="CL26">
        <f t="shared" si="21"/>
        <v>0</v>
      </c>
      <c r="CM26" s="84">
        <f>(CH26*'Dane dla CWU'!$AB$53+'Dane dla CWU'!$AD$53)/(CH26*'Dane dla CO'!$P$35+'Dane dla CO'!$Q$35)</f>
        <v>2.7623456790123457</v>
      </c>
      <c r="CN26" s="84">
        <f t="shared" si="0"/>
        <v>10.319026666666666</v>
      </c>
      <c r="CO26" s="84">
        <f>IF(CH26&lt;'Dane dla CWU'!$Z$67,0,IF(CM26&gt;1,CN26,CM26*CN26))</f>
        <v>10.319026666666666</v>
      </c>
      <c r="CP26" s="84">
        <f t="shared" si="1"/>
        <v>0</v>
      </c>
      <c r="CR26">
        <v>24</v>
      </c>
      <c r="CS26">
        <v>6</v>
      </c>
      <c r="CT26">
        <f>(CS26*'Dane dla CO'!$AB$53+'Dane dla CO'!$AD$53)/(CS26*'Dane dla CO'!$P$35+'Dane dla CO'!$Q$35)</f>
        <v>1.9564471879286691</v>
      </c>
      <c r="CU26">
        <f>CS26*'Dane dla CO'!$N$96+'Dane dla CO'!$N$97</f>
        <v>72.000000000000014</v>
      </c>
      <c r="CV26">
        <f>IF(CS26&lt;'Dane dla CO'!$Z$67,0,IF(CT26&gt;1,CU26,CT26*CU26))</f>
        <v>72.000000000000014</v>
      </c>
      <c r="CW26">
        <f t="shared" si="22"/>
        <v>0</v>
      </c>
      <c r="CX26" s="84">
        <f>(CS26*'Dane dla CWU'!$AB$53+'Dane dla CWU'!$AD$53)/(CS26*'Dane dla CO'!$P$35+'Dane dla CO'!$Q$35)</f>
        <v>2.0444673068129853</v>
      </c>
      <c r="CY26" s="84">
        <f t="shared" si="2"/>
        <v>10.319026666666666</v>
      </c>
      <c r="CZ26" s="84">
        <f>IF(CS26&lt;'Dane dla CWU'!$Z$67,0,IF(CX26&gt;1,CY26,CX26*CY26))</f>
        <v>0</v>
      </c>
      <c r="DA26" s="84">
        <f t="shared" si="3"/>
        <v>10.319026666666666</v>
      </c>
      <c r="DC26">
        <v>24</v>
      </c>
      <c r="DD26">
        <v>2</v>
      </c>
      <c r="DE26">
        <f>(DD26*'Dane dla CO'!$AB$53+'Dane dla CO'!$AD$53)/(DD26*'Dane dla CO'!$P$35+'Dane dla CO'!$Q$35)</f>
        <v>1.321225071225071</v>
      </c>
      <c r="DF26">
        <f>DD26*'Dane dla CO'!$N$96+'Dane dla CO'!$N$97</f>
        <v>100.80000000000001</v>
      </c>
      <c r="DG26">
        <f>IF(DD26&lt;'Dane dla CO'!$Z$67,0,IF(DE26&gt;1,DF26,DE26*DF26))</f>
        <v>100.80000000000001</v>
      </c>
      <c r="DH26">
        <f t="shared" si="23"/>
        <v>0</v>
      </c>
      <c r="DI26" s="84">
        <f>(DD26*'Dane dla CWU'!$AB$53+'Dane dla CWU'!$AD$53)/(DD26*'Dane dla CO'!$P$35+'Dane dla CO'!$Q$35)</f>
        <v>1.2713675213675213</v>
      </c>
      <c r="DJ26" s="84">
        <f t="shared" si="4"/>
        <v>10.319026666666666</v>
      </c>
      <c r="DK26" s="84">
        <f>IF(DD26&lt;'Dane dla CWU'!$Z$67,0,IF(DI26&gt;1,DJ26,DI26*DJ26))</f>
        <v>0</v>
      </c>
      <c r="DL26" s="84">
        <f t="shared" si="5"/>
        <v>10.319026666666666</v>
      </c>
      <c r="DM26" s="49">
        <v>-5</v>
      </c>
      <c r="DN26" s="94">
        <f>DO26*'Dane dla CO'!$N$80</f>
        <v>493.71428571428578</v>
      </c>
      <c r="DO26" s="94">
        <f>(15-DS26)/35*'Dane dla CO'!$N$75</f>
        <v>4.32</v>
      </c>
      <c r="DP26" s="94">
        <f t="shared" si="24"/>
        <v>70.530612244897966</v>
      </c>
      <c r="DQ26" s="51">
        <v>-5</v>
      </c>
      <c r="DR26" s="127">
        <v>7</v>
      </c>
      <c r="DS26" s="127">
        <v>1</v>
      </c>
      <c r="DT26" s="89">
        <f>Wykresy!Y24</f>
        <v>42.4</v>
      </c>
      <c r="DU26" s="90">
        <f>Wykresy!AE24</f>
        <v>27.3</v>
      </c>
      <c r="DV26" s="92">
        <f>(($DV$27-$DV$18)/9)*8+$DV$18</f>
        <v>5.2666666666666666</v>
      </c>
      <c r="DW26" s="92">
        <f>(($DW$27-$DW$18)/9)*8+$DW$18</f>
        <v>2.2222222222222223</v>
      </c>
      <c r="DX26" s="92">
        <f t="shared" si="29"/>
        <v>2.3699999999999997</v>
      </c>
      <c r="DY26" s="86">
        <f>(($DY$27-$DY$18)/9)*8+$DY$18</f>
        <v>6.3111111111111109</v>
      </c>
      <c r="DZ26" s="86">
        <f>(($DZ$27-$DZ$18)/9)*8+$DZ$18</f>
        <v>1.7922222222222222</v>
      </c>
      <c r="EA26" s="96">
        <f t="shared" si="30"/>
        <v>3.5213887166769995</v>
      </c>
      <c r="EB26" s="85">
        <f t="shared" si="32"/>
        <v>7</v>
      </c>
      <c r="EC26" s="85">
        <f t="shared" si="26"/>
        <v>7.3733333333333317E-2</v>
      </c>
      <c r="ED26" s="92">
        <f>'Energia 221.A26'!P23</f>
        <v>3.2965317817470066</v>
      </c>
      <c r="EE26" s="86">
        <f t="shared" si="33"/>
        <v>7</v>
      </c>
      <c r="EF26" s="86">
        <f t="shared" si="27"/>
        <v>0.1095543156299511</v>
      </c>
      <c r="EG26" s="96">
        <f>'Energia 221.A26'!S23</f>
        <v>4.5019497532556212</v>
      </c>
      <c r="EI26" s="127">
        <v>7</v>
      </c>
      <c r="EJ26" s="127">
        <f t="shared" si="25"/>
        <v>68</v>
      </c>
      <c r="EK26" s="127">
        <v>1</v>
      </c>
      <c r="EL26" s="89">
        <v>55</v>
      </c>
      <c r="EM26" s="92">
        <f t="shared" si="38"/>
        <v>4.9555555555555575</v>
      </c>
      <c r="EN26" s="92">
        <f t="shared" si="39"/>
        <v>2.6222222222222231</v>
      </c>
      <c r="EO26" s="92">
        <f t="shared" si="31"/>
        <v>1.8898305084745763</v>
      </c>
      <c r="EP26" s="85">
        <f t="shared" si="36"/>
        <v>7</v>
      </c>
      <c r="EQ26" s="85">
        <f t="shared" si="28"/>
        <v>5.8794726930320153E-2</v>
      </c>
      <c r="ER26" s="92">
        <f>'Energia 221.A26'!V23</f>
        <v>2.450036674146828</v>
      </c>
    </row>
    <row r="27" spans="1:169">
      <c r="A27" s="162"/>
      <c r="B27">
        <v>25</v>
      </c>
      <c r="C27">
        <v>0</v>
      </c>
      <c r="D27" s="84">
        <f>(C27*'Dane dla CO'!$AB$53+'Dane dla CO'!$AD$53)/(C27*'Dane dla CO'!$P$35+'Dane dla CO'!$Q$35)</f>
        <v>1.1306584362139918</v>
      </c>
      <c r="E27" s="84">
        <f>C27*'Dane dla CO'!$N$96+'Dane dla CO'!$N$97</f>
        <v>115.20000000000002</v>
      </c>
      <c r="F27" s="84">
        <f>IF(C27&lt;'Dane dla CO'!$Z$67,0,IF(D27&gt;1,E27,D27*E27))</f>
        <v>115.20000000000002</v>
      </c>
      <c r="G27" s="84">
        <f t="shared" si="6"/>
        <v>0</v>
      </c>
      <c r="H27" s="84">
        <f>(C27*'Dane dla CWU'!$AB$53+'Dane dla CWU'!$AD$53)/(C27*'Dane dla CO'!$P$35+'Dane dla CO'!$Q$35)</f>
        <v>1.0394375857338818</v>
      </c>
      <c r="I27" s="84">
        <f t="shared" si="7"/>
        <v>10.319026666666666</v>
      </c>
      <c r="J27" s="84">
        <f>IF(C27&lt;'Dane dla CWU'!$Z$67,0,IF(H27&gt;1,I27,H27*I27))</f>
        <v>0</v>
      </c>
      <c r="K27" s="84">
        <f t="shared" si="8"/>
        <v>10.319026666666666</v>
      </c>
      <c r="M27">
        <v>25</v>
      </c>
      <c r="N27">
        <v>6</v>
      </c>
      <c r="O27">
        <f>(N27*'Dane dla CO'!$AB$53+'Dane dla CO'!$AD$53)/(N27*'Dane dla CO'!$P$35+'Dane dla CO'!$Q$35)</f>
        <v>1.9564471879286691</v>
      </c>
      <c r="P27">
        <f>N27*'Dane dla CO'!$N$96+'Dane dla CO'!$N$97</f>
        <v>72.000000000000014</v>
      </c>
      <c r="Q27">
        <f>IF(N27&lt;'Dane dla CO'!$Z$67,0,IF(O27&gt;1,P27,O27*P27))</f>
        <v>72.000000000000014</v>
      </c>
      <c r="R27">
        <f t="shared" si="9"/>
        <v>0</v>
      </c>
      <c r="S27" s="84">
        <f>(N27*'Dane dla CWU'!$AB$53+'Dane dla CWU'!$AD$53)/(N27*'Dane dla CO'!$P$35+'Dane dla CO'!$Q$35)</f>
        <v>2.0444673068129853</v>
      </c>
      <c r="T27" s="84">
        <f t="shared" si="10"/>
        <v>10.319026666666666</v>
      </c>
      <c r="U27" s="84">
        <f>IF(N27&lt;'Dane dla CWU'!$Z$67,0,IF(S27&gt;1,T27,S27*T27))</f>
        <v>0</v>
      </c>
      <c r="V27" s="84">
        <f t="shared" si="11"/>
        <v>10.319026666666666</v>
      </c>
      <c r="X27">
        <v>25</v>
      </c>
      <c r="Y27">
        <v>10</v>
      </c>
      <c r="Z27">
        <f>(Y27*'Dane dla CO'!$AB$53+'Dane dla CO'!$AD$53)/(Y27*'Dane dla CO'!$P$35+'Dane dla CO'!$Q$35)</f>
        <v>3.6080246913580249</v>
      </c>
      <c r="AA27">
        <f>Y27*'Dane dla CO'!$N$96+'Dane dla CO'!$N$97</f>
        <v>43.2</v>
      </c>
      <c r="AB27">
        <f>IF(Y27&lt;'Dane dla CO'!$Z$67,0,IF(Z27&gt;1,AA27,Z27*AA27))</f>
        <v>43.2</v>
      </c>
      <c r="AC27">
        <f t="shared" si="12"/>
        <v>0</v>
      </c>
      <c r="AD27" s="84">
        <f>(Y27*'Dane dla CWU'!$AB$53+'Dane dla CWU'!$AD$53)/(Y27*'Dane dla CO'!$P$35+'Dane dla CO'!$Q$35)</f>
        <v>4.0545267489711936</v>
      </c>
      <c r="AE27" s="84">
        <f t="shared" si="13"/>
        <v>10.319026666666666</v>
      </c>
      <c r="AF27" s="84">
        <f>IF(Y27&lt;'Dane dla CWU'!$Z$67,0,IF(AD27&gt;1,AE27,AD27*AE27))</f>
        <v>10.319026666666666</v>
      </c>
      <c r="AG27" s="84">
        <f t="shared" si="14"/>
        <v>0</v>
      </c>
      <c r="AI27">
        <v>25</v>
      </c>
      <c r="AJ27">
        <v>14</v>
      </c>
      <c r="AK27">
        <f>(AJ27*'Dane dla CO'!$AB$53+'Dane dla CO'!$AD$53)/(AJ27*'Dane dla CO'!$P$35+'Dane dla CO'!$Q$35)</f>
        <v>18.472222222222211</v>
      </c>
      <c r="AL27">
        <f>AJ27*'Dane dla CO'!$N$96+'Dane dla CO'!$N$97</f>
        <v>14.400000000000006</v>
      </c>
      <c r="AM27">
        <f>IF(AJ27&lt;'Dane dla CO'!$Z$67,0,IF(AK27&gt;1,AL27,AK27*AL27))</f>
        <v>14.400000000000006</v>
      </c>
      <c r="AN27">
        <f t="shared" si="15"/>
        <v>0</v>
      </c>
      <c r="AO27" s="84">
        <f>(AJ27*'Dane dla CWU'!$AB$53+'Dane dla CWU'!$AD$53)/(AJ27*'Dane dla CO'!$P$35+'Dane dla CO'!$Q$35)</f>
        <v>22.145061728395049</v>
      </c>
      <c r="AP27" s="84">
        <f t="shared" si="16"/>
        <v>10.319026666666666</v>
      </c>
      <c r="AQ27" s="84">
        <f>IF(AJ27&lt;'Dane dla CWU'!$Z$67,0,IF(AO27&gt;1,AP27,AO27*AP27))</f>
        <v>10.319026666666666</v>
      </c>
      <c r="AR27" s="84">
        <f t="shared" si="17"/>
        <v>0</v>
      </c>
      <c r="AT27">
        <v>25</v>
      </c>
      <c r="AU27">
        <v>16</v>
      </c>
      <c r="BA27">
        <v>25</v>
      </c>
      <c r="BB27">
        <v>19</v>
      </c>
      <c r="BH27">
        <v>25</v>
      </c>
      <c r="BI27">
        <v>19</v>
      </c>
      <c r="BO27">
        <v>25</v>
      </c>
      <c r="BP27">
        <v>22</v>
      </c>
      <c r="BV27">
        <v>25</v>
      </c>
      <c r="CB27" s="84">
        <f>(BW27*'Dane dla CWU'!$AB$53+'Dane dla CWU'!$AD$53)/(BW27*'Dane dla CO'!$P$35+'Dane dla CO'!$Q$35)</f>
        <v>1.0394375857338818</v>
      </c>
      <c r="CC27" s="84">
        <f t="shared" si="18"/>
        <v>10.319026666666666</v>
      </c>
      <c r="CD27" s="84">
        <f>IF(BW27&lt;'Dane dla CWU'!$Z$67,0,IF(CB27&gt;1,CC27,CB27*CC27))</f>
        <v>0</v>
      </c>
      <c r="CE27" s="84">
        <f t="shared" si="20"/>
        <v>10.319026666666666</v>
      </c>
      <c r="CG27">
        <v>25</v>
      </c>
      <c r="CH27">
        <v>8</v>
      </c>
      <c r="CI27">
        <f>(CH27*'Dane dla CO'!$AB$53+'Dane dla CO'!$AD$53)/(CH27*'Dane dla CO'!$P$35+'Dane dla CO'!$Q$35)</f>
        <v>2.5462962962962963</v>
      </c>
      <c r="CJ27">
        <f>CH27*'Dane dla CO'!$N$96+'Dane dla CO'!$N$97</f>
        <v>57.600000000000009</v>
      </c>
      <c r="CK27">
        <f>IF(CH27&lt;'Dane dla CO'!$Z$67,0,IF(CI27&gt;1,CJ27,CI27*CJ27))</f>
        <v>57.600000000000009</v>
      </c>
      <c r="CL27">
        <f t="shared" si="21"/>
        <v>0</v>
      </c>
      <c r="CM27" s="84">
        <f>(CH27*'Dane dla CWU'!$AB$53+'Dane dla CWU'!$AD$53)/(CH27*'Dane dla CO'!$P$35+'Dane dla CO'!$Q$35)</f>
        <v>2.7623456790123457</v>
      </c>
      <c r="CN27" s="84">
        <f t="shared" si="0"/>
        <v>10.319026666666666</v>
      </c>
      <c r="CO27" s="84">
        <f>IF(CH27&lt;'Dane dla CWU'!$Z$67,0,IF(CM27&gt;1,CN27,CM27*CN27))</f>
        <v>10.319026666666666</v>
      </c>
      <c r="CP27" s="84">
        <f t="shared" si="1"/>
        <v>0</v>
      </c>
      <c r="CR27">
        <v>25</v>
      </c>
      <c r="CS27">
        <v>4</v>
      </c>
      <c r="CT27">
        <f>(CS27*'Dane dla CO'!$AB$53+'Dane dla CO'!$AD$53)/(CS27*'Dane dla CO'!$P$35+'Dane dla CO'!$Q$35)</f>
        <v>1.5810886644219975</v>
      </c>
      <c r="CU27">
        <f>CS27*'Dane dla CO'!$N$96+'Dane dla CO'!$N$97</f>
        <v>86.4</v>
      </c>
      <c r="CV27">
        <f>IF(CS27&lt;'Dane dla CO'!$Z$67,0,IF(CT27&gt;1,CU27,CT27*CU27))</f>
        <v>86.4</v>
      </c>
      <c r="CW27">
        <f t="shared" si="22"/>
        <v>0</v>
      </c>
      <c r="CX27" s="84">
        <f>(CS27*'Dane dla CWU'!$AB$53+'Dane dla CWU'!$AD$53)/(CS27*'Dane dla CO'!$P$35+'Dane dla CO'!$Q$35)</f>
        <v>1.5876356154133928</v>
      </c>
      <c r="CY27" s="84">
        <f t="shared" si="2"/>
        <v>10.319026666666666</v>
      </c>
      <c r="CZ27" s="84">
        <f>IF(CS27&lt;'Dane dla CWU'!$Z$67,0,IF(CX27&gt;1,CY27,CX27*CY27))</f>
        <v>0</v>
      </c>
      <c r="DA27" s="84">
        <f t="shared" si="3"/>
        <v>10.319026666666666</v>
      </c>
      <c r="DC27">
        <v>25</v>
      </c>
      <c r="DD27">
        <v>1</v>
      </c>
      <c r="DE27">
        <f>(DD27*'Dane dla CO'!$AB$53+'Dane dla CO'!$AD$53)/(DD27*'Dane dla CO'!$P$35+'Dane dla CO'!$Q$35)</f>
        <v>1.2191358024691357</v>
      </c>
      <c r="DF27">
        <f>DD27*'Dane dla CO'!$N$96+'Dane dla CO'!$N$97</f>
        <v>108.00000000000001</v>
      </c>
      <c r="DG27">
        <f>IF(DD27&lt;'Dane dla CO'!$Z$67,0,IF(DE27&gt;1,DF27,DE27*DF27))</f>
        <v>108.00000000000001</v>
      </c>
      <c r="DH27">
        <f t="shared" si="23"/>
        <v>0</v>
      </c>
      <c r="DI27" s="84">
        <f>(DD27*'Dane dla CWU'!$AB$53+'Dane dla CWU'!$AD$53)/(DD27*'Dane dla CO'!$P$35+'Dane dla CO'!$Q$35)</f>
        <v>1.1471193415637859</v>
      </c>
      <c r="DJ27" s="84">
        <f t="shared" si="4"/>
        <v>10.319026666666666</v>
      </c>
      <c r="DK27" s="84">
        <f>IF(DD27&lt;'Dane dla CWU'!$Z$67,0,IF(DI27&gt;1,DJ27,DI27*DJ27))</f>
        <v>0</v>
      </c>
      <c r="DL27" s="84">
        <f t="shared" si="5"/>
        <v>10.319026666666666</v>
      </c>
      <c r="DM27" s="49">
        <v>-4</v>
      </c>
      <c r="DN27" s="94">
        <f>DO27*'Dane dla CO'!$N$80</f>
        <v>458.4489795918368</v>
      </c>
      <c r="DO27" s="94">
        <f>(15-DS27)/35*'Dane dla CO'!$N$75</f>
        <v>4.0114285714285716</v>
      </c>
      <c r="DP27" s="94">
        <f t="shared" si="24"/>
        <v>35.265306122448983</v>
      </c>
      <c r="DQ27" s="51">
        <v>-4</v>
      </c>
      <c r="DR27" s="127">
        <v>13</v>
      </c>
      <c r="DS27" s="127">
        <v>2</v>
      </c>
      <c r="DT27" s="89">
        <f>Wykresy!Y25</f>
        <v>41.8</v>
      </c>
      <c r="DU27" s="90">
        <f>Wykresy!AE25</f>
        <v>26.933333333333334</v>
      </c>
      <c r="DV27" s="92">
        <v>5.3</v>
      </c>
      <c r="DW27" s="92">
        <v>2.19</v>
      </c>
      <c r="DX27" s="92">
        <f t="shared" si="29"/>
        <v>2.4200913242009134</v>
      </c>
      <c r="DY27" s="86">
        <v>6.3</v>
      </c>
      <c r="DZ27" s="86">
        <v>1.7</v>
      </c>
      <c r="EA27" s="96">
        <f t="shared" si="30"/>
        <v>3.7058823529411766</v>
      </c>
      <c r="EB27" s="85">
        <f t="shared" si="32"/>
        <v>13</v>
      </c>
      <c r="EC27" s="85">
        <f t="shared" si="26"/>
        <v>0.13982749873160832</v>
      </c>
      <c r="ED27" s="92">
        <f>'Energia 221.A26'!P24</f>
        <v>3.3650429346226653</v>
      </c>
      <c r="EE27" s="86">
        <f t="shared" si="33"/>
        <v>13</v>
      </c>
      <c r="EF27" s="86">
        <f t="shared" si="27"/>
        <v>0.21411764705882355</v>
      </c>
      <c r="EG27" s="96">
        <f>'Energia 221.A26'!S24</f>
        <v>4.5744560270871384</v>
      </c>
      <c r="EI27" s="127">
        <v>13</v>
      </c>
      <c r="EJ27" s="127">
        <f t="shared" si="25"/>
        <v>81</v>
      </c>
      <c r="EK27" s="127">
        <v>2</v>
      </c>
      <c r="EL27" s="89">
        <v>55</v>
      </c>
      <c r="EM27" s="92">
        <v>5.0999999999999996</v>
      </c>
      <c r="EN27" s="92">
        <v>2.64</v>
      </c>
      <c r="EO27" s="92">
        <f t="shared" si="31"/>
        <v>1.9318181818181817</v>
      </c>
      <c r="EP27" s="85">
        <f t="shared" si="36"/>
        <v>13</v>
      </c>
      <c r="EQ27" s="85">
        <f t="shared" si="28"/>
        <v>0.1116161616161616</v>
      </c>
      <c r="ER27" s="92">
        <f>'Energia 221.A26'!V24</f>
        <v>2.46319587938074</v>
      </c>
      <c r="ES27">
        <f>(EM32-EM27)/5</f>
        <v>0.18000000000000008</v>
      </c>
      <c r="ET27">
        <f>(EN32-EN27)/5</f>
        <v>2.5999999999999978E-2</v>
      </c>
    </row>
    <row r="28" spans="1:169">
      <c r="A28" s="162"/>
      <c r="B28">
        <v>26</v>
      </c>
      <c r="C28">
        <v>-3</v>
      </c>
      <c r="D28" s="84">
        <f>(C28*'Dane dla CO'!$AB$53+'Dane dla CO'!$AD$53)/(C28*'Dane dla CO'!$P$35+'Dane dla CO'!$Q$35)</f>
        <v>0.92421124828532231</v>
      </c>
      <c r="E28" s="84">
        <f>C28*'Dane dla CO'!$N$96+'Dane dla CO'!$N$97</f>
        <v>136.80000000000001</v>
      </c>
      <c r="F28" s="84">
        <f>IF(C28&lt;'Dane dla CO'!$Z$67,0,IF(D28&gt;1,E28,D28*E28))</f>
        <v>0</v>
      </c>
      <c r="G28" s="84">
        <f t="shared" si="6"/>
        <v>136.80000000000001</v>
      </c>
      <c r="H28" s="84">
        <f>(C28*'Dane dla CWU'!$AB$53+'Dane dla CWU'!$AD$53)/(C28*'Dane dla CO'!$P$35+'Dane dla CO'!$Q$35)</f>
        <v>0.78818015546410591</v>
      </c>
      <c r="I28" s="84">
        <f t="shared" si="7"/>
        <v>10.319026666666666</v>
      </c>
      <c r="J28" s="84">
        <f>IF(C28&lt;'Dane dla CWU'!$Z$67,0,IF(H28&gt;1,I28,H28*I28))</f>
        <v>0</v>
      </c>
      <c r="K28" s="84">
        <f t="shared" si="8"/>
        <v>10.319026666666666</v>
      </c>
      <c r="M28">
        <v>26</v>
      </c>
      <c r="N28">
        <v>3</v>
      </c>
      <c r="O28">
        <f>(N28*'Dane dla CO'!$AB$53+'Dane dla CO'!$AD$53)/(N28*'Dane dla CO'!$P$35+'Dane dla CO'!$Q$35)</f>
        <v>1.4403292181069955</v>
      </c>
      <c r="P28">
        <f>N28*'Dane dla CO'!$N$96+'Dane dla CO'!$N$97</f>
        <v>93.600000000000023</v>
      </c>
      <c r="Q28">
        <f>IF(N28&lt;'Dane dla CO'!$Z$67,0,IF(O28&gt;1,P28,O28*P28))</f>
        <v>93.600000000000023</v>
      </c>
      <c r="R28">
        <f t="shared" si="9"/>
        <v>0</v>
      </c>
      <c r="S28" s="84">
        <f>(N28*'Dane dla CWU'!$AB$53+'Dane dla CWU'!$AD$53)/(N28*'Dane dla CO'!$P$35+'Dane dla CO'!$Q$35)</f>
        <v>1.4163237311385457</v>
      </c>
      <c r="T28" s="84">
        <f t="shared" si="10"/>
        <v>10.319026666666666</v>
      </c>
      <c r="U28" s="84">
        <f>IF(N28&lt;'Dane dla CWU'!$Z$67,0,IF(S28&gt;1,T28,S28*T28))</f>
        <v>0</v>
      </c>
      <c r="V28" s="84">
        <f t="shared" si="11"/>
        <v>10.319026666666666</v>
      </c>
      <c r="X28">
        <v>26</v>
      </c>
      <c r="Y28">
        <v>6</v>
      </c>
      <c r="Z28">
        <f>(Y28*'Dane dla CO'!$AB$53+'Dane dla CO'!$AD$53)/(Y28*'Dane dla CO'!$P$35+'Dane dla CO'!$Q$35)</f>
        <v>1.9564471879286691</v>
      </c>
      <c r="AA28">
        <f>Y28*'Dane dla CO'!$N$96+'Dane dla CO'!$N$97</f>
        <v>72.000000000000014</v>
      </c>
      <c r="AB28">
        <f>IF(Y28&lt;'Dane dla CO'!$Z$67,0,IF(Z28&gt;1,AA28,Z28*AA28))</f>
        <v>72.000000000000014</v>
      </c>
      <c r="AC28">
        <f t="shared" si="12"/>
        <v>0</v>
      </c>
      <c r="AD28" s="84">
        <f>(Y28*'Dane dla CWU'!$AB$53+'Dane dla CWU'!$AD$53)/(Y28*'Dane dla CO'!$P$35+'Dane dla CO'!$Q$35)</f>
        <v>2.0444673068129853</v>
      </c>
      <c r="AE28" s="84">
        <f t="shared" si="13"/>
        <v>10.319026666666666</v>
      </c>
      <c r="AF28" s="84">
        <f>IF(Y28&lt;'Dane dla CWU'!$Z$67,0,IF(AD28&gt;1,AE28,AD28*AE28))</f>
        <v>0</v>
      </c>
      <c r="AG28" s="84">
        <f t="shared" si="14"/>
        <v>10.319026666666666</v>
      </c>
      <c r="AI28">
        <v>26</v>
      </c>
      <c r="AJ28">
        <v>14</v>
      </c>
      <c r="AK28">
        <f>(AJ28*'Dane dla CO'!$AB$53+'Dane dla CO'!$AD$53)/(AJ28*'Dane dla CO'!$P$35+'Dane dla CO'!$Q$35)</f>
        <v>18.472222222222211</v>
      </c>
      <c r="AL28">
        <f>AJ28*'Dane dla CO'!$N$96+'Dane dla CO'!$N$97</f>
        <v>14.400000000000006</v>
      </c>
      <c r="AM28">
        <f>IF(AJ28&lt;'Dane dla CO'!$Z$67,0,IF(AK28&gt;1,AL28,AK28*AL28))</f>
        <v>14.400000000000006</v>
      </c>
      <c r="AN28">
        <f t="shared" si="15"/>
        <v>0</v>
      </c>
      <c r="AO28" s="84">
        <f>(AJ28*'Dane dla CWU'!$AB$53+'Dane dla CWU'!$AD$53)/(AJ28*'Dane dla CO'!$P$35+'Dane dla CO'!$Q$35)</f>
        <v>22.145061728395049</v>
      </c>
      <c r="AP28" s="84">
        <f t="shared" si="16"/>
        <v>10.319026666666666</v>
      </c>
      <c r="AQ28" s="84">
        <f>IF(AJ28&lt;'Dane dla CWU'!$Z$67,0,IF(AO28&gt;1,AP28,AO28*AP28))</f>
        <v>10.319026666666666</v>
      </c>
      <c r="AR28" s="84">
        <f t="shared" si="17"/>
        <v>0</v>
      </c>
      <c r="AT28">
        <v>26</v>
      </c>
      <c r="AU28">
        <v>16</v>
      </c>
      <c r="BA28">
        <v>26</v>
      </c>
      <c r="BB28">
        <v>16</v>
      </c>
      <c r="BH28">
        <v>26</v>
      </c>
      <c r="BI28">
        <v>20</v>
      </c>
      <c r="BO28">
        <v>26</v>
      </c>
      <c r="BP28">
        <v>17</v>
      </c>
      <c r="BV28">
        <v>26</v>
      </c>
      <c r="CB28" s="84">
        <f>(BW28*'Dane dla CWU'!$AB$53+'Dane dla CWU'!$AD$53)/(BW28*'Dane dla CO'!$P$35+'Dane dla CO'!$Q$35)</f>
        <v>1.0394375857338818</v>
      </c>
      <c r="CC28" s="84">
        <f t="shared" si="18"/>
        <v>10.319026666666666</v>
      </c>
      <c r="CD28" s="84">
        <f>IF(BW28&lt;'Dane dla CWU'!$Z$67,0,IF(CB28&gt;1,CC28,CB28*CC28))</f>
        <v>0</v>
      </c>
      <c r="CE28" s="84">
        <f t="shared" si="20"/>
        <v>10.319026666666666</v>
      </c>
      <c r="CG28">
        <v>26</v>
      </c>
      <c r="CH28">
        <v>6</v>
      </c>
      <c r="CI28">
        <f>(CH28*'Dane dla CO'!$AB$53+'Dane dla CO'!$AD$53)/(CH28*'Dane dla CO'!$P$35+'Dane dla CO'!$Q$35)</f>
        <v>1.9564471879286691</v>
      </c>
      <c r="CJ28">
        <f>CH28*'Dane dla CO'!$N$96+'Dane dla CO'!$N$97</f>
        <v>72.000000000000014</v>
      </c>
      <c r="CK28">
        <f>IF(CH28&lt;'Dane dla CO'!$Z$67,0,IF(CI28&gt;1,CJ28,CI28*CJ28))</f>
        <v>72.000000000000014</v>
      </c>
      <c r="CL28">
        <f t="shared" si="21"/>
        <v>0</v>
      </c>
      <c r="CM28" s="84">
        <f>(CH28*'Dane dla CWU'!$AB$53+'Dane dla CWU'!$AD$53)/(CH28*'Dane dla CO'!$P$35+'Dane dla CO'!$Q$35)</f>
        <v>2.0444673068129853</v>
      </c>
      <c r="CN28" s="84">
        <f t="shared" si="0"/>
        <v>10.319026666666666</v>
      </c>
      <c r="CO28" s="84">
        <f>IF(CH28&lt;'Dane dla CWU'!$Z$67,0,IF(CM28&gt;1,CN28,CM28*CN28))</f>
        <v>0</v>
      </c>
      <c r="CP28" s="84">
        <f t="shared" si="1"/>
        <v>10.319026666666666</v>
      </c>
      <c r="CR28">
        <v>26</v>
      </c>
      <c r="CS28">
        <v>4</v>
      </c>
      <c r="CT28">
        <f>(CS28*'Dane dla CO'!$AB$53+'Dane dla CO'!$AD$53)/(CS28*'Dane dla CO'!$P$35+'Dane dla CO'!$Q$35)</f>
        <v>1.5810886644219975</v>
      </c>
      <c r="CU28">
        <f>CS28*'Dane dla CO'!$N$96+'Dane dla CO'!$N$97</f>
        <v>86.4</v>
      </c>
      <c r="CV28">
        <f>IF(CS28&lt;'Dane dla CO'!$Z$67,0,IF(CT28&gt;1,CU28,CT28*CU28))</f>
        <v>86.4</v>
      </c>
      <c r="CW28">
        <f t="shared" si="22"/>
        <v>0</v>
      </c>
      <c r="CX28" s="84">
        <f>(CS28*'Dane dla CWU'!$AB$53+'Dane dla CWU'!$AD$53)/(CS28*'Dane dla CO'!$P$35+'Dane dla CO'!$Q$35)</f>
        <v>1.5876356154133928</v>
      </c>
      <c r="CY28" s="84">
        <f t="shared" si="2"/>
        <v>10.319026666666666</v>
      </c>
      <c r="CZ28" s="84">
        <f>IF(CS28&lt;'Dane dla CWU'!$Z$67,0,IF(CX28&gt;1,CY28,CX28*CY28))</f>
        <v>0</v>
      </c>
      <c r="DA28" s="84">
        <f t="shared" si="3"/>
        <v>10.319026666666666</v>
      </c>
      <c r="DC28">
        <v>26</v>
      </c>
      <c r="DD28">
        <v>3</v>
      </c>
      <c r="DE28">
        <f>(DD28*'Dane dla CO'!$AB$53+'Dane dla CO'!$AD$53)/(DD28*'Dane dla CO'!$P$35+'Dane dla CO'!$Q$35)</f>
        <v>1.4403292181069955</v>
      </c>
      <c r="DF28">
        <f>DD28*'Dane dla CO'!$N$96+'Dane dla CO'!$N$97</f>
        <v>93.600000000000023</v>
      </c>
      <c r="DG28">
        <f>IF(DD28&lt;'Dane dla CO'!$Z$67,0,IF(DE28&gt;1,DF28,DE28*DF28))</f>
        <v>93.600000000000023</v>
      </c>
      <c r="DH28">
        <f t="shared" si="23"/>
        <v>0</v>
      </c>
      <c r="DI28" s="84">
        <f>(DD28*'Dane dla CWU'!$AB$53+'Dane dla CWU'!$AD$53)/(DD28*'Dane dla CO'!$P$35+'Dane dla CO'!$Q$35)</f>
        <v>1.4163237311385457</v>
      </c>
      <c r="DJ28" s="84">
        <f t="shared" si="4"/>
        <v>10.319026666666666</v>
      </c>
      <c r="DK28" s="84">
        <f>IF(DD28&lt;'Dane dla CWU'!$Z$67,0,IF(DI28&gt;1,DJ28,DI28*DJ28))</f>
        <v>0</v>
      </c>
      <c r="DL28" s="84">
        <f t="shared" si="5"/>
        <v>10.319026666666666</v>
      </c>
      <c r="DM28" s="49">
        <v>-4</v>
      </c>
      <c r="DN28" s="94">
        <f>DO28*'Dane dla CO'!$N$80</f>
        <v>423.18367346938783</v>
      </c>
      <c r="DO28" s="94">
        <f>(15-DS28)/35*'Dane dla CO'!$N$75</f>
        <v>3.7028571428571433</v>
      </c>
      <c r="DP28" s="94">
        <f t="shared" si="24"/>
        <v>28.212244897959188</v>
      </c>
      <c r="DQ28" s="51">
        <v>-4</v>
      </c>
      <c r="DR28" s="127">
        <v>15</v>
      </c>
      <c r="DS28" s="127">
        <v>3</v>
      </c>
      <c r="DT28" s="89">
        <f>Wykresy!Y26</f>
        <v>41.2</v>
      </c>
      <c r="DU28" s="90">
        <f>Wykresy!AE26</f>
        <v>26.566666666666666</v>
      </c>
      <c r="DV28" s="92">
        <f>(($DV$32-$DV$27)/5)*1+$DV$27</f>
        <v>5.758</v>
      </c>
      <c r="DW28" s="92">
        <f>(($DW$32-$DW$27)/5)*1+$DW$27</f>
        <v>2.1789999999999998</v>
      </c>
      <c r="DX28" s="92">
        <f t="shared" si="29"/>
        <v>2.6424965580541535</v>
      </c>
      <c r="DY28" s="86">
        <f>(($DY$32-$DY$27)/5)*2+$DY$27</f>
        <v>7.58</v>
      </c>
      <c r="DZ28" s="86">
        <f>(($DZ$32-$DZ$27)/5)*1+$DZ$27</f>
        <v>1.742</v>
      </c>
      <c r="EA28" s="96">
        <f t="shared" si="30"/>
        <v>4.3513203214695757</v>
      </c>
      <c r="EB28" s="85">
        <f t="shared" si="32"/>
        <v>15</v>
      </c>
      <c r="EC28" s="85">
        <f t="shared" si="26"/>
        <v>0.17616643720361022</v>
      </c>
      <c r="ED28" s="92">
        <f>'Energia 221.A26'!P25</f>
        <v>3.5039615073987225</v>
      </c>
      <c r="EE28" s="86">
        <f t="shared" si="33"/>
        <v>15</v>
      </c>
      <c r="EF28" s="86">
        <f t="shared" si="27"/>
        <v>0.29008802143130508</v>
      </c>
      <c r="EG28" s="96">
        <f>'Energia 221.A26'!S25</f>
        <v>4.7021461795060118</v>
      </c>
      <c r="EI28" s="127">
        <v>15</v>
      </c>
      <c r="EJ28" s="127">
        <f t="shared" si="25"/>
        <v>96</v>
      </c>
      <c r="EK28" s="127">
        <v>3</v>
      </c>
      <c r="EL28" s="89">
        <v>55</v>
      </c>
      <c r="EM28" s="92">
        <f>EM27+$ES$27</f>
        <v>5.2799999999999994</v>
      </c>
      <c r="EN28" s="92">
        <f>EN27+$ET$27</f>
        <v>2.6659999999999999</v>
      </c>
      <c r="EO28" s="92">
        <f t="shared" si="31"/>
        <v>1.9804951237809449</v>
      </c>
      <c r="EP28" s="85">
        <f t="shared" si="36"/>
        <v>15</v>
      </c>
      <c r="EQ28" s="85">
        <f t="shared" si="28"/>
        <v>0.13203300825206299</v>
      </c>
      <c r="ER28" s="92">
        <f>'Energia 221.A26'!V25</f>
        <v>2.4874341603221901</v>
      </c>
    </row>
    <row r="29" spans="1:169">
      <c r="A29" s="162"/>
      <c r="B29">
        <v>27</v>
      </c>
      <c r="C29">
        <v>-10</v>
      </c>
      <c r="D29" s="84">
        <f>(C29*'Dane dla CO'!$AB$53+'Dane dla CO'!$AD$53)/(C29*'Dane dla CO'!$P$35+'Dane dla CO'!$Q$35)</f>
        <v>0.63518518518518519</v>
      </c>
      <c r="E29" s="84">
        <f>C29*'Dane dla CO'!$N$96+'Dane dla CO'!$N$97</f>
        <v>187.20000000000005</v>
      </c>
      <c r="F29" s="84">
        <f>IF(C29&lt;'Dane dla CO'!$Z$67,0,IF(D29&gt;1,E29,D29*E29))</f>
        <v>0</v>
      </c>
      <c r="G29" s="84">
        <f t="shared" si="6"/>
        <v>187.20000000000005</v>
      </c>
      <c r="H29" s="84">
        <f>(C29*'Dane dla CWU'!$AB$53+'Dane dla CWU'!$AD$53)/(C29*'Dane dla CO'!$P$35+'Dane dla CO'!$Q$35)</f>
        <v>0.43641975308641973</v>
      </c>
      <c r="I29" s="84">
        <f t="shared" si="7"/>
        <v>10.319026666666666</v>
      </c>
      <c r="J29" s="84">
        <f>IF(C29&lt;'Dane dla CWU'!$Z$67,0,IF(H29&gt;1,I29,H29*I29))</f>
        <v>0</v>
      </c>
      <c r="K29" s="84">
        <f t="shared" si="8"/>
        <v>10.319026666666666</v>
      </c>
      <c r="M29">
        <v>27</v>
      </c>
      <c r="N29">
        <v>0</v>
      </c>
      <c r="O29">
        <f>(N29*'Dane dla CO'!$AB$53+'Dane dla CO'!$AD$53)/(N29*'Dane dla CO'!$P$35+'Dane dla CO'!$Q$35)</f>
        <v>1.1306584362139918</v>
      </c>
      <c r="P29">
        <f>N29*'Dane dla CO'!$N$96+'Dane dla CO'!$N$97</f>
        <v>115.20000000000002</v>
      </c>
      <c r="Q29">
        <f>IF(N29&lt;'Dane dla CO'!$Z$67,0,IF(O29&gt;1,P29,O29*P29))</f>
        <v>115.20000000000002</v>
      </c>
      <c r="R29">
        <f t="shared" si="9"/>
        <v>0</v>
      </c>
      <c r="S29" s="84">
        <f>(N29*'Dane dla CWU'!$AB$53+'Dane dla CWU'!$AD$53)/(N29*'Dane dla CO'!$P$35+'Dane dla CO'!$Q$35)</f>
        <v>1.0394375857338818</v>
      </c>
      <c r="T29" s="84">
        <f t="shared" si="10"/>
        <v>10.319026666666666</v>
      </c>
      <c r="U29" s="84">
        <f>IF(N29&lt;'Dane dla CWU'!$Z$67,0,IF(S29&gt;1,T29,S29*T29))</f>
        <v>0</v>
      </c>
      <c r="V29" s="84">
        <f t="shared" si="11"/>
        <v>10.319026666666666</v>
      </c>
      <c r="X29">
        <v>27</v>
      </c>
      <c r="Y29">
        <v>9</v>
      </c>
      <c r="Z29">
        <f>(Y29*'Dane dla CO'!$AB$53+'Dane dla CO'!$AD$53)/(Y29*'Dane dla CO'!$P$35+'Dane dla CO'!$Q$35)</f>
        <v>2.9886831275720165</v>
      </c>
      <c r="AA29">
        <f>Y29*'Dane dla CO'!$N$96+'Dane dla CO'!$N$97</f>
        <v>50.400000000000006</v>
      </c>
      <c r="AB29">
        <f>IF(Y29&lt;'Dane dla CO'!$Z$67,0,IF(Z29&gt;1,AA29,Z29*AA29))</f>
        <v>50.400000000000006</v>
      </c>
      <c r="AC29">
        <f t="shared" si="12"/>
        <v>0</v>
      </c>
      <c r="AD29" s="84">
        <f>(Y29*'Dane dla CWU'!$AB$53+'Dane dla CWU'!$AD$53)/(Y29*'Dane dla CO'!$P$35+'Dane dla CO'!$Q$35)</f>
        <v>3.3007544581618653</v>
      </c>
      <c r="AE29" s="84">
        <f t="shared" si="13"/>
        <v>10.319026666666666</v>
      </c>
      <c r="AF29" s="84">
        <f>IF(Y29&lt;'Dane dla CWU'!$Z$67,0,IF(AD29&gt;1,AE29,AD29*AE29))</f>
        <v>10.319026666666666</v>
      </c>
      <c r="AG29" s="84">
        <f t="shared" si="14"/>
        <v>0</v>
      </c>
      <c r="AI29">
        <v>27</v>
      </c>
      <c r="AJ29">
        <v>17</v>
      </c>
      <c r="AO29" s="84"/>
      <c r="AP29" s="84">
        <f t="shared" si="16"/>
        <v>10.319026666666666</v>
      </c>
      <c r="AQ29" s="84">
        <f>AP29</f>
        <v>10.319026666666666</v>
      </c>
      <c r="AR29" s="84">
        <f t="shared" si="17"/>
        <v>0</v>
      </c>
      <c r="AT29">
        <v>27</v>
      </c>
      <c r="AU29">
        <v>15</v>
      </c>
      <c r="BA29">
        <v>27</v>
      </c>
      <c r="BB29">
        <v>18</v>
      </c>
      <c r="BH29">
        <v>27</v>
      </c>
      <c r="BI29">
        <v>23</v>
      </c>
      <c r="BO29">
        <v>27</v>
      </c>
      <c r="BP29">
        <v>17</v>
      </c>
      <c r="BV29">
        <v>27</v>
      </c>
      <c r="CB29" s="84">
        <f>(BW29*'Dane dla CWU'!$AB$53+'Dane dla CWU'!$AD$53)/(BW29*'Dane dla CO'!$P$35+'Dane dla CO'!$Q$35)</f>
        <v>1.0394375857338818</v>
      </c>
      <c r="CC29" s="84">
        <f t="shared" si="18"/>
        <v>10.319026666666666</v>
      </c>
      <c r="CD29" s="84">
        <f>IF(BW29&lt;'Dane dla CWU'!$Z$67,0,IF(CB29&gt;1,CC29,CB29*CC29))</f>
        <v>0</v>
      </c>
      <c r="CE29" s="84">
        <f t="shared" si="20"/>
        <v>10.319026666666666</v>
      </c>
      <c r="CG29">
        <v>27</v>
      </c>
      <c r="CH29">
        <v>4</v>
      </c>
      <c r="CI29">
        <f>(CH29*'Dane dla CO'!$AB$53+'Dane dla CO'!$AD$53)/(CH29*'Dane dla CO'!$P$35+'Dane dla CO'!$Q$35)</f>
        <v>1.5810886644219975</v>
      </c>
      <c r="CJ29">
        <f>CH29*'Dane dla CO'!$N$96+'Dane dla CO'!$N$97</f>
        <v>86.4</v>
      </c>
      <c r="CK29">
        <f>IF(CH29&lt;'Dane dla CO'!$Z$67,0,IF(CI29&gt;1,CJ29,CI29*CJ29))</f>
        <v>86.4</v>
      </c>
      <c r="CL29">
        <f t="shared" si="21"/>
        <v>0</v>
      </c>
      <c r="CM29" s="84">
        <f>(CH29*'Dane dla CWU'!$AB$53+'Dane dla CWU'!$AD$53)/(CH29*'Dane dla CO'!$P$35+'Dane dla CO'!$Q$35)</f>
        <v>1.5876356154133928</v>
      </c>
      <c r="CN29" s="84">
        <f t="shared" si="0"/>
        <v>10.319026666666666</v>
      </c>
      <c r="CO29" s="84">
        <f>IF(CH29&lt;'Dane dla CWU'!$Z$67,0,IF(CM29&gt;1,CN29,CM29*CN29))</f>
        <v>0</v>
      </c>
      <c r="CP29" s="84">
        <f t="shared" si="1"/>
        <v>10.319026666666666</v>
      </c>
      <c r="CR29">
        <v>27</v>
      </c>
      <c r="CS29">
        <v>4</v>
      </c>
      <c r="CT29">
        <f>(CS29*'Dane dla CO'!$AB$53+'Dane dla CO'!$AD$53)/(CS29*'Dane dla CO'!$P$35+'Dane dla CO'!$Q$35)</f>
        <v>1.5810886644219975</v>
      </c>
      <c r="CU29">
        <f>CS29*'Dane dla CO'!$N$96+'Dane dla CO'!$N$97</f>
        <v>86.4</v>
      </c>
      <c r="CV29">
        <f>IF(CS29&lt;'Dane dla CO'!$Z$67,0,IF(CT29&gt;1,CU29,CT29*CU29))</f>
        <v>86.4</v>
      </c>
      <c r="CW29">
        <f t="shared" si="22"/>
        <v>0</v>
      </c>
      <c r="CX29" s="84">
        <f>(CS29*'Dane dla CWU'!$AB$53+'Dane dla CWU'!$AD$53)/(CS29*'Dane dla CO'!$P$35+'Dane dla CO'!$Q$35)</f>
        <v>1.5876356154133928</v>
      </c>
      <c r="CY29" s="84">
        <f t="shared" si="2"/>
        <v>10.319026666666666</v>
      </c>
      <c r="CZ29" s="84">
        <f>IF(CS29&lt;'Dane dla CWU'!$Z$67,0,IF(CX29&gt;1,CY29,CX29*CY29))</f>
        <v>0</v>
      </c>
      <c r="DA29" s="84">
        <f t="shared" si="3"/>
        <v>10.319026666666666</v>
      </c>
      <c r="DC29">
        <v>27</v>
      </c>
      <c r="DD29">
        <v>5</v>
      </c>
      <c r="DE29">
        <f>(DD29*'Dane dla CO'!$AB$53+'Dane dla CO'!$AD$53)/(DD29*'Dane dla CO'!$P$35+'Dane dla CO'!$Q$35)</f>
        <v>1.75</v>
      </c>
      <c r="DF29">
        <f>DD29*'Dane dla CO'!$N$96+'Dane dla CO'!$N$97</f>
        <v>79.200000000000017</v>
      </c>
      <c r="DG29">
        <f>IF(DD29&lt;'Dane dla CO'!$Z$67,0,IF(DE29&gt;1,DF29,DE29*DF29))</f>
        <v>79.200000000000017</v>
      </c>
      <c r="DH29">
        <f t="shared" si="23"/>
        <v>0</v>
      </c>
      <c r="DI29" s="84">
        <f>(DD29*'Dane dla CWU'!$AB$53+'Dane dla CWU'!$AD$53)/(DD29*'Dane dla CO'!$P$35+'Dane dla CO'!$Q$35)</f>
        <v>1.7932098765432098</v>
      </c>
      <c r="DJ29" s="84">
        <f t="shared" si="4"/>
        <v>10.319026666666666</v>
      </c>
      <c r="DK29" s="84">
        <f>IF(DD29&lt;'Dane dla CWU'!$Z$67,0,IF(DI29&gt;1,DJ29,DI29*DJ29))</f>
        <v>0</v>
      </c>
      <c r="DL29" s="84">
        <f t="shared" si="5"/>
        <v>10.319026666666666</v>
      </c>
      <c r="DM29" s="49">
        <v>-4</v>
      </c>
      <c r="DN29" s="94">
        <f>DO29*'Dane dla CO'!$N$80</f>
        <v>387.91836734693885</v>
      </c>
      <c r="DO29" s="94">
        <f>(15-DS29)/35*'Dane dla CO'!$N$75</f>
        <v>3.3942857142857146</v>
      </c>
      <c r="DP29" s="94">
        <f t="shared" si="24"/>
        <v>29.83987441130299</v>
      </c>
      <c r="DQ29" s="51">
        <v>-4</v>
      </c>
      <c r="DR29" s="127">
        <v>13</v>
      </c>
      <c r="DS29" s="127">
        <v>4</v>
      </c>
      <c r="DT29" s="89">
        <f>Wykresy!Y27</f>
        <v>40.6</v>
      </c>
      <c r="DU29" s="90">
        <f>Wykresy!AE27</f>
        <v>26.200000000000003</v>
      </c>
      <c r="DV29" s="92">
        <f>(($DV$32-$DV$27)/5)*2+$DV$27</f>
        <v>6.2160000000000002</v>
      </c>
      <c r="DW29" s="92">
        <f>(($DW$32-$DW$27)/5)*2+$DW$27</f>
        <v>2.1679999999999997</v>
      </c>
      <c r="DX29" s="92">
        <f t="shared" si="29"/>
        <v>2.8671586715867163</v>
      </c>
      <c r="DY29" s="86">
        <f>(($DY$32-$DY$27)/5)*3+$DY$27</f>
        <v>8.2199999999999989</v>
      </c>
      <c r="DZ29" s="86">
        <f>(($DZ$32-$DZ$27)/5)*2+$DZ$27</f>
        <v>1.784</v>
      </c>
      <c r="EA29" s="96">
        <f t="shared" si="30"/>
        <v>4.6076233183856496</v>
      </c>
      <c r="EB29" s="85">
        <f t="shared" si="32"/>
        <v>13</v>
      </c>
      <c r="EC29" s="85">
        <f t="shared" si="26"/>
        <v>0.16565805658056582</v>
      </c>
      <c r="ED29" s="92">
        <f>'Energia 221.A26'!P26</f>
        <v>3.6650215890115612</v>
      </c>
      <c r="EE29" s="86">
        <f t="shared" si="33"/>
        <v>13</v>
      </c>
      <c r="EF29" s="86">
        <f t="shared" si="27"/>
        <v>0.26621823617339313</v>
      </c>
      <c r="EG29" s="96">
        <f>'Energia 221.A26'!S26</f>
        <v>4.7677368241053451</v>
      </c>
      <c r="EI29" s="127">
        <v>13</v>
      </c>
      <c r="EJ29" s="127">
        <f t="shared" si="25"/>
        <v>109</v>
      </c>
      <c r="EK29" s="127">
        <v>4</v>
      </c>
      <c r="EL29" s="89">
        <v>55</v>
      </c>
      <c r="EM29" s="92">
        <f>EM28+$ES$27</f>
        <v>5.4599999999999991</v>
      </c>
      <c r="EN29" s="92">
        <f>EN28+$ET$27</f>
        <v>2.6919999999999997</v>
      </c>
      <c r="EO29" s="92">
        <f t="shared" si="31"/>
        <v>2.0282317979197622</v>
      </c>
      <c r="EP29" s="85">
        <f t="shared" si="36"/>
        <v>13</v>
      </c>
      <c r="EQ29" s="85">
        <f t="shared" si="28"/>
        <v>0.11718672610203071</v>
      </c>
      <c r="ER29" s="92">
        <f>'Energia 221.A26'!V26</f>
        <v>2.5155974401300369</v>
      </c>
    </row>
    <row r="30" spans="1:169">
      <c r="A30" s="162"/>
      <c r="B30">
        <v>28</v>
      </c>
      <c r="C30">
        <v>-10</v>
      </c>
      <c r="D30" s="84">
        <f>(C30*'Dane dla CO'!$AB$53+'Dane dla CO'!$AD$53)/(C30*'Dane dla CO'!$P$35+'Dane dla CO'!$Q$35)</f>
        <v>0.63518518518518519</v>
      </c>
      <c r="E30" s="84">
        <f>C30*'Dane dla CO'!$N$96+'Dane dla CO'!$N$97</f>
        <v>187.20000000000005</v>
      </c>
      <c r="F30" s="84">
        <f>IF(C30&lt;'Dane dla CO'!$Z$67,0,IF(D30&gt;1,E30,D30*E30))</f>
        <v>0</v>
      </c>
      <c r="G30" s="84">
        <f t="shared" si="6"/>
        <v>187.20000000000005</v>
      </c>
      <c r="H30" s="84">
        <f>(C30*'Dane dla CWU'!$AB$53+'Dane dla CWU'!$AD$53)/(C30*'Dane dla CO'!$P$35+'Dane dla CO'!$Q$35)</f>
        <v>0.43641975308641973</v>
      </c>
      <c r="I30" s="84">
        <f t="shared" si="7"/>
        <v>10.319026666666666</v>
      </c>
      <c r="J30" s="84">
        <f>IF(C30&lt;'Dane dla CWU'!$Z$67,0,IF(H30&gt;1,I30,H30*I30))</f>
        <v>0</v>
      </c>
      <c r="K30" s="84">
        <f t="shared" si="8"/>
        <v>10.319026666666666</v>
      </c>
      <c r="M30">
        <v>28</v>
      </c>
      <c r="N30">
        <v>0</v>
      </c>
      <c r="O30">
        <f>(N30*'Dane dla CO'!$AB$53+'Dane dla CO'!$AD$53)/(N30*'Dane dla CO'!$P$35+'Dane dla CO'!$Q$35)</f>
        <v>1.1306584362139918</v>
      </c>
      <c r="P30">
        <f>N30*'Dane dla CO'!$N$96+'Dane dla CO'!$N$97</f>
        <v>115.20000000000002</v>
      </c>
      <c r="Q30">
        <f>IF(N30&lt;'Dane dla CO'!$Z$67,0,IF(O30&gt;1,P30,O30*P30))</f>
        <v>115.20000000000002</v>
      </c>
      <c r="R30">
        <f t="shared" si="9"/>
        <v>0</v>
      </c>
      <c r="S30" s="84">
        <f>(N30*'Dane dla CWU'!$AB$53+'Dane dla CWU'!$AD$53)/(N30*'Dane dla CO'!$P$35+'Dane dla CO'!$Q$35)</f>
        <v>1.0394375857338818</v>
      </c>
      <c r="T30" s="84">
        <f t="shared" si="10"/>
        <v>10.319026666666666</v>
      </c>
      <c r="U30" s="84">
        <f>IF(N30&lt;'Dane dla CWU'!$Z$67,0,IF(S30&gt;1,T30,S30*T30))</f>
        <v>0</v>
      </c>
      <c r="V30" s="84">
        <f t="shared" si="11"/>
        <v>10.319026666666666</v>
      </c>
      <c r="X30">
        <v>28</v>
      </c>
      <c r="Y30">
        <v>11</v>
      </c>
      <c r="Z30">
        <f>(Y30*'Dane dla CO'!$AB$53+'Dane dla CO'!$AD$53)/(Y30*'Dane dla CO'!$P$35+'Dane dla CO'!$Q$35)</f>
        <v>4.5370370370370363</v>
      </c>
      <c r="AA30">
        <f>Y30*'Dane dla CO'!$N$96+'Dane dla CO'!$N$97</f>
        <v>36</v>
      </c>
      <c r="AB30">
        <f>IF(Y30&lt;'Dane dla CO'!$Z$67,0,IF(Z30&gt;1,AA30,Z30*AA30))</f>
        <v>36</v>
      </c>
      <c r="AC30">
        <f t="shared" si="12"/>
        <v>0</v>
      </c>
      <c r="AD30" s="84">
        <f>(Y30*'Dane dla CWU'!$AB$53+'Dane dla CWU'!$AD$53)/(Y30*'Dane dla CO'!$P$35+'Dane dla CO'!$Q$35)</f>
        <v>5.1851851851851842</v>
      </c>
      <c r="AE30" s="84">
        <f t="shared" si="13"/>
        <v>10.319026666666666</v>
      </c>
      <c r="AF30" s="84">
        <f>IF(Y30&lt;'Dane dla CWU'!$Z$67,0,IF(AD30&gt;1,AE30,AD30*AE30))</f>
        <v>10.319026666666666</v>
      </c>
      <c r="AG30" s="84">
        <f t="shared" si="14"/>
        <v>0</v>
      </c>
      <c r="AI30">
        <v>28</v>
      </c>
      <c r="AJ30">
        <v>19</v>
      </c>
      <c r="AO30" s="84"/>
      <c r="AP30" s="84">
        <f t="shared" si="16"/>
        <v>10.319026666666666</v>
      </c>
      <c r="AQ30" s="84">
        <f t="shared" ref="AQ30:AQ32" si="40">AP30</f>
        <v>10.319026666666666</v>
      </c>
      <c r="AR30" s="84">
        <f t="shared" si="17"/>
        <v>0</v>
      </c>
      <c r="AT30">
        <v>28</v>
      </c>
      <c r="AU30">
        <v>16</v>
      </c>
      <c r="BA30">
        <v>28</v>
      </c>
      <c r="BB30">
        <v>18</v>
      </c>
      <c r="BH30">
        <v>28</v>
      </c>
      <c r="BI30">
        <v>25</v>
      </c>
      <c r="BO30">
        <v>28</v>
      </c>
      <c r="BP30">
        <v>14</v>
      </c>
      <c r="BV30">
        <v>28</v>
      </c>
      <c r="BW30">
        <v>14</v>
      </c>
      <c r="BX30">
        <f>(BW30*'Dane dla CO'!$AB$53+'Dane dla CO'!$AD$53)/(BW30*'Dane dla CO'!$P$35+'Dane dla CO'!$Q$35)</f>
        <v>18.472222222222211</v>
      </c>
      <c r="BY30">
        <f>BW30*'Dane dla CO'!$N$96+'Dane dla CO'!$N$97</f>
        <v>14.400000000000006</v>
      </c>
      <c r="BZ30">
        <f>IF(BW30&lt;'Dane dla CO'!$Z$67,0,IF(BX30&gt;1,BY30,BX30*BY30))</f>
        <v>14.400000000000006</v>
      </c>
      <c r="CA30">
        <f t="shared" si="37"/>
        <v>0</v>
      </c>
      <c r="CB30" s="84">
        <f>(BW30*'Dane dla CWU'!$AB$53+'Dane dla CWU'!$AD$53)/(BW30*'Dane dla CO'!$P$35+'Dane dla CO'!$Q$35)</f>
        <v>22.145061728395049</v>
      </c>
      <c r="CC30" s="84">
        <f t="shared" si="18"/>
        <v>10.319026666666666</v>
      </c>
      <c r="CD30" s="84">
        <f>IF(BW30&lt;'Dane dla CWU'!$Z$67,0,IF(CB30&gt;1,CC30,CB30*CC30))</f>
        <v>10.319026666666666</v>
      </c>
      <c r="CE30" s="84">
        <f t="shared" si="20"/>
        <v>0</v>
      </c>
      <c r="CG30">
        <v>28</v>
      </c>
      <c r="CH30">
        <v>0</v>
      </c>
      <c r="CI30">
        <f>(CH30*'Dane dla CO'!$AB$53+'Dane dla CO'!$AD$53)/(CH30*'Dane dla CO'!$P$35+'Dane dla CO'!$Q$35)</f>
        <v>1.1306584362139918</v>
      </c>
      <c r="CJ30">
        <f>CH30*'Dane dla CO'!$N$96+'Dane dla CO'!$N$97</f>
        <v>115.20000000000002</v>
      </c>
      <c r="CK30">
        <f>IF(CH30&lt;'Dane dla CO'!$Z$67,0,IF(CI30&gt;1,CJ30,CI30*CJ30))</f>
        <v>115.20000000000002</v>
      </c>
      <c r="CL30">
        <f t="shared" si="21"/>
        <v>0</v>
      </c>
      <c r="CM30" s="84">
        <f>(CH30*'Dane dla CWU'!$AB$53+'Dane dla CWU'!$AD$53)/(CH30*'Dane dla CO'!$P$35+'Dane dla CO'!$Q$35)</f>
        <v>1.0394375857338818</v>
      </c>
      <c r="CN30" s="84">
        <f t="shared" si="0"/>
        <v>10.319026666666666</v>
      </c>
      <c r="CO30" s="84">
        <f>IF(CH30&lt;'Dane dla CWU'!$Z$67,0,IF(CM30&gt;1,CN30,CM30*CN30))</f>
        <v>0</v>
      </c>
      <c r="CP30" s="84">
        <f t="shared" si="1"/>
        <v>10.319026666666666</v>
      </c>
      <c r="CR30">
        <v>28</v>
      </c>
      <c r="CS30">
        <v>6</v>
      </c>
      <c r="CT30">
        <f>(CS30*'Dane dla CO'!$AB$53+'Dane dla CO'!$AD$53)/(CS30*'Dane dla CO'!$P$35+'Dane dla CO'!$Q$35)</f>
        <v>1.9564471879286691</v>
      </c>
      <c r="CU30">
        <f>CS30*'Dane dla CO'!$N$96+'Dane dla CO'!$N$97</f>
        <v>72.000000000000014</v>
      </c>
      <c r="CV30">
        <f>IF(CS30&lt;'Dane dla CO'!$Z$67,0,IF(CT30&gt;1,CU30,CT30*CU30))</f>
        <v>72.000000000000014</v>
      </c>
      <c r="CW30">
        <f t="shared" si="22"/>
        <v>0</v>
      </c>
      <c r="CX30" s="84">
        <f>(CS30*'Dane dla CWU'!$AB$53+'Dane dla CWU'!$AD$53)/(CS30*'Dane dla CO'!$P$35+'Dane dla CO'!$Q$35)</f>
        <v>2.0444673068129853</v>
      </c>
      <c r="CY30" s="84">
        <f t="shared" si="2"/>
        <v>10.319026666666666</v>
      </c>
      <c r="CZ30" s="84">
        <f>IF(CS30&lt;'Dane dla CWU'!$Z$67,0,IF(CX30&gt;1,CY30,CX30*CY30))</f>
        <v>0</v>
      </c>
      <c r="DA30" s="84">
        <f t="shared" si="3"/>
        <v>10.319026666666666</v>
      </c>
      <c r="DC30">
        <v>28</v>
      </c>
      <c r="DD30">
        <v>1</v>
      </c>
      <c r="DE30">
        <f>(DD30*'Dane dla CO'!$AB$53+'Dane dla CO'!$AD$53)/(DD30*'Dane dla CO'!$P$35+'Dane dla CO'!$Q$35)</f>
        <v>1.2191358024691357</v>
      </c>
      <c r="DF30">
        <f>DD30*'Dane dla CO'!$N$96+'Dane dla CO'!$N$97</f>
        <v>108.00000000000001</v>
      </c>
      <c r="DG30">
        <f>IF(DD30&lt;'Dane dla CO'!$Z$67,0,IF(DE30&gt;1,DF30,DE30*DF30))</f>
        <v>108.00000000000001</v>
      </c>
      <c r="DH30">
        <f t="shared" si="23"/>
        <v>0</v>
      </c>
      <c r="DI30" s="84">
        <f>(DD30*'Dane dla CWU'!$AB$53+'Dane dla CWU'!$AD$53)/(DD30*'Dane dla CO'!$P$35+'Dane dla CO'!$Q$35)</f>
        <v>1.1471193415637859</v>
      </c>
      <c r="DJ30" s="84">
        <f t="shared" si="4"/>
        <v>10.319026666666666</v>
      </c>
      <c r="DK30" s="84">
        <f>IF(DD30&lt;'Dane dla CWU'!$Z$67,0,IF(DI30&gt;1,DJ30,DI30*DJ30))</f>
        <v>0</v>
      </c>
      <c r="DL30" s="84">
        <f t="shared" si="5"/>
        <v>10.319026666666666</v>
      </c>
      <c r="DM30" s="49">
        <v>-3</v>
      </c>
      <c r="DN30" s="94">
        <f>DO30*'Dane dla CO'!$N$80</f>
        <v>352.65306122448982</v>
      </c>
      <c r="DO30" s="94">
        <f>(15-DS30)/35*'Dane dla CO'!$N$75</f>
        <v>3.0857142857142859</v>
      </c>
      <c r="DP30" s="94">
        <f t="shared" si="24"/>
        <v>32.05936920222635</v>
      </c>
      <c r="DQ30" s="51">
        <v>-3</v>
      </c>
      <c r="DR30" s="127">
        <v>11</v>
      </c>
      <c r="DS30" s="127">
        <v>5</v>
      </c>
      <c r="DT30" s="89">
        <f>Wykresy!Y28</f>
        <v>40</v>
      </c>
      <c r="DU30" s="90">
        <f>Wykresy!AE28</f>
        <v>25.833333333333336</v>
      </c>
      <c r="DV30" s="92">
        <f>(($DV$32-$DV$27)/5)*3+$DV$27</f>
        <v>6.6739999999999995</v>
      </c>
      <c r="DW30" s="92">
        <f>(($DW$32-$DW$27)/5)*3+$DW$27</f>
        <v>2.157</v>
      </c>
      <c r="DX30" s="92">
        <f t="shared" si="29"/>
        <v>3.0941121928604542</v>
      </c>
      <c r="DY30" s="86">
        <f>(($DY$32-$DY$27)/5)*4+$DY$27</f>
        <v>8.86</v>
      </c>
      <c r="DZ30" s="86">
        <f>(($DZ$32-$DZ$27)/5)*3+$DZ$27</f>
        <v>1.8260000000000001</v>
      </c>
      <c r="EA30" s="96">
        <f t="shared" si="30"/>
        <v>4.8521358159912369</v>
      </c>
      <c r="EB30" s="85">
        <f t="shared" si="32"/>
        <v>11</v>
      </c>
      <c r="EC30" s="85">
        <f t="shared" si="26"/>
        <v>0.15126770720651109</v>
      </c>
      <c r="ED30" s="92">
        <f>'Energia 221.A26'!P27</f>
        <v>3.8053447176680164</v>
      </c>
      <c r="EE30" s="86">
        <f t="shared" si="33"/>
        <v>11</v>
      </c>
      <c r="EF30" s="86">
        <f t="shared" si="27"/>
        <v>0.23721552878179381</v>
      </c>
      <c r="EG30" s="96">
        <f>'Energia 221.A26'!S27</f>
        <v>4.7958965838486058</v>
      </c>
      <c r="EI30" s="127">
        <v>11</v>
      </c>
      <c r="EJ30" s="127">
        <f t="shared" si="25"/>
        <v>120</v>
      </c>
      <c r="EK30" s="127">
        <v>5</v>
      </c>
      <c r="EL30" s="89">
        <v>55</v>
      </c>
      <c r="EM30" s="92">
        <f>EM29+$ES$27</f>
        <v>5.6399999999999988</v>
      </c>
      <c r="EN30" s="92">
        <f>EN29+$ET$27</f>
        <v>2.7179999999999995</v>
      </c>
      <c r="EO30" s="92">
        <f t="shared" si="31"/>
        <v>2.075055187637969</v>
      </c>
      <c r="EP30" s="85">
        <f t="shared" si="36"/>
        <v>11</v>
      </c>
      <c r="EQ30" s="85">
        <f t="shared" si="28"/>
        <v>0.10144714250674515</v>
      </c>
      <c r="ER30" s="92">
        <f>'Energia 221.A26'!V27</f>
        <v>2.5402501768955372</v>
      </c>
    </row>
    <row r="31" spans="1:169">
      <c r="A31" s="162"/>
      <c r="B31">
        <v>29</v>
      </c>
      <c r="C31">
        <v>-10</v>
      </c>
      <c r="D31" s="84">
        <f>(C31*'Dane dla CO'!$AB$53+'Dane dla CO'!$AD$53)/(C31*'Dane dla CO'!$P$35+'Dane dla CO'!$Q$35)</f>
        <v>0.63518518518518519</v>
      </c>
      <c r="E31" s="84">
        <f>C31*'Dane dla CO'!$N$96+'Dane dla CO'!$N$97</f>
        <v>187.20000000000005</v>
      </c>
      <c r="F31" s="84">
        <f>IF(C31&lt;'Dane dla CO'!$Z$67,0,IF(D31&gt;1,E31,D31*E31))</f>
        <v>0</v>
      </c>
      <c r="G31" s="84">
        <f t="shared" si="6"/>
        <v>187.20000000000005</v>
      </c>
      <c r="H31" s="84">
        <f>(C31*'Dane dla CWU'!$AB$53+'Dane dla CWU'!$AD$53)/(C31*'Dane dla CO'!$P$35+'Dane dla CO'!$Q$35)</f>
        <v>0.43641975308641973</v>
      </c>
      <c r="I31" s="84">
        <f t="shared" si="7"/>
        <v>10.319026666666666</v>
      </c>
      <c r="J31" s="84">
        <f>IF(C31&lt;'Dane dla CWU'!$Z$67,0,IF(H31&gt;1,I31,H31*I31))</f>
        <v>0</v>
      </c>
      <c r="K31" s="84">
        <f t="shared" si="8"/>
        <v>10.319026666666666</v>
      </c>
      <c r="M31">
        <v>29</v>
      </c>
      <c r="N31">
        <v>6</v>
      </c>
      <c r="O31">
        <f>(N31*'Dane dla CO'!$AB$53+'Dane dla CO'!$AD$53)/(N31*'Dane dla CO'!$P$35+'Dane dla CO'!$Q$35)</f>
        <v>1.9564471879286691</v>
      </c>
      <c r="P31">
        <f>N31*'Dane dla CO'!$N$96+'Dane dla CO'!$N$97</f>
        <v>72.000000000000014</v>
      </c>
      <c r="Q31">
        <f>IF(N31&lt;'Dane dla CO'!$Z$67,0,IF(O31&gt;1,P31,O31*P31))</f>
        <v>72.000000000000014</v>
      </c>
      <c r="R31">
        <f t="shared" si="9"/>
        <v>0</v>
      </c>
      <c r="S31" s="84">
        <f>(N31*'Dane dla CWU'!$AB$53+'Dane dla CWU'!$AD$53)/(N31*'Dane dla CO'!$P$35+'Dane dla CO'!$Q$35)</f>
        <v>2.0444673068129853</v>
      </c>
      <c r="T31" s="84">
        <f t="shared" si="10"/>
        <v>10.319026666666666</v>
      </c>
      <c r="U31" s="84">
        <f>IF(N31&lt;'Dane dla CWU'!$Z$67,0,IF(S31&gt;1,T31,S31*T31))</f>
        <v>0</v>
      </c>
      <c r="V31" s="84">
        <f t="shared" si="11"/>
        <v>10.319026666666666</v>
      </c>
      <c r="X31">
        <v>29</v>
      </c>
      <c r="Y31">
        <v>10</v>
      </c>
      <c r="Z31">
        <f>(Y31*'Dane dla CO'!$AB$53+'Dane dla CO'!$AD$53)/(Y31*'Dane dla CO'!$P$35+'Dane dla CO'!$Q$35)</f>
        <v>3.6080246913580249</v>
      </c>
      <c r="AA31">
        <f>Y31*'Dane dla CO'!$N$96+'Dane dla CO'!$N$97</f>
        <v>43.2</v>
      </c>
      <c r="AB31">
        <f>IF(Y31&lt;'Dane dla CO'!$Z$67,0,IF(Z31&gt;1,AA31,Z31*AA31))</f>
        <v>43.2</v>
      </c>
      <c r="AC31">
        <f t="shared" si="12"/>
        <v>0</v>
      </c>
      <c r="AD31" s="84">
        <f>(Y31*'Dane dla CWU'!$AB$53+'Dane dla CWU'!$AD$53)/(Y31*'Dane dla CO'!$P$35+'Dane dla CO'!$Q$35)</f>
        <v>4.0545267489711936</v>
      </c>
      <c r="AE31" s="84">
        <f t="shared" si="13"/>
        <v>10.319026666666666</v>
      </c>
      <c r="AF31" s="84">
        <f>IF(Y31&lt;'Dane dla CWU'!$Z$67,0,IF(AD31&gt;1,AE31,AD31*AE31))</f>
        <v>10.319026666666666</v>
      </c>
      <c r="AG31" s="84">
        <f t="shared" si="14"/>
        <v>0</v>
      </c>
      <c r="AI31">
        <v>29</v>
      </c>
      <c r="AJ31">
        <v>21</v>
      </c>
      <c r="AO31" s="84"/>
      <c r="AP31" s="84">
        <f t="shared" si="16"/>
        <v>10.319026666666666</v>
      </c>
      <c r="AQ31" s="84">
        <f t="shared" si="40"/>
        <v>10.319026666666666</v>
      </c>
      <c r="AR31" s="84">
        <f t="shared" si="17"/>
        <v>0</v>
      </c>
      <c r="AT31">
        <v>29</v>
      </c>
      <c r="AU31">
        <v>18</v>
      </c>
      <c r="BA31">
        <v>29</v>
      </c>
      <c r="BB31">
        <v>22</v>
      </c>
      <c r="BH31">
        <v>29</v>
      </c>
      <c r="BI31">
        <v>23</v>
      </c>
      <c r="BO31">
        <v>29</v>
      </c>
      <c r="BP31">
        <v>16</v>
      </c>
      <c r="BV31">
        <v>29</v>
      </c>
      <c r="BW31">
        <v>13</v>
      </c>
      <c r="BX31">
        <f>(BW31*'Dane dla CO'!$AB$53+'Dane dla CO'!$AD$53)/(BW31*'Dane dla CO'!$P$35+'Dane dla CO'!$Q$35)</f>
        <v>9.1820987654320927</v>
      </c>
      <c r="BY31">
        <f>BW31*'Dane dla CO'!$N$96+'Dane dla CO'!$N$97</f>
        <v>21.600000000000009</v>
      </c>
      <c r="BZ31">
        <f>IF(BW31&lt;'Dane dla CO'!$Z$67,0,IF(BX31&gt;1,BY31,BX31*BY31))</f>
        <v>21.600000000000009</v>
      </c>
      <c r="CA31">
        <f t="shared" si="37"/>
        <v>0</v>
      </c>
      <c r="CB31" s="84">
        <f>(BW31*'Dane dla CWU'!$AB$53+'Dane dla CWU'!$AD$53)/(BW31*'Dane dla CO'!$P$35+'Dane dla CO'!$Q$35)</f>
        <v>10.838477366255137</v>
      </c>
      <c r="CC31" s="84">
        <f t="shared" si="18"/>
        <v>10.319026666666666</v>
      </c>
      <c r="CD31" s="84">
        <f>IF(BW31&lt;'Dane dla CWU'!$Z$67,0,IF(CB31&gt;1,CC31,CB31*CC31))</f>
        <v>10.319026666666666</v>
      </c>
      <c r="CE31" s="84">
        <f t="shared" si="20"/>
        <v>0</v>
      </c>
      <c r="CG31">
        <v>29</v>
      </c>
      <c r="CH31">
        <v>0</v>
      </c>
      <c r="CI31">
        <f>(CH31*'Dane dla CO'!$AB$53+'Dane dla CO'!$AD$53)/(CH31*'Dane dla CO'!$P$35+'Dane dla CO'!$Q$35)</f>
        <v>1.1306584362139918</v>
      </c>
      <c r="CJ31">
        <f>CH31*'Dane dla CO'!$N$96+'Dane dla CO'!$N$97</f>
        <v>115.20000000000002</v>
      </c>
      <c r="CK31">
        <f>IF(CH31&lt;'Dane dla CO'!$Z$67,0,IF(CI31&gt;1,CJ31,CI31*CJ31))</f>
        <v>115.20000000000002</v>
      </c>
      <c r="CL31">
        <f t="shared" si="21"/>
        <v>0</v>
      </c>
      <c r="CM31" s="84">
        <f>(CH31*'Dane dla CWU'!$AB$53+'Dane dla CWU'!$AD$53)/(CH31*'Dane dla CO'!$P$35+'Dane dla CO'!$Q$35)</f>
        <v>1.0394375857338818</v>
      </c>
      <c r="CN31" s="84">
        <f t="shared" si="0"/>
        <v>10.319026666666666</v>
      </c>
      <c r="CO31" s="84">
        <f>IF(CH31&lt;'Dane dla CWU'!$Z$67,0,IF(CM31&gt;1,CN31,CM31*CN31))</f>
        <v>0</v>
      </c>
      <c r="CP31" s="84">
        <f t="shared" si="1"/>
        <v>10.319026666666666</v>
      </c>
      <c r="CR31">
        <v>29</v>
      </c>
      <c r="CS31">
        <v>7</v>
      </c>
      <c r="CT31">
        <f>(CS31*'Dane dla CO'!$AB$53+'Dane dla CO'!$AD$53)/(CS31*'Dane dla CO'!$P$35+'Dane dla CO'!$Q$35)</f>
        <v>2.2145061728395059</v>
      </c>
      <c r="CU31">
        <f>CS31*'Dane dla CO'!$N$96+'Dane dla CO'!$N$97</f>
        <v>64.800000000000011</v>
      </c>
      <c r="CV31">
        <f>IF(CS31&lt;'Dane dla CO'!$Z$67,0,IF(CT31&gt;1,CU31,CT31*CU31))</f>
        <v>64.800000000000011</v>
      </c>
      <c r="CW31">
        <f t="shared" si="22"/>
        <v>0</v>
      </c>
      <c r="CX31" s="84">
        <f>(CS31*'Dane dla CWU'!$AB$53+'Dane dla CWU'!$AD$53)/(CS31*'Dane dla CO'!$P$35+'Dane dla CO'!$Q$35)</f>
        <v>2.3585390946502054</v>
      </c>
      <c r="CY31" s="84">
        <f t="shared" si="2"/>
        <v>10.319026666666666</v>
      </c>
      <c r="CZ31" s="84">
        <f>IF(CS31&lt;'Dane dla CWU'!$Z$67,0,IF(CX31&gt;1,CY31,CX31*CY31))</f>
        <v>0</v>
      </c>
      <c r="DA31" s="84">
        <f t="shared" si="3"/>
        <v>10.319026666666666</v>
      </c>
      <c r="DC31">
        <v>29</v>
      </c>
      <c r="DD31">
        <v>-4</v>
      </c>
      <c r="DE31">
        <f>(DD31*'Dane dla CO'!$AB$53+'Dane dla CO'!$AD$53)/(DD31*'Dane dla CO'!$P$35+'Dane dla CO'!$Q$35)</f>
        <v>0.86988304093567259</v>
      </c>
      <c r="DF31">
        <f>DD31*'Dane dla CO'!$N$96+'Dane dla CO'!$N$97</f>
        <v>144.00000000000003</v>
      </c>
      <c r="DG31">
        <f>IF(DD31&lt;'Dane dla CO'!$Z$67,0,IF(DE31&gt;1,DF31,DE31*DF31))</f>
        <v>0</v>
      </c>
      <c r="DH31">
        <f t="shared" si="23"/>
        <v>144.00000000000003</v>
      </c>
      <c r="DI31" s="84">
        <f>(DD31*'Dane dla CWU'!$AB$53+'Dane dla CWU'!$AD$53)/(DD31*'Dane dla CO'!$P$35+'Dane dla CO'!$Q$35)</f>
        <v>0.72205977907732288</v>
      </c>
      <c r="DJ31" s="84">
        <f t="shared" si="4"/>
        <v>10.319026666666666</v>
      </c>
      <c r="DK31" s="84">
        <f>IF(DD31&lt;'Dane dla CWU'!$Z$67,0,IF(DI31&gt;1,DJ31,DI31*DJ31))</f>
        <v>0</v>
      </c>
      <c r="DL31" s="84">
        <f t="shared" si="5"/>
        <v>10.319026666666666</v>
      </c>
      <c r="DM31" s="49">
        <v>-3</v>
      </c>
      <c r="DN31" s="94">
        <f>DO31*'Dane dla CO'!$N$80</f>
        <v>317.38775510204084</v>
      </c>
      <c r="DO31" s="94">
        <f>(15-DS31)/35*'Dane dla CO'!$N$75</f>
        <v>2.7771428571428571</v>
      </c>
      <c r="DP31" s="94">
        <f t="shared" si="24"/>
        <v>15.869387755102043</v>
      </c>
      <c r="DQ31" s="51">
        <v>-3</v>
      </c>
      <c r="DR31" s="127">
        <v>20</v>
      </c>
      <c r="DS31" s="127">
        <v>6</v>
      </c>
      <c r="DT31" s="89">
        <f>Wykresy!Y29</f>
        <v>39.4</v>
      </c>
      <c r="DU31" s="90">
        <f>Wykresy!AE29</f>
        <v>25.466666666666669</v>
      </c>
      <c r="DV31" s="92">
        <f>(($DV$32-$DV$27)/5)*4+$DV$27</f>
        <v>7.1319999999999997</v>
      </c>
      <c r="DW31" s="92">
        <f>(($DW$32-$DW$27)/5)*4+$DW$27</f>
        <v>2.1459999999999999</v>
      </c>
      <c r="DX31" s="92">
        <f t="shared" si="29"/>
        <v>3.3233923578751163</v>
      </c>
      <c r="DY31" s="86">
        <f>(($DY$32-$DY$27)/5)*1+$DY$27</f>
        <v>6.9399999999999995</v>
      </c>
      <c r="DZ31" s="86">
        <f>(($DZ$32-$DZ$27)/5)*4+$DZ$27</f>
        <v>1.8679999999999999</v>
      </c>
      <c r="EA31" s="96">
        <f t="shared" si="30"/>
        <v>3.7152034261241971</v>
      </c>
      <c r="EB31" s="85">
        <f t="shared" si="32"/>
        <v>20</v>
      </c>
      <c r="EC31" s="85">
        <f t="shared" si="26"/>
        <v>0.29541265403334366</v>
      </c>
      <c r="ED31" s="92">
        <f>'Energia 221.A26'!P28</f>
        <v>3.9176934585318737</v>
      </c>
      <c r="EE31" s="86">
        <f t="shared" si="33"/>
        <v>20</v>
      </c>
      <c r="EF31" s="86">
        <f t="shared" si="27"/>
        <v>0.33024030454437309</v>
      </c>
      <c r="EG31" s="96">
        <f>'Energia 221.A26'!S28</f>
        <v>4.7870128409122366</v>
      </c>
      <c r="EI31" s="127">
        <v>20</v>
      </c>
      <c r="EJ31" s="127">
        <f t="shared" si="25"/>
        <v>140</v>
      </c>
      <c r="EK31" s="127">
        <v>6</v>
      </c>
      <c r="EL31" s="89">
        <v>55</v>
      </c>
      <c r="EM31" s="92">
        <f>EM30+$ES$27</f>
        <v>5.8199999999999985</v>
      </c>
      <c r="EN31" s="92">
        <f>EN30+$ET$27</f>
        <v>2.7439999999999993</v>
      </c>
      <c r="EO31" s="92">
        <f t="shared" si="31"/>
        <v>2.120991253644315</v>
      </c>
      <c r="EP31" s="85">
        <f t="shared" si="36"/>
        <v>20</v>
      </c>
      <c r="EQ31" s="85">
        <f t="shared" si="28"/>
        <v>0.18853255587949466</v>
      </c>
      <c r="ER31" s="92">
        <f>'Energia 221.A26'!V28</f>
        <v>2.561051578854209</v>
      </c>
    </row>
    <row r="32" spans="1:169">
      <c r="A32" s="162"/>
      <c r="B32">
        <v>30</v>
      </c>
      <c r="C32">
        <v>-12</v>
      </c>
      <c r="D32" s="84">
        <f>(C32*'Dane dla CO'!$AB$53+'Dane dla CO'!$AD$53)/(C32*'Dane dla CO'!$P$35+'Dane dla CO'!$Q$35)</f>
        <v>0.58013260173754</v>
      </c>
      <c r="E32" s="84">
        <f>C32*'Dane dla CO'!$N$96+'Dane dla CO'!$N$97</f>
        <v>201.60000000000002</v>
      </c>
      <c r="F32" s="84">
        <f>IF(C32&lt;'Dane dla CO'!$Z$67,0,IF(D32&gt;1,E32,D32*E32))</f>
        <v>0</v>
      </c>
      <c r="G32" s="84">
        <f t="shared" si="6"/>
        <v>201.60000000000002</v>
      </c>
      <c r="H32" s="84">
        <f>(C32*'Dane dla CWU'!$AB$53+'Dane dla CWU'!$AD$53)/(C32*'Dane dla CO'!$P$35+'Dane dla CO'!$Q$35)</f>
        <v>0.36941777168114609</v>
      </c>
      <c r="I32" s="84">
        <f t="shared" si="7"/>
        <v>10.319026666666666</v>
      </c>
      <c r="J32" s="84">
        <f>IF(C32&lt;'Dane dla CWU'!$Z$67,0,IF(H32&gt;1,I32,H32*I32))</f>
        <v>0</v>
      </c>
      <c r="K32" s="84">
        <f t="shared" si="8"/>
        <v>10.319026666666666</v>
      </c>
      <c r="X32">
        <v>30</v>
      </c>
      <c r="Y32">
        <v>6</v>
      </c>
      <c r="Z32">
        <f>(Y32*'Dane dla CO'!$AB$53+'Dane dla CO'!$AD$53)/(Y32*'Dane dla CO'!$P$35+'Dane dla CO'!$Q$35)</f>
        <v>1.9564471879286691</v>
      </c>
      <c r="AA32">
        <f>Y32*'Dane dla CO'!$N$96+'Dane dla CO'!$N$97</f>
        <v>72.000000000000014</v>
      </c>
      <c r="AB32">
        <f>IF(Y32&lt;'Dane dla CO'!$Z$67,0,IF(Z32&gt;1,AA32,Z32*AA32))</f>
        <v>72.000000000000014</v>
      </c>
      <c r="AC32">
        <f t="shared" si="12"/>
        <v>0</v>
      </c>
      <c r="AD32" s="84">
        <f>(Y32*'Dane dla CWU'!$AB$53+'Dane dla CWU'!$AD$53)/(Y32*'Dane dla CO'!$P$35+'Dane dla CO'!$Q$35)</f>
        <v>2.0444673068129853</v>
      </c>
      <c r="AE32" s="84">
        <f t="shared" si="13"/>
        <v>10.319026666666666</v>
      </c>
      <c r="AF32" s="84">
        <f>IF(Y32&lt;'Dane dla CWU'!$Z$67,0,IF(AD32&gt;1,AE32,AD32*AE32))</f>
        <v>0</v>
      </c>
      <c r="AG32" s="84">
        <f t="shared" si="14"/>
        <v>10.319026666666666</v>
      </c>
      <c r="AI32">
        <v>30</v>
      </c>
      <c r="AJ32">
        <v>22</v>
      </c>
      <c r="AO32" s="84"/>
      <c r="AP32" s="84">
        <f t="shared" si="16"/>
        <v>10.319026666666666</v>
      </c>
      <c r="AQ32" s="84">
        <f t="shared" si="40"/>
        <v>10.319026666666666</v>
      </c>
      <c r="AR32" s="84">
        <f t="shared" si="17"/>
        <v>0</v>
      </c>
      <c r="AT32">
        <v>30</v>
      </c>
      <c r="AU32">
        <v>18</v>
      </c>
      <c r="BA32">
        <v>30</v>
      </c>
      <c r="BB32">
        <v>25</v>
      </c>
      <c r="BH32">
        <v>30</v>
      </c>
      <c r="BI32">
        <v>21</v>
      </c>
      <c r="BO32">
        <v>30</v>
      </c>
      <c r="BP32">
        <v>18</v>
      </c>
      <c r="BV32">
        <v>30</v>
      </c>
      <c r="BW32">
        <v>14</v>
      </c>
      <c r="BX32">
        <f>(BW32*'Dane dla CO'!$AB$53+'Dane dla CO'!$AD$53)/(BW32*'Dane dla CO'!$P$35+'Dane dla CO'!$Q$35)</f>
        <v>18.472222222222211</v>
      </c>
      <c r="BY32">
        <f>BW32*'Dane dla CO'!$N$96+'Dane dla CO'!$N$97</f>
        <v>14.400000000000006</v>
      </c>
      <c r="BZ32">
        <f>IF(BW32&lt;'Dane dla CO'!$Z$67,0,IF(BX32&gt;1,BY32,BX32*BY32))</f>
        <v>14.400000000000006</v>
      </c>
      <c r="CA32">
        <f t="shared" si="37"/>
        <v>0</v>
      </c>
      <c r="CB32" s="84">
        <f>(BW32*'Dane dla CWU'!$AB$53+'Dane dla CWU'!$AD$53)/(BW32*'Dane dla CO'!$P$35+'Dane dla CO'!$Q$35)</f>
        <v>22.145061728395049</v>
      </c>
      <c r="CC32" s="84">
        <f t="shared" si="18"/>
        <v>10.319026666666666</v>
      </c>
      <c r="CD32" s="84">
        <f>IF(BW32&lt;'Dane dla CWU'!$Z$67,0,IF(CB32&gt;1,CC32,CB32*CC32))</f>
        <v>10.319026666666666</v>
      </c>
      <c r="CE32" s="84">
        <f t="shared" si="20"/>
        <v>0</v>
      </c>
      <c r="CG32">
        <v>30</v>
      </c>
      <c r="CH32">
        <v>1</v>
      </c>
      <c r="CI32">
        <f>(CH32*'Dane dla CO'!$AB$53+'Dane dla CO'!$AD$53)/(CH32*'Dane dla CO'!$P$35+'Dane dla CO'!$Q$35)</f>
        <v>1.2191358024691357</v>
      </c>
      <c r="CJ32">
        <f>CH32*'Dane dla CO'!$N$96+'Dane dla CO'!$N$97</f>
        <v>108.00000000000001</v>
      </c>
      <c r="CK32">
        <f>IF(CH32&lt;'Dane dla CO'!$Z$67,0,IF(CI32&gt;1,CJ32,CI32*CJ32))</f>
        <v>108.00000000000001</v>
      </c>
      <c r="CL32">
        <f t="shared" si="21"/>
        <v>0</v>
      </c>
      <c r="CM32" s="84">
        <f>(CH32*'Dane dla CWU'!$AB$53+'Dane dla CWU'!$AD$53)/(CH32*'Dane dla CO'!$P$35+'Dane dla CO'!$Q$35)</f>
        <v>1.1471193415637859</v>
      </c>
      <c r="CN32" s="84">
        <f t="shared" si="0"/>
        <v>10.319026666666666</v>
      </c>
      <c r="CO32" s="84">
        <f>IF(CH32&lt;'Dane dla CWU'!$Z$67,0,IF(CM32&gt;1,CN32,CM32*CN32))</f>
        <v>0</v>
      </c>
      <c r="CP32" s="84">
        <f t="shared" si="1"/>
        <v>10.319026666666666</v>
      </c>
      <c r="CR32">
        <v>30</v>
      </c>
      <c r="CS32">
        <v>4</v>
      </c>
      <c r="CT32">
        <f>(CS32*'Dane dla CO'!$AB$53+'Dane dla CO'!$AD$53)/(CS32*'Dane dla CO'!$P$35+'Dane dla CO'!$Q$35)</f>
        <v>1.5810886644219975</v>
      </c>
      <c r="CU32">
        <f>CS32*'Dane dla CO'!$N$96+'Dane dla CO'!$N$97</f>
        <v>86.4</v>
      </c>
      <c r="CV32">
        <f>IF(CS32&lt;'Dane dla CO'!$Z$67,0,IF(CT32&gt;1,CU32,CT32*CU32))</f>
        <v>86.4</v>
      </c>
      <c r="CW32">
        <f t="shared" si="22"/>
        <v>0</v>
      </c>
      <c r="CX32" s="84">
        <f>(CS32*'Dane dla CWU'!$AB$53+'Dane dla CWU'!$AD$53)/(CS32*'Dane dla CO'!$P$35+'Dane dla CO'!$Q$35)</f>
        <v>1.5876356154133928</v>
      </c>
      <c r="CY32" s="84">
        <f t="shared" si="2"/>
        <v>10.319026666666666</v>
      </c>
      <c r="CZ32" s="84">
        <f>IF(CS32&lt;'Dane dla CWU'!$Z$67,0,IF(CX32&gt;1,CY32,CX32*CY32))</f>
        <v>0</v>
      </c>
      <c r="DA32" s="84">
        <f t="shared" si="3"/>
        <v>10.319026666666666</v>
      </c>
      <c r="DC32">
        <v>30</v>
      </c>
      <c r="DD32">
        <v>0</v>
      </c>
      <c r="DE32">
        <f>(DD32*'Dane dla CO'!$AB$53+'Dane dla CO'!$AD$53)/(DD32*'Dane dla CO'!$P$35+'Dane dla CO'!$Q$35)</f>
        <v>1.1306584362139918</v>
      </c>
      <c r="DF32">
        <f>DD32*'Dane dla CO'!$N$96+'Dane dla CO'!$N$97</f>
        <v>115.20000000000002</v>
      </c>
      <c r="DG32">
        <f>IF(DD32&lt;'Dane dla CO'!$Z$67,0,IF(DE32&gt;1,DF32,DE32*DF32))</f>
        <v>115.20000000000002</v>
      </c>
      <c r="DH32">
        <f t="shared" si="23"/>
        <v>0</v>
      </c>
      <c r="DI32" s="84">
        <f>(DD32*'Dane dla CWU'!$AB$53+'Dane dla CWU'!$AD$53)/(DD32*'Dane dla CO'!$P$35+'Dane dla CO'!$Q$35)</f>
        <v>1.0394375857338818</v>
      </c>
      <c r="DJ32" s="84">
        <f t="shared" si="4"/>
        <v>10.319026666666666</v>
      </c>
      <c r="DK32" s="84">
        <f>IF(DD32&lt;'Dane dla CWU'!$Z$67,0,IF(DI32&gt;1,DJ32,DI32*DJ32))</f>
        <v>0</v>
      </c>
      <c r="DL32" s="84">
        <f t="shared" si="5"/>
        <v>10.319026666666666</v>
      </c>
      <c r="DM32" s="49">
        <v>-3</v>
      </c>
      <c r="DN32" s="94">
        <f>DO32*'Dane dla CO'!$N$80</f>
        <v>282.12244897959187</v>
      </c>
      <c r="DO32" s="94">
        <f>(15-DS32)/35*'Dane dla CO'!$N$75</f>
        <v>2.4685714285714289</v>
      </c>
      <c r="DP32" s="94">
        <f t="shared" si="24"/>
        <v>21.701726844583991</v>
      </c>
      <c r="DQ32" s="51">
        <v>-3</v>
      </c>
      <c r="DR32" s="127">
        <v>13</v>
      </c>
      <c r="DS32" s="127">
        <v>7</v>
      </c>
      <c r="DT32" s="89">
        <f>Wykresy!Y30</f>
        <v>38.799999999999997</v>
      </c>
      <c r="DU32" s="90">
        <f>Wykresy!AE30</f>
        <v>25.1</v>
      </c>
      <c r="DV32" s="92">
        <f>(8.38+6.8)/2</f>
        <v>7.59</v>
      </c>
      <c r="DW32" s="92">
        <f>(1.96+2.31)/2</f>
        <v>2.1349999999999998</v>
      </c>
      <c r="DX32" s="92">
        <f t="shared" si="29"/>
        <v>3.555035128805621</v>
      </c>
      <c r="DY32" s="86">
        <v>9.5</v>
      </c>
      <c r="DZ32" s="86">
        <v>1.91</v>
      </c>
      <c r="EA32" s="96">
        <f t="shared" si="30"/>
        <v>4.9738219895287958</v>
      </c>
      <c r="EB32" s="85">
        <f t="shared" si="32"/>
        <v>13</v>
      </c>
      <c r="EC32" s="85">
        <f t="shared" si="26"/>
        <v>0.20540202966432478</v>
      </c>
      <c r="ED32" s="92">
        <f>'Energia 221.A26'!P29</f>
        <v>4.1276938474565226</v>
      </c>
      <c r="EE32" s="86">
        <f t="shared" si="33"/>
        <v>13</v>
      </c>
      <c r="EF32" s="86">
        <f t="shared" si="27"/>
        <v>0.28737638161721929</v>
      </c>
      <c r="EG32" s="96">
        <f>'Energia 221.A26'!S29</f>
        <v>5.1657440828868086</v>
      </c>
      <c r="EI32" s="127">
        <v>13</v>
      </c>
      <c r="EJ32" s="127">
        <f t="shared" si="25"/>
        <v>153</v>
      </c>
      <c r="EK32" s="127">
        <v>7</v>
      </c>
      <c r="EL32" s="89">
        <v>55</v>
      </c>
      <c r="EM32" s="92">
        <v>6</v>
      </c>
      <c r="EN32" s="92">
        <v>2.77</v>
      </c>
      <c r="EO32" s="92">
        <f t="shared" si="31"/>
        <v>2.1660649819494586</v>
      </c>
      <c r="EP32" s="85">
        <f t="shared" si="36"/>
        <v>13</v>
      </c>
      <c r="EQ32" s="85">
        <f t="shared" si="28"/>
        <v>0.12515042117930206</v>
      </c>
      <c r="ER32" s="92">
        <f>'Energia 221.A26'!V29</f>
        <v>2.5999949704657044</v>
      </c>
      <c r="ES32">
        <f>(EM35-EM32)/3</f>
        <v>0.16666666666666666</v>
      </c>
      <c r="ET32">
        <f>(EN35-EN32)/3</f>
        <v>6.6666666666666723E-3</v>
      </c>
    </row>
    <row r="33" spans="1:165">
      <c r="A33" s="162"/>
      <c r="B33">
        <v>31</v>
      </c>
      <c r="C33">
        <v>-12</v>
      </c>
      <c r="D33" s="84">
        <f>(C33*'Dane dla CO'!$AB$53+'Dane dla CO'!$AD$53)/(C33*'Dane dla CO'!$P$35+'Dane dla CO'!$Q$35)</f>
        <v>0.58013260173754</v>
      </c>
      <c r="E33" s="84">
        <f>C33*'Dane dla CO'!$N$96+'Dane dla CO'!$N$97</f>
        <v>201.60000000000002</v>
      </c>
      <c r="F33" s="84">
        <f>IF(C33&lt;'Dane dla CO'!$Z$67,0,IF(D33&gt;1,E33,D33*E33))</f>
        <v>0</v>
      </c>
      <c r="G33" s="84">
        <f t="shared" si="6"/>
        <v>201.60000000000002</v>
      </c>
      <c r="H33" s="84">
        <f>(C33*'Dane dla CWU'!$AB$53+'Dane dla CWU'!$AD$53)/(C33*'Dane dla CO'!$P$35+'Dane dla CO'!$Q$35)</f>
        <v>0.36941777168114609</v>
      </c>
      <c r="I33" s="84">
        <f t="shared" si="7"/>
        <v>10.319026666666666</v>
      </c>
      <c r="J33" s="84">
        <f>IF(C33&lt;'Dane dla CWU'!$Z$67,0,IF(H33&gt;1,I33,H33*I33))</f>
        <v>0</v>
      </c>
      <c r="K33" s="84">
        <f t="shared" si="8"/>
        <v>10.319026666666666</v>
      </c>
      <c r="X33">
        <v>31</v>
      </c>
      <c r="Y33">
        <v>6</v>
      </c>
      <c r="Z33">
        <f>(Y33*'Dane dla CO'!$AB$53+'Dane dla CO'!$AD$53)/(Y33*'Dane dla CO'!$P$35+'Dane dla CO'!$Q$35)</f>
        <v>1.9564471879286691</v>
      </c>
      <c r="AA33">
        <f>Y33*'Dane dla CO'!$N$96+'Dane dla CO'!$N$97</f>
        <v>72.000000000000014</v>
      </c>
      <c r="AB33">
        <f>IF(Y33&lt;'Dane dla CO'!$Z$67,0,IF(Z33&gt;1,AA33,Z33*AA33))</f>
        <v>72.000000000000014</v>
      </c>
      <c r="AC33">
        <f t="shared" si="12"/>
        <v>0</v>
      </c>
      <c r="AD33" s="84">
        <f>(Y33*'Dane dla CWU'!$AB$53+'Dane dla CWU'!$AD$53)/(Y33*'Dane dla CO'!$P$35+'Dane dla CO'!$Q$35)</f>
        <v>2.0444673068129853</v>
      </c>
      <c r="AE33" s="84">
        <f t="shared" si="13"/>
        <v>10.319026666666666</v>
      </c>
      <c r="AF33" s="84">
        <f>IF(Y33&lt;'Dane dla CWU'!$Z$67,0,IF(AD33&gt;1,AE33,AD33*AE33))</f>
        <v>0</v>
      </c>
      <c r="AG33" s="84">
        <f t="shared" si="14"/>
        <v>10.319026666666666</v>
      </c>
      <c r="AT33">
        <v>31</v>
      </c>
      <c r="AU33">
        <v>17</v>
      </c>
      <c r="BH33">
        <v>31</v>
      </c>
      <c r="BI33">
        <v>21</v>
      </c>
      <c r="BO33">
        <v>31</v>
      </c>
      <c r="BP33">
        <v>20</v>
      </c>
      <c r="CG33">
        <v>31</v>
      </c>
      <c r="CH33">
        <v>3</v>
      </c>
      <c r="CI33">
        <f>(CH33*'Dane dla CO'!$AB$53+'Dane dla CO'!$AD$53)/(CH33*'Dane dla CO'!$P$35+'Dane dla CO'!$Q$35)</f>
        <v>1.4403292181069955</v>
      </c>
      <c r="CJ33">
        <f>CH33*'Dane dla CO'!$N$96+'Dane dla CO'!$N$97</f>
        <v>93.600000000000023</v>
      </c>
      <c r="CK33">
        <f>IF(CH33&lt;'Dane dla CO'!$Z$67,0,IF(CI33&gt;1,CJ33,CI33*CJ33))</f>
        <v>93.600000000000023</v>
      </c>
      <c r="CL33">
        <f t="shared" si="21"/>
        <v>0</v>
      </c>
      <c r="CM33" s="84">
        <f>(CH33*'Dane dla CWU'!$AB$53+'Dane dla CWU'!$AD$53)/(CH33*'Dane dla CO'!$P$35+'Dane dla CO'!$Q$35)</f>
        <v>1.4163237311385457</v>
      </c>
      <c r="CN33" s="84">
        <f t="shared" si="0"/>
        <v>10.319026666666666</v>
      </c>
      <c r="CO33" s="84">
        <f>IF(CH33&lt;'Dane dla CWU'!$Z$67,0,IF(CM33&gt;1,CN33,CM33*CN33))</f>
        <v>0</v>
      </c>
      <c r="CP33" s="84">
        <f t="shared" si="1"/>
        <v>10.319026666666666</v>
      </c>
      <c r="DC33">
        <v>31</v>
      </c>
      <c r="DD33">
        <v>2</v>
      </c>
      <c r="DE33">
        <f>(DD33*'Dane dla CO'!$AB$53+'Dane dla CO'!$AD$53)/(DD33*'Dane dla CO'!$P$35+'Dane dla CO'!$Q$35)</f>
        <v>1.321225071225071</v>
      </c>
      <c r="DF33">
        <f>DD33*'Dane dla CO'!$N$96+'Dane dla CO'!$N$97</f>
        <v>100.80000000000001</v>
      </c>
      <c r="DG33">
        <f>IF(DD33&lt;'Dane dla CO'!$Z$67,0,IF(DE33&gt;1,DF33,DE33*DF33))</f>
        <v>100.80000000000001</v>
      </c>
      <c r="DH33">
        <f t="shared" si="23"/>
        <v>0</v>
      </c>
      <c r="DI33" s="84">
        <f>(DD33*'Dane dla CWU'!$AB$53+'Dane dla CWU'!$AD$53)/(DD33*'Dane dla CO'!$P$35+'Dane dla CO'!$Q$35)</f>
        <v>1.2713675213675213</v>
      </c>
      <c r="DJ33" s="84">
        <f t="shared" si="4"/>
        <v>10.319026666666666</v>
      </c>
      <c r="DK33" s="84">
        <f>IF(DD33&lt;'Dane dla CWU'!$Z$67,0,IF(DI33&gt;1,DJ33,DI33*DJ33))</f>
        <v>0</v>
      </c>
      <c r="DL33" s="84">
        <f t="shared" si="5"/>
        <v>10.319026666666666</v>
      </c>
      <c r="DM33" s="49">
        <v>-3</v>
      </c>
      <c r="DN33" s="94">
        <f>DO33*'Dane dla CO'!$N$80</f>
        <v>246.85714285714289</v>
      </c>
      <c r="DO33" s="94">
        <f>(15-DS33)/35*'Dane dla CO'!$N$75</f>
        <v>2.16</v>
      </c>
      <c r="DP33" s="94">
        <f t="shared" si="24"/>
        <v>14.521008403361346</v>
      </c>
      <c r="DQ33" s="51">
        <v>-3</v>
      </c>
      <c r="DR33" s="127">
        <v>17</v>
      </c>
      <c r="DS33" s="127">
        <v>8</v>
      </c>
      <c r="DT33" s="89">
        <f>Wykresy!Y31</f>
        <v>38.200000000000003</v>
      </c>
      <c r="DU33" s="90">
        <f>Wykresy!AE31</f>
        <v>24.733333333333334</v>
      </c>
      <c r="DV33" s="92">
        <f>(($DV$35-$DV$32)/3)*1+$DV$32</f>
        <v>7.8933333333333335</v>
      </c>
      <c r="DW33" s="92">
        <f>(($DW$35-$DW$32)/3)*1+$DW$32</f>
        <v>2.0599999999999996</v>
      </c>
      <c r="DX33" s="92">
        <f t="shared" si="29"/>
        <v>3.8317152103559877</v>
      </c>
      <c r="DY33" s="86">
        <f>(($DY$35-$DY$32)/3)*1+$DY$32</f>
        <v>9.6666666666666661</v>
      </c>
      <c r="DZ33" s="86">
        <f>(($DZ$35-$DZ$32)/3)*1+$DZ$32</f>
        <v>1.91</v>
      </c>
      <c r="EA33" s="96">
        <f t="shared" si="30"/>
        <v>5.0610820244328094</v>
      </c>
      <c r="EB33" s="85">
        <f t="shared" si="32"/>
        <v>17</v>
      </c>
      <c r="EC33" s="85">
        <f t="shared" si="26"/>
        <v>0.28950737144911903</v>
      </c>
      <c r="ED33" s="92">
        <f>'Energia 221.A26'!P30</f>
        <v>4.2769167206907222</v>
      </c>
      <c r="EE33" s="86">
        <f t="shared" si="33"/>
        <v>17</v>
      </c>
      <c r="EF33" s="86">
        <f t="shared" si="27"/>
        <v>0.38239286406825668</v>
      </c>
      <c r="EG33" s="96">
        <f>'Energia 221.A26'!S30</f>
        <v>5.2157549624478063</v>
      </c>
      <c r="EI33" s="127">
        <v>17</v>
      </c>
      <c r="EJ33" s="127">
        <f t="shared" si="25"/>
        <v>170</v>
      </c>
      <c r="EK33" s="127">
        <v>8</v>
      </c>
      <c r="EL33" s="89">
        <v>55</v>
      </c>
      <c r="EM33" s="92">
        <f>EM32+$ES$32</f>
        <v>6.166666666666667</v>
      </c>
      <c r="EN33" s="92">
        <f>EN32+$ET$32</f>
        <v>2.7766666666666668</v>
      </c>
      <c r="EO33" s="92">
        <f t="shared" si="31"/>
        <v>2.220888355342137</v>
      </c>
      <c r="EP33" s="85">
        <f t="shared" si="36"/>
        <v>17</v>
      </c>
      <c r="EQ33" s="85">
        <f t="shared" si="28"/>
        <v>0.16780045351473927</v>
      </c>
      <c r="ER33" s="92">
        <f>'Energia 221.A26'!V30</f>
        <v>2.6264789603751466</v>
      </c>
    </row>
    <row r="34" spans="1:165">
      <c r="DM34" s="49">
        <v>-2</v>
      </c>
      <c r="DN34" s="94">
        <f>DO34*'Dane dla CO'!$N$80</f>
        <v>211.59183673469391</v>
      </c>
      <c r="DO34" s="94">
        <f>(15-DS34)/35*'Dane dla CO'!$N$75</f>
        <v>1.8514285714285716</v>
      </c>
      <c r="DP34" s="94">
        <f t="shared" si="24"/>
        <v>23.510204081632658</v>
      </c>
      <c r="DQ34" s="51">
        <v>-2</v>
      </c>
      <c r="DR34" s="127">
        <v>9</v>
      </c>
      <c r="DS34" s="127">
        <v>9</v>
      </c>
      <c r="DT34" s="89">
        <f>Wykresy!Y32</f>
        <v>37.6</v>
      </c>
      <c r="DU34" s="90">
        <f>Wykresy!AE32</f>
        <v>24.366666666666667</v>
      </c>
      <c r="DV34" s="92">
        <f>(($DV$35-$DV$32)/3)*2+$DV$32</f>
        <v>8.1966666666666672</v>
      </c>
      <c r="DW34" s="92">
        <f>(($DW$35-$DW$32)/3)*2+$DW$32</f>
        <v>1.9849999999999999</v>
      </c>
      <c r="DX34" s="92">
        <f t="shared" si="29"/>
        <v>4.1293031066330821</v>
      </c>
      <c r="DY34" s="86">
        <f>(($DY$35-$DY$32)/3)*2+$DY$32</f>
        <v>9.8333333333333339</v>
      </c>
      <c r="DZ34" s="86">
        <f>(($DZ$35-$DZ$32)/3)*2+$DZ$32</f>
        <v>1.91</v>
      </c>
      <c r="EA34" s="96">
        <f t="shared" si="30"/>
        <v>5.1483420593368239</v>
      </c>
      <c r="EB34" s="85">
        <f t="shared" si="32"/>
        <v>9</v>
      </c>
      <c r="EC34" s="85">
        <f t="shared" si="26"/>
        <v>0.16517212426532327</v>
      </c>
      <c r="ED34" s="92">
        <f>'Energia 221.A26'!P31</f>
        <v>4.4703589104847286</v>
      </c>
      <c r="EE34" s="86">
        <f t="shared" si="33"/>
        <v>9</v>
      </c>
      <c r="EF34" s="86">
        <f t="shared" si="27"/>
        <v>0.20593368237347295</v>
      </c>
      <c r="EG34" s="96">
        <f>'Energia 221.A26'!S31</f>
        <v>5.2829610952594344</v>
      </c>
      <c r="EI34" s="127">
        <v>9</v>
      </c>
      <c r="EJ34" s="127">
        <f t="shared" si="25"/>
        <v>179</v>
      </c>
      <c r="EK34" s="127">
        <v>9</v>
      </c>
      <c r="EL34" s="89">
        <v>55</v>
      </c>
      <c r="EM34" s="92">
        <f>EM33+$ES$32</f>
        <v>6.3333333333333339</v>
      </c>
      <c r="EN34" s="92">
        <f>EN33+$ET$32</f>
        <v>2.7833333333333337</v>
      </c>
      <c r="EO34" s="92">
        <f t="shared" si="31"/>
        <v>2.2754491017964069</v>
      </c>
      <c r="EP34" s="85">
        <f t="shared" si="36"/>
        <v>9</v>
      </c>
      <c r="EQ34" s="85">
        <f t="shared" si="28"/>
        <v>9.1017964071856278E-2</v>
      </c>
      <c r="ER34" s="92">
        <f>'Energia 221.A26'!V31</f>
        <v>2.6616577373422952</v>
      </c>
    </row>
    <row r="35" spans="1:165">
      <c r="DM35" s="49">
        <v>-2</v>
      </c>
      <c r="DN35" s="94">
        <f>DO35*'Dane dla CO'!$N$80</f>
        <v>176.32653061224491</v>
      </c>
      <c r="DO35" s="94">
        <f>(15-DS35)/35*'Dane dla CO'!$N$75</f>
        <v>1.5428571428571429</v>
      </c>
      <c r="DP35" s="94">
        <f t="shared" si="24"/>
        <v>16.029684601113175</v>
      </c>
      <c r="DQ35" s="51">
        <v>-2</v>
      </c>
      <c r="DR35" s="127">
        <v>11</v>
      </c>
      <c r="DS35" s="127">
        <v>10</v>
      </c>
      <c r="DT35" s="89">
        <f>Wykresy!Y33</f>
        <v>37</v>
      </c>
      <c r="DU35" s="90">
        <f>Wykresy!AE33</f>
        <v>24</v>
      </c>
      <c r="DV35" s="92">
        <v>8.5</v>
      </c>
      <c r="DW35" s="92">
        <v>1.91</v>
      </c>
      <c r="DX35" s="92">
        <f t="shared" si="29"/>
        <v>4.4502617801047126</v>
      </c>
      <c r="DY35" s="86">
        <v>10</v>
      </c>
      <c r="DZ35" s="86">
        <v>1.91</v>
      </c>
      <c r="EA35" s="96">
        <f t="shared" si="30"/>
        <v>5.2356020942408383</v>
      </c>
      <c r="EB35" s="85">
        <f t="shared" si="32"/>
        <v>11</v>
      </c>
      <c r="EC35" s="85">
        <f t="shared" si="26"/>
        <v>0.21756835369400818</v>
      </c>
      <c r="ED35" s="92">
        <f>'Energia 221.A26'!P32</f>
        <v>4.5563049730553429</v>
      </c>
      <c r="EE35" s="86">
        <f t="shared" si="33"/>
        <v>11</v>
      </c>
      <c r="EF35" s="86">
        <f t="shared" si="27"/>
        <v>0.25596276905177434</v>
      </c>
      <c r="EG35" s="96">
        <f>'Energia 221.A26'!S32</f>
        <v>5.3168850923119324</v>
      </c>
      <c r="EI35" s="127">
        <v>17</v>
      </c>
      <c r="EJ35" s="127">
        <f t="shared" si="25"/>
        <v>196</v>
      </c>
      <c r="EK35" s="127">
        <v>10</v>
      </c>
      <c r="EL35" s="89">
        <v>55</v>
      </c>
      <c r="EM35" s="92">
        <v>6.5</v>
      </c>
      <c r="EN35" s="92">
        <v>2.79</v>
      </c>
      <c r="EO35" s="92">
        <f t="shared" si="31"/>
        <v>2.3297491039426523</v>
      </c>
      <c r="EP35" s="85">
        <f t="shared" si="36"/>
        <v>17</v>
      </c>
      <c r="EQ35" s="85">
        <f t="shared" si="28"/>
        <v>0.17602548785344485</v>
      </c>
      <c r="ER35" s="92">
        <f>'Energia 221.A26'!V32</f>
        <v>2.6802453187322044</v>
      </c>
      <c r="ES35">
        <f>(EM45-EM35)/10</f>
        <v>0.12999999999999998</v>
      </c>
      <c r="ET35">
        <f>(EN45-EN35)/10</f>
        <v>-2.0000000000000018E-3</v>
      </c>
    </row>
    <row r="36" spans="1:165">
      <c r="DM36" s="49">
        <v>-2</v>
      </c>
      <c r="DN36" s="94">
        <f>DO36*'Dane dla CO'!$N$80</f>
        <v>141.06122448979593</v>
      </c>
      <c r="DO36" s="94">
        <f>(15-DS36)/35*'Dane dla CO'!$N$75</f>
        <v>1.2342857142857144</v>
      </c>
      <c r="DP36" s="94">
        <f t="shared" si="24"/>
        <v>15.673469387755103</v>
      </c>
      <c r="DQ36" s="51">
        <v>-2</v>
      </c>
      <c r="DR36" s="127">
        <v>9</v>
      </c>
      <c r="DS36" s="127">
        <v>11</v>
      </c>
      <c r="DT36" s="89">
        <f>Wykresy!Y34</f>
        <v>36.4</v>
      </c>
      <c r="DU36" s="90">
        <f>Wykresy!AE34</f>
        <v>23.633333333333333</v>
      </c>
      <c r="DV36" s="92">
        <f>(($DV$45-$DV$35)/10)*1+$DV$35</f>
        <v>8.64</v>
      </c>
      <c r="DW36" s="92">
        <f>(($DW$45-$DW$35)/10)*1+$DW$35</f>
        <v>1.9089999999999998</v>
      </c>
      <c r="DX36" s="92">
        <f t="shared" si="29"/>
        <v>4.5259298061812476</v>
      </c>
      <c r="DY36" s="86">
        <f>(($DY$45-$DY$35)/10)*1+$DY$35</f>
        <v>10.1</v>
      </c>
      <c r="DZ36" s="86">
        <v>1.91</v>
      </c>
      <c r="EA36" s="96">
        <f t="shared" si="30"/>
        <v>5.2879581151832458</v>
      </c>
      <c r="EB36" s="85">
        <f t="shared" si="32"/>
        <v>9</v>
      </c>
      <c r="EC36" s="85">
        <f t="shared" si="26"/>
        <v>0.1810371922472499</v>
      </c>
      <c r="ED36" s="92">
        <f>'Energia 221.A26'!P33</f>
        <v>4.6293887952240214</v>
      </c>
      <c r="EE36" s="86">
        <f t="shared" si="33"/>
        <v>9</v>
      </c>
      <c r="EF36" s="86">
        <f t="shared" si="27"/>
        <v>0.21151832460732983</v>
      </c>
      <c r="EG36" s="96">
        <f>'Energia 221.A26'!S33</f>
        <v>5.3729044558474151</v>
      </c>
      <c r="EI36" s="127">
        <v>10</v>
      </c>
      <c r="EJ36" s="127">
        <f t="shared" si="25"/>
        <v>206</v>
      </c>
      <c r="EK36" s="127">
        <v>11</v>
      </c>
      <c r="EL36" s="89">
        <v>55</v>
      </c>
      <c r="EM36" s="92">
        <f>EM35+$ES$35</f>
        <v>6.63</v>
      </c>
      <c r="EN36" s="92">
        <f>EN35+$ET$35</f>
        <v>2.7880000000000003</v>
      </c>
      <c r="EO36" s="92">
        <f t="shared" si="31"/>
        <v>2.3780487804878048</v>
      </c>
      <c r="EP36" s="85">
        <f t="shared" si="36"/>
        <v>10</v>
      </c>
      <c r="EQ36" s="85">
        <f t="shared" si="28"/>
        <v>0.10569105691056911</v>
      </c>
      <c r="ER36" s="92">
        <f>'Energia 221.A26'!V33</f>
        <v>2.7152949402111597</v>
      </c>
    </row>
    <row r="37" spans="1:165">
      <c r="E37">
        <f>G37+F37</f>
        <v>3506.4000000000005</v>
      </c>
      <c r="F37">
        <f>SUM(F3:F36)</f>
        <v>2404.8000000000002</v>
      </c>
      <c r="G37">
        <f>SUM(G3:G36)</f>
        <v>1101.6000000000001</v>
      </c>
      <c r="I37">
        <f>K37+J37</f>
        <v>319.88982666666681</v>
      </c>
      <c r="J37">
        <f>SUM(J3:J36)</f>
        <v>0</v>
      </c>
      <c r="K37">
        <f>SUM(K3:K36)</f>
        <v>319.88982666666681</v>
      </c>
      <c r="P37">
        <f>R37+Q37</f>
        <v>4183.2000000000007</v>
      </c>
      <c r="Q37">
        <f>SUM(Q3:Q36)</f>
        <v>1396.8000000000002</v>
      </c>
      <c r="R37">
        <f>SUM(R3:R36)</f>
        <v>2786.4000000000005</v>
      </c>
      <c r="T37">
        <f>V37+U37</f>
        <v>299.25177333333346</v>
      </c>
      <c r="U37">
        <f>SUM(U3:U36)</f>
        <v>10.319026666666666</v>
      </c>
      <c r="V37">
        <f>SUM(V3:V36)</f>
        <v>288.93274666666679</v>
      </c>
      <c r="AA37">
        <f>AC37+AB37</f>
        <v>2268</v>
      </c>
      <c r="AB37">
        <f>SUM(AB3:AB36)</f>
        <v>2264.0941176470587</v>
      </c>
      <c r="AC37">
        <f>SUM(AC3:AC36)</f>
        <v>3.9058823529412052</v>
      </c>
      <c r="AE37">
        <f>AG37+AF37</f>
        <v>319.88982666666675</v>
      </c>
      <c r="AF37">
        <f>SUM(AF3:AF36)</f>
        <v>103.19026666666667</v>
      </c>
      <c r="AG37">
        <f>SUM(AG3:AG36)</f>
        <v>216.69956000000008</v>
      </c>
      <c r="AL37">
        <f>AN37+AM37</f>
        <v>1252.8000000000002</v>
      </c>
      <c r="AM37">
        <f>SUM(AM3:AM36)</f>
        <v>1252.8000000000002</v>
      </c>
      <c r="AN37">
        <f>SUM(AN3:AN36)</f>
        <v>0</v>
      </c>
      <c r="AP37">
        <f>AR37+AQ37</f>
        <v>309.57080000000008</v>
      </c>
      <c r="AQ37">
        <f>SUM(AQ3:AQ36)</f>
        <v>227.01858666666675</v>
      </c>
      <c r="AR37">
        <f>SUM(AR3:AR36)</f>
        <v>82.552213333333327</v>
      </c>
      <c r="BY37">
        <f>CA37+BZ37</f>
        <v>367.20000000000016</v>
      </c>
      <c r="BZ37">
        <f>SUM(BZ3:BZ36)</f>
        <v>367.20000000000016</v>
      </c>
      <c r="CA37">
        <f>SUM(CA3:CA36)</f>
        <v>0</v>
      </c>
      <c r="CC37">
        <f>CE37+CD37</f>
        <v>309.57080000000008</v>
      </c>
      <c r="CD37">
        <f>SUM(CD3:CD36)</f>
        <v>257.97566666666677</v>
      </c>
      <c r="CE37">
        <f>SUM(CE3:CE36)</f>
        <v>51.59513333333333</v>
      </c>
      <c r="CJ37">
        <f>CL37+CK37</f>
        <v>1728</v>
      </c>
      <c r="CK37">
        <f>SUM(CK3:CK36)</f>
        <v>1728</v>
      </c>
      <c r="CL37">
        <f>SUM(CL3:CL36)</f>
        <v>0</v>
      </c>
      <c r="CN37">
        <f>CP37+CO37</f>
        <v>319.88982666666675</v>
      </c>
      <c r="CO37">
        <f>SUM(CO3:CO36)</f>
        <v>227.01858666666675</v>
      </c>
      <c r="CP37">
        <f>SUM(CP3:CP36)</f>
        <v>92.87124</v>
      </c>
      <c r="CU37">
        <f>CW37+CV37</f>
        <v>2397.6000000000013</v>
      </c>
      <c r="CV37">
        <f>SUM(CV3:CV36)</f>
        <v>2397.6000000000013</v>
      </c>
      <c r="CW37">
        <f>SUM(CW3:CW36)</f>
        <v>0</v>
      </c>
      <c r="CY37">
        <f>DA37+CZ37</f>
        <v>309.57080000000008</v>
      </c>
      <c r="CZ37">
        <f>SUM(CZ3:CZ36)</f>
        <v>41.276106666666664</v>
      </c>
      <c r="DA37">
        <f>SUM(DA3:DA36)</f>
        <v>268.29469333333344</v>
      </c>
      <c r="DF37">
        <f>DH37+DG37</f>
        <v>3931.2000000000012</v>
      </c>
      <c r="DG37">
        <f>SUM(DG3:DG36)</f>
        <v>2069.6941176470596</v>
      </c>
      <c r="DH37">
        <f>SUM(DH3:DH36)</f>
        <v>1861.5058823529416</v>
      </c>
      <c r="DJ37">
        <f>DL37+DK37</f>
        <v>319.88982666666681</v>
      </c>
      <c r="DK37">
        <f>SUM(DK3:DK36)</f>
        <v>0</v>
      </c>
      <c r="DL37">
        <f>SUM(DL3:DL36)</f>
        <v>319.88982666666681</v>
      </c>
      <c r="DM37" s="49">
        <v>-2</v>
      </c>
      <c r="DN37" s="94">
        <f>DO37*'Dane dla CO'!$N$80</f>
        <v>105.79591836734696</v>
      </c>
      <c r="DO37" s="94">
        <f>(15-DS37)/35*'Dane dla CO'!$N$75</f>
        <v>0.92571428571428582</v>
      </c>
      <c r="DP37" s="94">
        <f t="shared" si="24"/>
        <v>26.448979591836739</v>
      </c>
      <c r="DQ37" s="51">
        <v>-2</v>
      </c>
      <c r="DR37" s="127">
        <v>4</v>
      </c>
      <c r="DS37" s="127">
        <v>12</v>
      </c>
      <c r="DT37" s="89">
        <f>Wykresy!Y35</f>
        <v>35.799999999999997</v>
      </c>
      <c r="DU37" s="90">
        <f>Wykresy!AE35</f>
        <v>23.266666666666669</v>
      </c>
      <c r="DV37" s="92">
        <f>(($DV$45-$DV$35)/10)*2+$DV$35</f>
        <v>8.7799999999999994</v>
      </c>
      <c r="DW37" s="92">
        <f>(($DW$45-$DW$35)/10)*2+$DW$35</f>
        <v>1.9079999999999999</v>
      </c>
      <c r="DX37" s="92">
        <f t="shared" si="29"/>
        <v>4.6016771488469601</v>
      </c>
      <c r="DY37" s="86">
        <f>(($DY$45-$DY$35)/10)*2+$DY$35</f>
        <v>10.199999999999999</v>
      </c>
      <c r="DZ37" s="86">
        <v>1.91</v>
      </c>
      <c r="EA37" s="96">
        <f t="shared" si="30"/>
        <v>5.3403141361256541</v>
      </c>
      <c r="EB37" s="85">
        <f t="shared" si="32"/>
        <v>4</v>
      </c>
      <c r="EC37" s="85">
        <f t="shared" si="26"/>
        <v>8.1807593757279293E-2</v>
      </c>
      <c r="ED37" s="92">
        <f>'Energia 221.A26'!P34</f>
        <v>4.6821739937152325</v>
      </c>
      <c r="EE37" s="86">
        <f t="shared" si="33"/>
        <v>4</v>
      </c>
      <c r="EF37" s="86">
        <f t="shared" si="27"/>
        <v>9.493891797556718E-2</v>
      </c>
      <c r="EG37" s="96">
        <f>'Energia 221.A26'!S34</f>
        <v>5.4162444255740319</v>
      </c>
      <c r="EI37" s="127">
        <v>7</v>
      </c>
      <c r="EJ37" s="127">
        <f t="shared" si="25"/>
        <v>213</v>
      </c>
      <c r="EK37" s="127">
        <v>12</v>
      </c>
      <c r="EL37" s="89">
        <v>55</v>
      </c>
      <c r="EM37" s="92">
        <f t="shared" ref="EM37:EM44" si="41">EM36+$ES$35</f>
        <v>6.76</v>
      </c>
      <c r="EN37" s="92">
        <f t="shared" ref="EN37:EN44" si="42">EN36+$ET$35</f>
        <v>2.7860000000000005</v>
      </c>
      <c r="EO37" s="92">
        <f t="shared" si="31"/>
        <v>2.426417803302225</v>
      </c>
      <c r="EP37" s="85">
        <f t="shared" si="36"/>
        <v>7</v>
      </c>
      <c r="EQ37" s="85">
        <f t="shared" si="28"/>
        <v>7.5488553880513662E-2</v>
      </c>
      <c r="ER37" s="92">
        <f>'Energia 221.A26'!V34</f>
        <v>2.7363728251938695</v>
      </c>
    </row>
    <row r="38" spans="1:165">
      <c r="DM38" s="49">
        <v>-1</v>
      </c>
      <c r="DN38" s="94">
        <f>DO38*'Dane dla CO'!$N$80</f>
        <v>70.530612244897966</v>
      </c>
      <c r="DO38" s="94">
        <f>(15-DS38)/35*'Dane dla CO'!$N$75</f>
        <v>0.61714285714285722</v>
      </c>
      <c r="DP38" s="94">
        <f t="shared" si="24"/>
        <v>7.8367346938775517</v>
      </c>
      <c r="DQ38" s="51">
        <v>-1</v>
      </c>
      <c r="DR38" s="127">
        <v>9</v>
      </c>
      <c r="DS38" s="127">
        <v>13</v>
      </c>
      <c r="DT38" s="89">
        <f>Wykresy!Y36</f>
        <v>35.200000000000003</v>
      </c>
      <c r="DU38" s="90">
        <f>Wykresy!AE36</f>
        <v>22.900000000000002</v>
      </c>
      <c r="DV38" s="92">
        <f>(($DV$45-$DV$35)/10)*3+$DV$35</f>
        <v>8.92</v>
      </c>
      <c r="DW38" s="92">
        <f>(($DW$45-$DW$35)/10)*3+$DW$35</f>
        <v>1.907</v>
      </c>
      <c r="DX38" s="92">
        <f t="shared" si="29"/>
        <v>4.6775039328788672</v>
      </c>
      <c r="DY38" s="86">
        <f>(($DY$45-$DY$35)/10)*3+$DY$35</f>
        <v>10.3</v>
      </c>
      <c r="DZ38" s="86">
        <v>1.9</v>
      </c>
      <c r="EA38" s="96">
        <f t="shared" si="30"/>
        <v>5.4210526315789478</v>
      </c>
      <c r="EB38" s="85">
        <f t="shared" si="32"/>
        <v>9</v>
      </c>
      <c r="EC38" s="85">
        <f t="shared" si="26"/>
        <v>0.18710015731515467</v>
      </c>
      <c r="ED38" s="92">
        <f>'Energia 221.A26'!P35</f>
        <v>4.7143727316625421</v>
      </c>
      <c r="EE38" s="86">
        <f t="shared" si="33"/>
        <v>9</v>
      </c>
      <c r="EF38" s="86">
        <f t="shared" si="27"/>
        <v>0.21684210526315789</v>
      </c>
      <c r="EG38" s="96">
        <f>'Energia 221.A26'!S35</f>
        <v>5.446616541353384</v>
      </c>
      <c r="EI38" s="127">
        <v>12</v>
      </c>
      <c r="EJ38" s="127">
        <f t="shared" si="25"/>
        <v>225</v>
      </c>
      <c r="EK38" s="127">
        <v>13</v>
      </c>
      <c r="EL38" s="89">
        <v>55</v>
      </c>
      <c r="EM38" s="92">
        <f t="shared" si="41"/>
        <v>6.89</v>
      </c>
      <c r="EN38" s="92">
        <f t="shared" si="42"/>
        <v>2.7840000000000007</v>
      </c>
      <c r="EO38" s="92">
        <f t="shared" si="31"/>
        <v>2.4748563218390798</v>
      </c>
      <c r="EP38" s="85">
        <f t="shared" si="36"/>
        <v>12</v>
      </c>
      <c r="EQ38" s="85">
        <f t="shared" si="28"/>
        <v>0.13199233716475092</v>
      </c>
      <c r="ER38" s="92">
        <f>'Energia 221.A26'!V35</f>
        <v>2.7505537739078658</v>
      </c>
    </row>
    <row r="39" spans="1:165">
      <c r="DM39" s="49">
        <v>-1</v>
      </c>
      <c r="DN39" s="94">
        <f>DO39*'Dane dla CO'!$N$80</f>
        <v>35.265306122448983</v>
      </c>
      <c r="DO39" s="94">
        <f>(15-DS39)/35*'Dane dla CO'!$N$75</f>
        <v>0.30857142857142861</v>
      </c>
      <c r="DP39" s="94">
        <f t="shared" si="24"/>
        <v>3.9183673469387759</v>
      </c>
      <c r="DQ39" s="51">
        <v>-1</v>
      </c>
      <c r="DR39" s="127">
        <v>9</v>
      </c>
      <c r="DS39" s="127">
        <v>14</v>
      </c>
      <c r="DT39" s="89">
        <f>Wykresy!Y37</f>
        <v>34.6</v>
      </c>
      <c r="DU39" s="90">
        <f>Wykresy!AE37</f>
        <v>22.533333333333335</v>
      </c>
      <c r="DV39" s="92">
        <f>(($DV$45-$DV$35)/10)*4+$DV$35</f>
        <v>9.06</v>
      </c>
      <c r="DW39" s="92">
        <f>(($DW$45-$DW$35)/10)*4+$DW$35</f>
        <v>1.9059999999999999</v>
      </c>
      <c r="DX39" s="92">
        <f t="shared" si="29"/>
        <v>4.7534102833158451</v>
      </c>
      <c r="DY39" s="86">
        <f>(($DY$45-$DY$35)/10)*4+$DY$35</f>
        <v>10.4</v>
      </c>
      <c r="DZ39" s="86">
        <v>1.9</v>
      </c>
      <c r="EA39" s="96">
        <f t="shared" si="30"/>
        <v>5.4736842105263159</v>
      </c>
      <c r="EB39" s="85">
        <f t="shared" si="32"/>
        <v>9</v>
      </c>
      <c r="EC39" s="85">
        <f t="shared" si="26"/>
        <v>0.19013641133263381</v>
      </c>
      <c r="ED39" s="92">
        <f>'Energia 221.A26'!P36</f>
        <v>4.7534102833158451</v>
      </c>
      <c r="EE39" s="86">
        <f t="shared" si="33"/>
        <v>9</v>
      </c>
      <c r="EF39" s="86">
        <f t="shared" si="27"/>
        <v>0.21894736842105264</v>
      </c>
      <c r="EG39" s="96">
        <f>'Energia 221.A26'!S36</f>
        <v>5.4736842105263159</v>
      </c>
      <c r="EI39" s="127">
        <v>17</v>
      </c>
      <c r="EJ39" s="127">
        <f t="shared" si="25"/>
        <v>242</v>
      </c>
      <c r="EK39" s="127">
        <v>14</v>
      </c>
      <c r="EL39" s="89">
        <v>55</v>
      </c>
      <c r="EM39" s="92">
        <f t="shared" si="41"/>
        <v>7.02</v>
      </c>
      <c r="EN39" s="92">
        <f t="shared" si="42"/>
        <v>2.7820000000000009</v>
      </c>
      <c r="EO39" s="92">
        <f t="shared" si="31"/>
        <v>2.5233644859813076</v>
      </c>
      <c r="EP39" s="85">
        <f t="shared" si="36"/>
        <v>17</v>
      </c>
      <c r="EQ39" s="85">
        <f t="shared" si="28"/>
        <v>0.19065420560747656</v>
      </c>
      <c r="ER39" s="92">
        <f>'Energia 221.A26'!V36</f>
        <v>2.7740173868498905</v>
      </c>
    </row>
    <row r="40" spans="1:165">
      <c r="E40" t="s">
        <v>223</v>
      </c>
      <c r="DM40" s="49">
        <v>-1</v>
      </c>
      <c r="DN40" s="94">
        <f>DO40*'Dane dla CO'!$N$80</f>
        <v>0</v>
      </c>
      <c r="DO40" s="94">
        <f>(15-DS40)/35*'Dane dla CO'!$N$75</f>
        <v>0</v>
      </c>
      <c r="DP40" s="94">
        <f t="shared" si="24"/>
        <v>0</v>
      </c>
      <c r="DQ40" s="51">
        <v>-1</v>
      </c>
      <c r="DR40" s="127">
        <v>4</v>
      </c>
      <c r="DS40" s="127">
        <v>15</v>
      </c>
      <c r="DT40" s="89">
        <f>Wykresy!Y38</f>
        <v>34</v>
      </c>
      <c r="DU40" s="90">
        <f>Wykresy!AE38</f>
        <v>22.166666666666668</v>
      </c>
      <c r="DV40" s="92">
        <f>(($DV$45-$DV$35)/10)*5+$DV$35</f>
        <v>9.1999999999999993</v>
      </c>
      <c r="DW40" s="92">
        <f>(($DW$45-$DW$35)/10)*5+$DW$35</f>
        <v>1.9049999999999998</v>
      </c>
      <c r="DX40" s="92">
        <f t="shared" si="29"/>
        <v>4.8293963254593173</v>
      </c>
      <c r="DY40" s="86">
        <f>(($DY$45-$DY$35)/10)*5+$DY$35</f>
        <v>10.5</v>
      </c>
      <c r="DZ40" s="86">
        <v>1.9</v>
      </c>
      <c r="EA40" s="96">
        <f t="shared" si="30"/>
        <v>5.5263157894736841</v>
      </c>
      <c r="EB40" s="85">
        <f t="shared" si="32"/>
        <v>4</v>
      </c>
      <c r="EC40" s="85">
        <f t="shared" si="26"/>
        <v>8.585593467483231E-2</v>
      </c>
      <c r="ED40" s="92">
        <f>'Energia 221.A26'!P37</f>
        <v>4.7534102833158451</v>
      </c>
      <c r="EE40" s="86">
        <f t="shared" si="33"/>
        <v>4</v>
      </c>
      <c r="EF40" s="86">
        <f t="shared" si="27"/>
        <v>9.8245614035087719E-2</v>
      </c>
      <c r="EG40" s="96">
        <f>'Energia 221.A26'!S37</f>
        <v>5.4736842105263159</v>
      </c>
      <c r="EI40" s="127">
        <v>8</v>
      </c>
      <c r="EJ40" s="127">
        <f t="shared" si="25"/>
        <v>250</v>
      </c>
      <c r="EK40" s="127">
        <v>15</v>
      </c>
      <c r="EL40" s="89">
        <v>55</v>
      </c>
      <c r="EM40" s="92">
        <f t="shared" si="41"/>
        <v>7.1499999999999995</v>
      </c>
      <c r="EN40" s="92">
        <f t="shared" si="42"/>
        <v>2.7800000000000011</v>
      </c>
      <c r="EO40" s="92">
        <f t="shared" si="31"/>
        <v>2.5719424460431641</v>
      </c>
      <c r="EP40" s="85">
        <f t="shared" si="36"/>
        <v>8</v>
      </c>
      <c r="EQ40" s="85">
        <f t="shared" si="28"/>
        <v>9.1446842525979163E-2</v>
      </c>
      <c r="ER40" s="92">
        <f>'Energia 221.A26'!V37</f>
        <v>2.8083810910012286</v>
      </c>
    </row>
    <row r="41" spans="1:165">
      <c r="D41" t="s">
        <v>238</v>
      </c>
      <c r="E41">
        <f>(E37+P37+AA37+AL37+BY37+CJ37+CU37+DF37)*'Dane dla CO'!H42</f>
        <v>17474.616000000005</v>
      </c>
      <c r="F41" t="s">
        <v>61</v>
      </c>
      <c r="DM41" s="49">
        <v>-1</v>
      </c>
      <c r="DQ41" s="51">
        <v>-1</v>
      </c>
      <c r="DR41" s="127"/>
      <c r="DS41" s="127"/>
      <c r="EI41" s="127">
        <v>15</v>
      </c>
      <c r="EJ41" s="127">
        <f t="shared" si="25"/>
        <v>265</v>
      </c>
      <c r="EK41" s="127">
        <v>16</v>
      </c>
      <c r="EL41" s="89">
        <v>55</v>
      </c>
      <c r="EM41" s="92">
        <f t="shared" si="41"/>
        <v>7.2799999999999994</v>
      </c>
      <c r="EN41" s="92">
        <f t="shared" si="42"/>
        <v>2.7780000000000014</v>
      </c>
      <c r="EO41" s="92">
        <f t="shared" si="31"/>
        <v>2.6205903527717767</v>
      </c>
      <c r="EP41" s="85">
        <f t="shared" si="36"/>
        <v>15</v>
      </c>
      <c r="EQ41" s="85">
        <f t="shared" si="28"/>
        <v>0.17470602351811843</v>
      </c>
      <c r="ER41" s="92">
        <f>'Energia 221.A26'!V38</f>
        <v>2.824687204446612</v>
      </c>
    </row>
    <row r="42" spans="1:165">
      <c r="D42" t="s">
        <v>239</v>
      </c>
      <c r="E42">
        <f>'Dane dla CWU'!H43</f>
        <v>3766.4447333333333</v>
      </c>
      <c r="DM42" s="49">
        <v>-1</v>
      </c>
      <c r="DQ42" s="51">
        <v>-1</v>
      </c>
      <c r="DR42" s="127"/>
      <c r="DS42" s="127"/>
      <c r="DT42" s="95">
        <f>SUM(DR5:DR40)</f>
        <v>225</v>
      </c>
      <c r="EI42" s="127">
        <v>19</v>
      </c>
      <c r="EJ42" s="127">
        <f t="shared" si="25"/>
        <v>284</v>
      </c>
      <c r="EK42" s="127">
        <v>17</v>
      </c>
      <c r="EL42" s="89">
        <v>55</v>
      </c>
      <c r="EM42" s="92">
        <f t="shared" si="41"/>
        <v>7.4099999999999993</v>
      </c>
      <c r="EN42" s="92">
        <f t="shared" si="42"/>
        <v>2.7760000000000016</v>
      </c>
      <c r="EO42" s="92">
        <f t="shared" si="31"/>
        <v>2.6693083573487013</v>
      </c>
      <c r="EP42" s="85">
        <f t="shared" si="36"/>
        <v>19</v>
      </c>
      <c r="EQ42" s="85">
        <f t="shared" si="28"/>
        <v>0.22540826128722369</v>
      </c>
      <c r="ER42" s="92">
        <f>'Energia 221.A26'!V39</f>
        <v>2.8549986180616869</v>
      </c>
    </row>
    <row r="43" spans="1:165">
      <c r="D43" t="s">
        <v>232</v>
      </c>
      <c r="E43" t="s">
        <v>233</v>
      </c>
      <c r="F43" t="s">
        <v>234</v>
      </c>
      <c r="G43" t="s">
        <v>235</v>
      </c>
      <c r="I43" t="s">
        <v>253</v>
      </c>
      <c r="J43" t="s">
        <v>254</v>
      </c>
      <c r="DM43" s="49">
        <v>-1</v>
      </c>
      <c r="DQ43" s="51">
        <v>-1</v>
      </c>
      <c r="DR43" s="127">
        <v>13</v>
      </c>
      <c r="DS43" s="127">
        <v>16</v>
      </c>
      <c r="EI43" s="127">
        <v>12</v>
      </c>
      <c r="EJ43" s="127">
        <f t="shared" si="25"/>
        <v>296</v>
      </c>
      <c r="EK43" s="127">
        <v>18</v>
      </c>
      <c r="EL43" s="89">
        <v>55</v>
      </c>
      <c r="EM43" s="92">
        <f t="shared" si="41"/>
        <v>7.5399999999999991</v>
      </c>
      <c r="EN43" s="92">
        <f t="shared" si="42"/>
        <v>2.7740000000000018</v>
      </c>
      <c r="EO43" s="92">
        <f t="shared" si="31"/>
        <v>2.7180966113914904</v>
      </c>
      <c r="EP43" s="85">
        <f t="shared" si="36"/>
        <v>12</v>
      </c>
      <c r="EQ43" s="85">
        <f t="shared" si="28"/>
        <v>0.14496515260754614</v>
      </c>
      <c r="ER43" s="92">
        <f>'Energia 221.A26'!V40</f>
        <v>2.8980244101781105</v>
      </c>
      <c r="EY43" t="s">
        <v>202</v>
      </c>
      <c r="FD43" t="s">
        <v>204</v>
      </c>
    </row>
    <row r="44" spans="1:165">
      <c r="B44" t="s">
        <v>241</v>
      </c>
      <c r="D44">
        <f>F37</f>
        <v>2404.8000000000002</v>
      </c>
      <c r="E44">
        <f>G37</f>
        <v>1101.6000000000001</v>
      </c>
      <c r="F44">
        <f>J37</f>
        <v>0</v>
      </c>
      <c r="G44">
        <f>K37</f>
        <v>319.88982666666681</v>
      </c>
      <c r="I44" s="84">
        <f>D44+E44</f>
        <v>3506.4000000000005</v>
      </c>
      <c r="J44" s="84">
        <f>F44+G44</f>
        <v>319.88982666666681</v>
      </c>
      <c r="DM44" s="49">
        <v>-1</v>
      </c>
      <c r="DQ44" s="51">
        <v>-1</v>
      </c>
      <c r="DR44" s="127">
        <v>10</v>
      </c>
      <c r="DS44" s="127">
        <v>17</v>
      </c>
      <c r="EI44" s="127">
        <v>13</v>
      </c>
      <c r="EJ44" s="127">
        <f t="shared" si="25"/>
        <v>309</v>
      </c>
      <c r="EK44" s="127">
        <v>19</v>
      </c>
      <c r="EL44" s="89">
        <v>55</v>
      </c>
      <c r="EM44" s="92">
        <f t="shared" si="41"/>
        <v>7.669999999999999</v>
      </c>
      <c r="EN44" s="92">
        <f t="shared" si="42"/>
        <v>2.772000000000002</v>
      </c>
      <c r="EO44" s="92">
        <f t="shared" si="31"/>
        <v>2.7669552669552644</v>
      </c>
      <c r="EP44" s="85">
        <f t="shared" si="36"/>
        <v>13</v>
      </c>
      <c r="EQ44" s="85">
        <f t="shared" si="28"/>
        <v>0.15986852653519307</v>
      </c>
      <c r="ER44" s="92">
        <f>'Energia 221.A26'!V41</f>
        <v>2.9288691756843885</v>
      </c>
      <c r="EY44" t="s">
        <v>197</v>
      </c>
      <c r="EZ44">
        <f>(2*'Dane dla CO'!H35)/(30*Dobór!$P$27)</f>
        <v>147.82743662551439</v>
      </c>
      <c r="FD44" t="s">
        <v>197</v>
      </c>
      <c r="FF44">
        <f>'Dane dla CWU'!H43/30</f>
        <v>125.54815777777777</v>
      </c>
    </row>
    <row r="45" spans="1:165">
      <c r="B45" t="s">
        <v>242</v>
      </c>
      <c r="D45">
        <f>Q37</f>
        <v>1396.8000000000002</v>
      </c>
      <c r="E45">
        <f>R37</f>
        <v>2786.4000000000005</v>
      </c>
      <c r="F45">
        <f>U37</f>
        <v>10.319026666666666</v>
      </c>
      <c r="G45">
        <f>V37</f>
        <v>288.93274666666679</v>
      </c>
      <c r="I45" s="84">
        <f t="shared" ref="I45:I55" si="43">D45+E45</f>
        <v>4183.2000000000007</v>
      </c>
      <c r="J45" s="84">
        <f t="shared" ref="J45:J55" si="44">F45+G45</f>
        <v>299.25177333333346</v>
      </c>
      <c r="DM45" s="49">
        <v>-1</v>
      </c>
      <c r="DQ45" s="51">
        <v>-1</v>
      </c>
      <c r="DR45" s="127">
        <v>12</v>
      </c>
      <c r="DS45" s="127">
        <v>18</v>
      </c>
      <c r="DT45" s="95"/>
      <c r="DU45" s="95"/>
      <c r="DV45" s="95">
        <v>9.9</v>
      </c>
      <c r="DW45" s="95">
        <v>1.9</v>
      </c>
      <c r="DX45" s="95"/>
      <c r="DY45" s="95">
        <v>11</v>
      </c>
      <c r="DZ45" s="95">
        <v>1.9</v>
      </c>
      <c r="EI45" s="127">
        <v>10</v>
      </c>
      <c r="EJ45" s="127">
        <f t="shared" si="25"/>
        <v>319</v>
      </c>
      <c r="EK45" s="127">
        <v>20</v>
      </c>
      <c r="EL45" s="89">
        <v>55</v>
      </c>
      <c r="EM45" s="92">
        <v>7.8</v>
      </c>
      <c r="EN45" s="92">
        <v>2.77</v>
      </c>
      <c r="EO45" s="92">
        <f t="shared" si="31"/>
        <v>2.8158844765342961</v>
      </c>
      <c r="EP45" s="85">
        <f t="shared" si="36"/>
        <v>10</v>
      </c>
      <c r="EQ45" s="85">
        <f t="shared" si="28"/>
        <v>0.12515042117930206</v>
      </c>
      <c r="ER45" s="92">
        <f>'Energia 221.A26'!V42</f>
        <v>2.9657969092541885</v>
      </c>
      <c r="ES45">
        <f>(EM53-EM45)/8</f>
        <v>0.21250000000000002</v>
      </c>
      <c r="ET45">
        <f>(EN53-EN45)/8</f>
        <v>1.1249999999999982E-2</v>
      </c>
    </row>
    <row r="46" spans="1:165">
      <c r="B46" t="s">
        <v>243</v>
      </c>
      <c r="D46">
        <f>AB37</f>
        <v>2264.0941176470587</v>
      </c>
      <c r="E46">
        <f>AC37</f>
        <v>3.9058823529412052</v>
      </c>
      <c r="F46">
        <f>AF37</f>
        <v>103.19026666666667</v>
      </c>
      <c r="G46">
        <f>AG37</f>
        <v>216.69956000000008</v>
      </c>
      <c r="I46" s="84">
        <f t="shared" si="43"/>
        <v>2268</v>
      </c>
      <c r="J46" s="84">
        <f t="shared" si="44"/>
        <v>319.88982666666675</v>
      </c>
      <c r="DM46" s="49">
        <v>0</v>
      </c>
      <c r="DQ46" s="51">
        <v>0</v>
      </c>
      <c r="DR46" s="127">
        <v>9</v>
      </c>
      <c r="DS46" s="127">
        <v>19</v>
      </c>
      <c r="EI46" s="127">
        <v>15</v>
      </c>
      <c r="EJ46" s="127">
        <f t="shared" si="25"/>
        <v>334</v>
      </c>
      <c r="EK46" s="127">
        <v>21</v>
      </c>
      <c r="EL46" s="89">
        <v>55</v>
      </c>
      <c r="EM46" s="92">
        <f>EM45+$ES$45</f>
        <v>8.0124999999999993</v>
      </c>
      <c r="EN46" s="92">
        <f>EN45+$ET$45</f>
        <v>2.78125</v>
      </c>
      <c r="EO46" s="92">
        <f t="shared" si="31"/>
        <v>2.880898876404494</v>
      </c>
      <c r="EP46" s="85">
        <f t="shared" si="36"/>
        <v>15</v>
      </c>
      <c r="EQ46" s="85">
        <f t="shared" si="28"/>
        <v>0.19205992509363293</v>
      </c>
      <c r="ER46" s="92">
        <f>'Energia 221.A26'!V43</f>
        <v>2.9976931715350164</v>
      </c>
      <c r="EY46" t="s">
        <v>203</v>
      </c>
      <c r="FD46" t="s">
        <v>205</v>
      </c>
    </row>
    <row r="47" spans="1:165">
      <c r="B47" t="s">
        <v>244</v>
      </c>
      <c r="D47">
        <f>AL37</f>
        <v>1252.8000000000002</v>
      </c>
      <c r="E47">
        <f>AN37</f>
        <v>0</v>
      </c>
      <c r="F47">
        <f>AQ37</f>
        <v>227.01858666666675</v>
      </c>
      <c r="G47">
        <f>AR37</f>
        <v>82.552213333333327</v>
      </c>
      <c r="I47" s="84">
        <f t="shared" si="43"/>
        <v>1252.8000000000002</v>
      </c>
      <c r="J47" s="84">
        <f t="shared" si="44"/>
        <v>309.57080000000008</v>
      </c>
      <c r="DM47" s="49">
        <v>0</v>
      </c>
      <c r="DQ47" s="51">
        <v>0</v>
      </c>
      <c r="DR47" s="127">
        <v>10</v>
      </c>
      <c r="DS47" s="127">
        <v>20</v>
      </c>
      <c r="EI47" s="127">
        <v>9</v>
      </c>
      <c r="EJ47" s="127">
        <f t="shared" si="25"/>
        <v>343</v>
      </c>
      <c r="EK47" s="127">
        <v>22</v>
      </c>
      <c r="EL47" s="89">
        <v>55</v>
      </c>
      <c r="EM47" s="92">
        <f t="shared" ref="EM47:EM52" si="45">EM46+$ES$45</f>
        <v>8.2249999999999996</v>
      </c>
      <c r="EN47" s="92">
        <f t="shared" ref="EN47:EN52" si="46">EN46+$ET$45</f>
        <v>2.7925</v>
      </c>
      <c r="EO47" s="92">
        <f t="shared" si="31"/>
        <v>2.9453894359892567</v>
      </c>
      <c r="EP47" s="85">
        <f t="shared" si="36"/>
        <v>9</v>
      </c>
      <c r="EQ47" s="85">
        <f t="shared" si="28"/>
        <v>0.11781557743957026</v>
      </c>
      <c r="ER47" s="92">
        <f>'Energia 221.A26'!V44</f>
        <v>3.0524404973774493</v>
      </c>
      <c r="EY47" t="s">
        <v>199</v>
      </c>
      <c r="EZ47" s="84">
        <f>(Dobór!P27-'Dane dla CO'!AA54)/Dobór!P27*0.5*('SCOP 221.A26 ver 2'!EZ44*'SCOP 221.A26 ver 2'!EZ48)</f>
        <v>-38.501017616951522</v>
      </c>
      <c r="FA47" t="s">
        <v>61</v>
      </c>
      <c r="FB47">
        <f>ABS(EZ47)</f>
        <v>38.501017616951522</v>
      </c>
      <c r="FD47" t="s">
        <v>199</v>
      </c>
      <c r="FF47" s="84">
        <f>FF48*FF44</f>
        <v>0</v>
      </c>
      <c r="FG47" s="84"/>
      <c r="FH47" t="s">
        <v>61</v>
      </c>
      <c r="FI47">
        <f>ABS(FF47)</f>
        <v>0</v>
      </c>
    </row>
    <row r="48" spans="1:165">
      <c r="B48" t="s">
        <v>245</v>
      </c>
      <c r="F48">
        <f>31*E42/365</f>
        <v>319.88982666666664</v>
      </c>
      <c r="G48">
        <v>0</v>
      </c>
      <c r="I48" s="84">
        <f t="shared" si="43"/>
        <v>0</v>
      </c>
      <c r="J48" s="84">
        <f t="shared" si="44"/>
        <v>319.88982666666664</v>
      </c>
      <c r="DM48" s="49">
        <v>0</v>
      </c>
      <c r="DQ48" s="51">
        <v>0</v>
      </c>
      <c r="DR48" s="127">
        <v>14</v>
      </c>
      <c r="DS48" s="127">
        <v>21</v>
      </c>
      <c r="EI48" s="127">
        <v>9</v>
      </c>
      <c r="EJ48" s="127">
        <f t="shared" si="25"/>
        <v>352</v>
      </c>
      <c r="EK48" s="127">
        <v>23</v>
      </c>
      <c r="EL48" s="89">
        <v>55</v>
      </c>
      <c r="EM48" s="92">
        <f t="shared" si="45"/>
        <v>8.4375</v>
      </c>
      <c r="EN48" s="92">
        <f t="shared" si="46"/>
        <v>2.80375</v>
      </c>
      <c r="EO48" s="92">
        <f t="shared" si="31"/>
        <v>3.0093624609897458</v>
      </c>
      <c r="EP48" s="85">
        <f t="shared" si="36"/>
        <v>9</v>
      </c>
      <c r="EQ48" s="85">
        <f t="shared" si="28"/>
        <v>0.12037449843958983</v>
      </c>
      <c r="ER48" s="92">
        <f>'Energia 221.A26'!V45</f>
        <v>3.0943300431380458</v>
      </c>
      <c r="EY48" t="s">
        <v>200</v>
      </c>
      <c r="EZ48" s="84">
        <f>EZ4-EZ3</f>
        <v>-1</v>
      </c>
      <c r="FD48" t="s">
        <v>200</v>
      </c>
      <c r="FF48" s="84">
        <f>EZ7-EZ6</f>
        <v>0</v>
      </c>
      <c r="FG48" s="84"/>
    </row>
    <row r="49" spans="2:164">
      <c r="B49" t="s">
        <v>246</v>
      </c>
      <c r="F49">
        <f>31*E42/365</f>
        <v>319.88982666666664</v>
      </c>
      <c r="G49">
        <v>0</v>
      </c>
      <c r="I49" s="84">
        <f t="shared" si="43"/>
        <v>0</v>
      </c>
      <c r="J49" s="84">
        <f t="shared" si="44"/>
        <v>319.88982666666664</v>
      </c>
      <c r="DM49" s="49">
        <v>0</v>
      </c>
      <c r="DQ49" s="51">
        <v>0</v>
      </c>
      <c r="DR49" s="127">
        <v>8</v>
      </c>
      <c r="DS49" s="127">
        <v>22</v>
      </c>
      <c r="EI49" s="127">
        <v>3</v>
      </c>
      <c r="EJ49" s="127">
        <f t="shared" si="25"/>
        <v>355</v>
      </c>
      <c r="EK49" s="127">
        <v>24</v>
      </c>
      <c r="EL49" s="89">
        <v>55</v>
      </c>
      <c r="EM49" s="92">
        <f t="shared" si="45"/>
        <v>8.65</v>
      </c>
      <c r="EN49" s="92">
        <f t="shared" si="46"/>
        <v>2.8149999999999999</v>
      </c>
      <c r="EO49" s="92">
        <f t="shared" si="31"/>
        <v>3.0728241563055065</v>
      </c>
      <c r="EP49" s="85">
        <f t="shared" si="36"/>
        <v>3</v>
      </c>
      <c r="EQ49" s="85">
        <f t="shared" si="28"/>
        <v>4.0970988750740088E-2</v>
      </c>
      <c r="ER49" s="92">
        <f>'Energia 221.A26'!V46</f>
        <v>3.1489520602333818</v>
      </c>
    </row>
    <row r="50" spans="2:164">
      <c r="B50" t="s">
        <v>247</v>
      </c>
      <c r="F50">
        <f>31*E42/365</f>
        <v>319.88982666666664</v>
      </c>
      <c r="G50">
        <v>0</v>
      </c>
      <c r="I50" s="84">
        <f t="shared" si="43"/>
        <v>0</v>
      </c>
      <c r="J50" s="84">
        <f t="shared" si="44"/>
        <v>319.88982666666664</v>
      </c>
      <c r="DM50" s="49">
        <v>0</v>
      </c>
      <c r="DQ50" s="51">
        <v>0</v>
      </c>
      <c r="DR50" s="127">
        <v>9</v>
      </c>
      <c r="DS50" s="127">
        <v>23</v>
      </c>
      <c r="EI50" s="127">
        <v>7</v>
      </c>
      <c r="EJ50" s="127">
        <f t="shared" si="25"/>
        <v>362</v>
      </c>
      <c r="EK50" s="127">
        <v>25</v>
      </c>
      <c r="EL50" s="89">
        <v>55</v>
      </c>
      <c r="EM50" s="92">
        <f t="shared" si="45"/>
        <v>8.8625000000000007</v>
      </c>
      <c r="EN50" s="92">
        <f t="shared" si="46"/>
        <v>2.8262499999999999</v>
      </c>
      <c r="EO50" s="92">
        <f t="shared" si="31"/>
        <v>3.1357806280406901</v>
      </c>
      <c r="EP50" s="85">
        <f t="shared" si="36"/>
        <v>7</v>
      </c>
      <c r="EQ50" s="85">
        <f t="shared" si="28"/>
        <v>9.7557619539043683E-2</v>
      </c>
      <c r="ER50" s="92">
        <f>'Energia 221.A26'!V47</f>
        <v>3.1697142158500746</v>
      </c>
    </row>
    <row r="51" spans="2:164">
      <c r="B51" t="s">
        <v>248</v>
      </c>
      <c r="F51">
        <f>31*E42/365</f>
        <v>319.88982666666664</v>
      </c>
      <c r="G51">
        <v>0</v>
      </c>
      <c r="I51" s="84">
        <f t="shared" si="43"/>
        <v>0</v>
      </c>
      <c r="J51" s="84">
        <f t="shared" si="44"/>
        <v>319.88982666666664</v>
      </c>
      <c r="DM51" s="49">
        <v>0</v>
      </c>
      <c r="DQ51" s="51">
        <v>0</v>
      </c>
      <c r="DR51" s="127">
        <v>3</v>
      </c>
      <c r="DS51" s="127">
        <v>24</v>
      </c>
      <c r="EI51" s="127">
        <v>3</v>
      </c>
      <c r="EJ51" s="127">
        <f t="shared" si="25"/>
        <v>365</v>
      </c>
      <c r="EK51" s="127">
        <v>26</v>
      </c>
      <c r="EL51" s="89">
        <v>55</v>
      </c>
      <c r="EM51" s="92">
        <f t="shared" si="45"/>
        <v>9.0750000000000011</v>
      </c>
      <c r="EN51" s="92">
        <f t="shared" si="46"/>
        <v>2.8374999999999999</v>
      </c>
      <c r="EO51" s="92">
        <f t="shared" si="31"/>
        <v>3.1982378854625555</v>
      </c>
      <c r="EP51" s="85">
        <f t="shared" si="36"/>
        <v>3</v>
      </c>
      <c r="EQ51" s="85">
        <f t="shared" si="28"/>
        <v>4.2643171806167404E-2</v>
      </c>
      <c r="ER51" s="92">
        <f>'Energia 221.A26'!V48</f>
        <v>3.229097994516497</v>
      </c>
    </row>
    <row r="52" spans="2:164">
      <c r="B52" t="s">
        <v>249</v>
      </c>
      <c r="D52">
        <f>BZ37</f>
        <v>367.20000000000016</v>
      </c>
      <c r="E52">
        <f>CA37</f>
        <v>0</v>
      </c>
      <c r="F52">
        <f>CD37</f>
        <v>257.97566666666677</v>
      </c>
      <c r="G52">
        <f>CE37</f>
        <v>51.59513333333333</v>
      </c>
      <c r="I52" s="84">
        <f t="shared" si="43"/>
        <v>367.20000000000016</v>
      </c>
      <c r="J52" s="84">
        <f t="shared" si="44"/>
        <v>309.57080000000008</v>
      </c>
      <c r="DM52" s="49">
        <v>0</v>
      </c>
      <c r="DQ52" s="51">
        <v>0</v>
      </c>
      <c r="DR52" s="127">
        <v>7</v>
      </c>
      <c r="DS52" s="127">
        <v>25</v>
      </c>
      <c r="EI52" s="127">
        <v>0</v>
      </c>
      <c r="EJ52" s="127">
        <f t="shared" si="25"/>
        <v>365</v>
      </c>
      <c r="EK52" s="127">
        <v>27</v>
      </c>
      <c r="EL52" s="89">
        <v>55</v>
      </c>
      <c r="EM52" s="92">
        <f t="shared" si="45"/>
        <v>9.2875000000000014</v>
      </c>
      <c r="EN52" s="92">
        <f t="shared" si="46"/>
        <v>2.8487499999999999</v>
      </c>
      <c r="EO52" s="92">
        <f t="shared" si="31"/>
        <v>3.2602018429135593</v>
      </c>
      <c r="EP52" s="85">
        <f t="shared" si="36"/>
        <v>0</v>
      </c>
      <c r="EQ52" s="85">
        <f t="shared" si="28"/>
        <v>0</v>
      </c>
      <c r="ER52" s="92">
        <f>'Energia 221.A26'!V49</f>
        <v>3.3216783216783217</v>
      </c>
    </row>
    <row r="53" spans="2:164">
      <c r="B53" t="s">
        <v>250</v>
      </c>
      <c r="D53">
        <f>CK37</f>
        <v>1728</v>
      </c>
      <c r="E53">
        <f>CL37</f>
        <v>0</v>
      </c>
      <c r="F53">
        <f>CO37</f>
        <v>227.01858666666675</v>
      </c>
      <c r="G53">
        <f>CP37</f>
        <v>92.87124</v>
      </c>
      <c r="I53" s="84">
        <f t="shared" si="43"/>
        <v>1728</v>
      </c>
      <c r="J53" s="84">
        <f t="shared" si="44"/>
        <v>319.88982666666675</v>
      </c>
      <c r="DM53" s="49">
        <v>0</v>
      </c>
      <c r="DQ53" s="51">
        <v>0</v>
      </c>
      <c r="DR53" s="127">
        <v>3</v>
      </c>
      <c r="DS53" s="127">
        <v>26</v>
      </c>
      <c r="EI53" s="127">
        <v>1</v>
      </c>
      <c r="EJ53" s="127">
        <f t="shared" si="25"/>
        <v>366</v>
      </c>
      <c r="EK53" s="127">
        <v>28</v>
      </c>
      <c r="EL53" s="89">
        <v>55</v>
      </c>
      <c r="EM53" s="92">
        <v>9.5</v>
      </c>
      <c r="EN53" s="92">
        <v>2.86</v>
      </c>
      <c r="EO53" s="92">
        <f t="shared" si="31"/>
        <v>3.3216783216783217</v>
      </c>
      <c r="EP53" s="85">
        <f t="shared" si="36"/>
        <v>1</v>
      </c>
      <c r="EQ53" s="85">
        <f t="shared" si="28"/>
        <v>1.4763014763014762E-2</v>
      </c>
      <c r="ER53" s="92">
        <f>'Energia 221.A26'!V50</f>
        <v>3.3216783216783217</v>
      </c>
    </row>
    <row r="54" spans="2:164">
      <c r="B54" t="s">
        <v>251</v>
      </c>
      <c r="D54">
        <f>CV37</f>
        <v>2397.6000000000013</v>
      </c>
      <c r="E54">
        <f>CW37</f>
        <v>0</v>
      </c>
      <c r="F54">
        <f>CZ37</f>
        <v>41.276106666666664</v>
      </c>
      <c r="G54">
        <f>DA37</f>
        <v>268.29469333333344</v>
      </c>
      <c r="I54" s="84">
        <f t="shared" si="43"/>
        <v>2397.6000000000013</v>
      </c>
      <c r="J54" s="84">
        <f t="shared" si="44"/>
        <v>309.57080000000008</v>
      </c>
      <c r="DM54" s="49">
        <v>0</v>
      </c>
      <c r="DQ54" s="51">
        <v>0</v>
      </c>
      <c r="DR54" s="127">
        <v>0</v>
      </c>
      <c r="DS54" s="127">
        <v>27</v>
      </c>
      <c r="EL54" s="95">
        <f>SUM(EI5:EI53)</f>
        <v>366</v>
      </c>
    </row>
    <row r="55" spans="2:164">
      <c r="B55" t="s">
        <v>252</v>
      </c>
      <c r="D55">
        <f>DG37</f>
        <v>2069.6941176470596</v>
      </c>
      <c r="E55">
        <f>DH37</f>
        <v>1861.5058823529416</v>
      </c>
      <c r="F55">
        <f>DK37</f>
        <v>0</v>
      </c>
      <c r="G55">
        <f>DL37</f>
        <v>319.88982666666681</v>
      </c>
      <c r="I55" s="84">
        <f t="shared" si="43"/>
        <v>3931.2000000000012</v>
      </c>
      <c r="J55" s="84">
        <f t="shared" si="44"/>
        <v>319.88982666666681</v>
      </c>
      <c r="DM55" s="49">
        <v>0</v>
      </c>
      <c r="DQ55" s="51">
        <v>0</v>
      </c>
      <c r="DR55" s="127">
        <v>1</v>
      </c>
      <c r="DS55" s="127">
        <v>28</v>
      </c>
      <c r="DT55" s="95">
        <f>SUM(DR43:DR55)</f>
        <v>99</v>
      </c>
      <c r="EL55" s="101"/>
    </row>
    <row r="56" spans="2:164">
      <c r="D56" s="128">
        <f>(D44+D45+D46+D47+D52+D53+D54+D55)/(I44+I45+I46+I47+I48+I49+I50+I51+I52+I53+I54+I55)</f>
        <v>0.706972875936831</v>
      </c>
      <c r="F56" s="128">
        <f>(F44+F45+F46+F47+F52+F53+F54+F55+F48+F49+F50+F51)/(J44+J45+J46+J47+J48+J49+J50+J51+J52+J53+J54+J55)</f>
        <v>0.56675749318801083</v>
      </c>
      <c r="DM56" s="49">
        <v>0</v>
      </c>
      <c r="DQ56" s="51">
        <v>0</v>
      </c>
      <c r="EI56" s="127">
        <v>0</v>
      </c>
      <c r="EJ56" s="127">
        <f>EI56</f>
        <v>0</v>
      </c>
      <c r="EK56" s="127">
        <v>-20</v>
      </c>
      <c r="EL56" s="130">
        <v>-20</v>
      </c>
      <c r="FB56" t="s">
        <v>179</v>
      </c>
      <c r="FC56" t="s">
        <v>277</v>
      </c>
    </row>
    <row r="57" spans="2:164">
      <c r="DM57" s="49">
        <v>0</v>
      </c>
      <c r="DQ57" s="51">
        <v>0</v>
      </c>
      <c r="EI57" s="127">
        <v>0</v>
      </c>
      <c r="EJ57" s="127">
        <f>EJ56+EI57</f>
        <v>0</v>
      </c>
      <c r="EK57" s="127">
        <v>-19</v>
      </c>
      <c r="EL57" s="130">
        <v>-19</v>
      </c>
      <c r="EZ57" s="84">
        <f>EZ3</f>
        <v>-2</v>
      </c>
      <c r="FA57" s="84">
        <f>EZ57</f>
        <v>-2</v>
      </c>
      <c r="FB57" s="84">
        <f>IF(EZ57=EK60,ER60,IF(EZ57=EK61,ER61,IF(EZ57=EK62,ER62,IF(EZ57=EK63,ER63,IF(EZ57=EK64,ER64,IF(EZ57=EK65,ER65,IF(EZ57=EK66,ER66,IF(EZ57=EK67,ER67,IF(EZ57=EK68,ER68,IF(EZ57=EK69,ER69,IF(EZ57=EK70,ER70,IF(EZ57=EK71,ER71,IF(EZ57=EK72,ER72,IF(EZ57=EK73,ER73,IF(EZ57=EK74,ER74,IF(EZ57=EK75,ER75,IF(EZ57=EK76,ER76,IF(EZ57=EK77,ER77,IF(EZ57=EK78,ER78,IF(EZ57=EK79,ER79,IF(EZ57=EK80,ER80,IF(EZ57=EK81,ER81,IF(EZ57=EK82,ER82,IF(EZ57=EK83,ER83,IF(EZ57=EK84,ER84,IF(EZ57=EK85,ER85,IF(EZ57=EK86,ER86,IF(EZ57=EK87,ER87,IF(EZ57=EK88,ER88,IF(EZ57=EK89,ER89,IF(EZ57=EK90,ER90,IF(EZ57=EK91,ER91,IF(EZ57=EK92,ER92,IF(EZ57=EK93,ER93,IF(EZ57=EK94,ER94,IF(EZ57=EK95,ER95,IF(EZ57=EK96,ER96,IF(EZ57=EK97,ER97,IF(EZ57=EK98,ER98,IF(EZ57=EK99,ER99,IF(EZ57=EK100,ER100,IF(EZ57=EK101,ER101,IF(EZ57=EK102,ER102,ER103)))))))))))))))))))))))))))))))))))))))))))</f>
        <v>3.0565129151604</v>
      </c>
      <c r="FC57" s="84">
        <f>IF(FA57=EL60,ES60,IF(FA57=EL61,ES61,IF(FA57=EL62,ES62,IF(FA57=EL63,ES63,IF(FA57=EL64,ES64,IF(FA57=EL65,ES65,IF(FA57=EL66,ES66,IF(FA57=EL67,ES67,IF(FA57=EL68,ES68,IF(FA57=EL69,ES69,IF(FA57=EL70,ES70,IF(FA57=EL71,ES71,IF(FA57=EL72,ES72,IF(FA57=EL73,ES73,IF(FA57=EL74,ES74,IF(FA57=EL75,ES75,IF(FA57=EL76,ES76,IF(FA57=EL77,ES77,IF(FA57=EL78,ES78,IF(FA57=EL79,ES79,IF(FA57=EL80,ES80,IF(FA57=EL81,ES81,IF(FA57=EL82,ES82,IF(FA57=EL83,ES83,IF(FA57=EL84,ES84,IF(FA57=EL85,ES85,IF(FA57=EL86,ES86,IF(FA57=EL87,ES87,IF(FA57=EL88,ES88,IF(FA57=EL89,ES89,IF(FA57=EL90,ES90,IF(FA57=EL91,ES91,IF(FA57=EL92,ES92,IF(FA57=EL93,ES93,IF(FA57=EL94,ES94,IF(FA57=EL95,ES95,IF(FA57=EL96,ES96,IF(FA57=EL97,ES97,IF(FA57=EL98,ES98,IF(FA57=EL99,ES99,IF(FA57=EL100,ES100,IF(FA57=EL101,ES101,IF(FA57=EL102,ES102,ES103)))))))))))))))))))))))))))))))))))))))))))</f>
        <v>2.2280785816962148</v>
      </c>
      <c r="FD57">
        <f>IF(EZ57=EK60,DX10,IF(EZ57=EK61,DX11,IF(EZ57=EK62,DX12,IF(EZ57=EK63,DX13,IF(EZ57=EK64,DX14,IF(EZ57=EK65,DX15,IF(EZ57=EK66,DX16,IF(EZ57=EK67,DX17,IF(EZ57=EK68,DX18,IF(EZ57=EK69,DX19,IF(EZ57=EK70,DX20,IF(EZ57=EK71,DX21,IF(EZ57=EK72,DX22,IF(EZ57=EK73,DX23,IF(EZ57=EK74,DX24,IF(EZ57=EK75,DX25,IF(EZ57=EK76,DX26,IF(EZ57=EK77,DX27,IF(EZ57=EK78,DX28,IF(EZ57=EK79,DX29,IF(EZ57=EK80,DX30,IF(EZ57=EK81,DX31,IF(EZ57=EK82,DX32,IF(EZ57=EK83,DX33,IF(EZ57=EK84,DX34,IF(EZ57=EK85,DX35,IF(EZ57=EK86,DX36,IF(EZ57=EK87,DX37,IF(EZ57=EK88,DX38,IF(EZ57=EK89,DX39,IF(EZ57=EK90,DX40,IF(EZ57=EK91,DX41,IF(EZ57=EK92,DX42,IF(EZ57=EK93,DX43,IF(EZ57=EK94,DX44,IF(EZ57=EK95,DX45,IF(EZ57=EK96,DX46,IF(EZ57=EK97,DX47,IF(EZ57=EK98,ER988,IF(EZ57=EK99,DX49,IF(EZ57=EK100,DX50,IF(EZ57=EK101,DX51,IF(EZ57=EK102,DX52,DX53)))))))))))))))))))))))))))))))))))))))))))</f>
        <v>2.2740524781341107</v>
      </c>
      <c r="FH57">
        <f>IF(EZ57=EK60,EJ60,IF(EZ57=EK61,EJ61,IF(EZ57=EK62,EJ62,IF(EZ57=EK63,EJ63,IF(EZ57=EK64,EJ64,IF(EZ57=EK65,EJ65,IF(EZ57=EK66,EJ66,IF(EZ57=EK67,EJ67,IF(EZ57=EK68,EJ68,IF(EZ57=EK69,EJ69,IF(EZ57=EK70,EJ70,IF(EZ57=EK71,EJ71,IF(EZ57=EK72,EJ72,IF(EZ57=EK73,EJ73,IF(EZ57=EK74,EJ74,IF(EZ57=EK75,EJ75,IF(EZ57=EK76,EJ76,IF(EZ57=EK77,EJ77,IF(EZ57=EK78,EJ78,IF(EZ57=EK79,EJ79,IF(EZ57=EK80,EJ80,IF(EZ57=EK81,EJ81,IF(EZ57=EK82,EJ82,IF(EZ57=EK83,EJ83,IF(EZ57=EK84,EJ84,IF(EZ57=EK85,EJ85,IF(EZ57=EK86,EJ86,IF(EZ57=EK87,EJ87,IF(EZ57=EK88,EJ88,IF(EZ57=EK89,EJ89,IF(EZ57=EK90,EJ90,IF(EZ57=EK91,EJ91,IF(EZ57=EK92,EJ92,IF(EZ57=EK93,EJ93,IF(EZ57=EK94,EJ94,IF(EZ57=EK95,EJ95,IF(EZ57=EK96,EJ96,IF(EZ57=EK97,EJ97,IF(EZ57=EK98,EJ98,IF(EZ57=EK99,EJ99,IF(EZ57=EK100,EJ100,IF(EZ57=EK101,EJ101,IF(EZ57=EK102,BSO52,EJ103)))))))))))))))))))))))))))))))))))))))))))</f>
        <v>36</v>
      </c>
    </row>
    <row r="58" spans="2:164">
      <c r="DM58" s="49">
        <v>0</v>
      </c>
      <c r="DQ58" s="51">
        <v>0</v>
      </c>
      <c r="EI58" s="127">
        <v>1</v>
      </c>
      <c r="EJ58" s="127">
        <f t="shared" ref="EJ58:EJ106" si="47">EJ57+EI58</f>
        <v>1</v>
      </c>
      <c r="EK58" s="127">
        <v>-18</v>
      </c>
      <c r="EL58" s="130">
        <v>-18</v>
      </c>
      <c r="EZ58" s="84">
        <f>EZ4</f>
        <v>-3</v>
      </c>
      <c r="FA58" s="84"/>
      <c r="FB58" s="84">
        <f>IF(EZ58=EK61,ER61,IF(EZ58=EK62,ER62,IF(EZ58=EK63,ER63,IF(EZ58=EK64,ER64,IF(EZ58=EK65,ER65,IF(EZ58=EK66,ER66,IF(EZ58=EK67,ER67,IF(EZ58=EK68,ER68,IF(EZ58=EK69,ER69,IF(EZ58=EK70,ER70,IF(EZ58=EK71,ER71,IF(EZ58=EK72,ER72,IF(EZ58=EK73,ER73,IF(EZ58=EK74,ER74,IF(EZ58=EK75,ER75,IF(EZ58=EK76,ER76,IF(EZ58=EK77,ER77,IF(EZ58=EK78,ER78,IF(EZ58=EK79,ER79,IF(EZ58=EK80,ER80,IF(EZ58=EK81,ER81,IF(EZ58=EK82,ER82,IF(EZ58=EK83,ER83,IF(EZ58=EK84,ER84,IF(EZ58=EK85,ER85,IF(EZ58=EK86,ER86,IF(EZ58=EK87,ER87,IF(EZ58=EK88,ER88,IF(EZ58=EK89,ER89,IF(EZ58=EK90,ER90,IF(EZ58=EK91,ER91,IF(EZ58=EK92,ER92,IF(EZ58=EK93,ER93,IF(EZ58=EK94,ER94,IF(EZ58=EK95,ER95,IF(EZ58=EK96,ER96,IF(EZ58=EK97,ER97,IF(EZ58=EK98,ER98,IF(EZ58=EK99,ER99,IF(EZ58=EK100,ER100,IF(EZ58=EK101,ER101,IF(EZ58=EK102,ER102,IF(EZ58=EK103,ER103,ER104)))))))))))))))))))))))))))))))))))))))))))</f>
        <v>3.0246247586183959</v>
      </c>
      <c r="FH58">
        <f>IF(EZ58=EK61,EJ61,IF(EZ58=EK62,EJ62,IF(EZ58=EK63,EJ63,IF(EZ58=EK64,EJ64,IF(EZ58=EK65,EJ65,IF(EZ58=EK66,EJ66,IF(EZ58=EK67,EJ67,IF(EZ58=EK68,EJ68,IF(EZ58=EK69,EJ69,IF(EZ58=EK70,EJ70,IF(EZ58=EK71,EJ71,IF(EZ58=EK72,EJ72,IF(EZ58=EK73,EJ73,IF(EZ58=EK74,EJ74,IF(EZ58=EK75,EJ75,IF(EZ58=EK76,EJ76,IF(EZ58=EK77,EJ77,IF(EZ58=EK78,EJ78,IF(EZ58=EK79,EJ79,IF(EZ58=EK80,EJ80,IF(EZ58=EK81,EJ81,IF(EZ58=EK82,EJ82,IF(EZ58=EK83,EJ83,IF(EZ58=EK84,EJ84,IF(EZ58=EK85,EJ85,IF(EZ58=EK86,EJ86,IF(EZ58=EK87,EJ87,IF(EZ58=EK88,EJ88,IF(EZ58=EK89,EJ89,IF(EZ58=EK90,EJ90,IF(EZ58=EK91,EJ91,IF(EZ58=EK92,EJ92,IF(EZ58=EK93,EJ93,IF(EZ58=EK94,EJ94,IF(EZ58=EK95,EJ95,IF(EZ58=EK96,EJ96,IF(EZ58=EK97,EJ97,IF(EZ58=EK98,EJ98,IF(EZ58=EK99,EJ99,IF(EZ58=EK100,EJ100,IF(EZ58=EK101,EJ101,IF(EZ58=EK102,EJ102,IF(EZ58=EK103,BSO53,EJ104)))))))))))))))))))))))))))))))))))))))))))</f>
        <v>32</v>
      </c>
    </row>
    <row r="59" spans="2:164">
      <c r="DM59" s="49">
        <v>0</v>
      </c>
      <c r="DQ59" s="51">
        <v>0</v>
      </c>
      <c r="EI59" s="127">
        <v>0</v>
      </c>
      <c r="EJ59" s="127">
        <f t="shared" si="47"/>
        <v>1</v>
      </c>
      <c r="EK59" s="127">
        <v>-17</v>
      </c>
      <c r="EL59" s="130">
        <v>-17</v>
      </c>
    </row>
    <row r="60" spans="2:164">
      <c r="DM60" s="49">
        <v>0</v>
      </c>
      <c r="DQ60" s="51">
        <v>0</v>
      </c>
      <c r="EI60" s="127">
        <v>1</v>
      </c>
      <c r="EJ60" s="127">
        <f t="shared" si="47"/>
        <v>2</v>
      </c>
      <c r="EK60" s="127">
        <v>-16</v>
      </c>
      <c r="EL60" s="130">
        <v>-16</v>
      </c>
    </row>
    <row r="61" spans="2:164">
      <c r="DM61" s="49">
        <v>0</v>
      </c>
      <c r="DQ61" s="51">
        <v>0</v>
      </c>
      <c r="EI61" s="127">
        <v>0</v>
      </c>
      <c r="EJ61" s="127">
        <f t="shared" si="47"/>
        <v>2</v>
      </c>
      <c r="EK61" s="127">
        <v>-15</v>
      </c>
      <c r="EL61" s="130">
        <v>-15</v>
      </c>
      <c r="ER61">
        <f>IF(Dobór!$M$18="Ogrzewanie podłogowe 35/28",EG10,ED10)</f>
        <v>2.7086670186392467</v>
      </c>
      <c r="ES61">
        <f>IF(Dobór!$M$18="Ogrzewanie podłogowe 35/28",EA10,DX10)</f>
        <v>1.25</v>
      </c>
    </row>
    <row r="62" spans="2:164">
      <c r="DM62" s="49">
        <v>0</v>
      </c>
      <c r="DQ62" s="51">
        <v>0</v>
      </c>
      <c r="EI62" s="127">
        <v>3</v>
      </c>
      <c r="EJ62" s="127">
        <f t="shared" si="47"/>
        <v>5</v>
      </c>
      <c r="EK62" s="127">
        <v>-14</v>
      </c>
      <c r="EL62" s="130">
        <v>-14</v>
      </c>
      <c r="ER62">
        <f>IF(Dobór!$M$18="Ogrzewanie podłogowe 35/28",EG11,IF(Dobór!$M$18="Grzejniki niskotemperaturowe 55/45",ED11,Error))</f>
        <v>2.7086670186392467</v>
      </c>
      <c r="ES62">
        <f>IF(Dobór!$M$18="Ogrzewanie podłogowe 35/28",EA11,DX11)</f>
        <v>1.3360995850622406</v>
      </c>
    </row>
    <row r="63" spans="2:164">
      <c r="DM63" s="49">
        <v>1</v>
      </c>
      <c r="DQ63" s="51">
        <v>1</v>
      </c>
      <c r="EI63" s="127">
        <v>1</v>
      </c>
      <c r="EJ63" s="127">
        <f t="shared" si="47"/>
        <v>6</v>
      </c>
      <c r="EK63" s="127">
        <v>-13</v>
      </c>
      <c r="EL63" s="130">
        <v>-13</v>
      </c>
      <c r="ER63">
        <f>IF(Dobór!$M$18="Ogrzewanie podłogowe 35/28",EG12,IF(Dobór!$M$18="Grzejniki niskotemperaturowe 55/45",ED12,Error))</f>
        <v>2.7553353484548611</v>
      </c>
      <c r="ES63">
        <f>IF(Dobór!$M$18="Ogrzewanie podłogowe 35/28",EA12,DX12)</f>
        <v>1.4214876033057851</v>
      </c>
    </row>
    <row r="64" spans="2:164">
      <c r="DM64" s="49">
        <v>1</v>
      </c>
      <c r="DQ64" s="51">
        <v>1</v>
      </c>
      <c r="EI64" s="127">
        <v>3</v>
      </c>
      <c r="EJ64" s="127">
        <f t="shared" si="47"/>
        <v>9</v>
      </c>
      <c r="EK64" s="127">
        <v>-12</v>
      </c>
      <c r="EL64" s="130">
        <v>-12</v>
      </c>
      <c r="ER64">
        <f>IF(Dobór!$M$18="Ogrzewanie podłogowe 35/28",EG13,IF(Dobór!$M$18="Grzejniki niskotemperaturowe 55/45",ED13,Error))</f>
        <v>2.7701105908571999</v>
      </c>
      <c r="ES64">
        <f>IF(Dobór!$M$18="Ogrzewanie podłogowe 35/28",EA13,DX13)</f>
        <v>1.5061728395061726</v>
      </c>
    </row>
    <row r="65" spans="117:149">
      <c r="DM65" s="49">
        <v>1</v>
      </c>
      <c r="DQ65" s="51">
        <v>1</v>
      </c>
      <c r="EI65" s="127">
        <v>4</v>
      </c>
      <c r="EJ65" s="127">
        <f t="shared" si="47"/>
        <v>13</v>
      </c>
      <c r="EK65" s="127">
        <v>-11</v>
      </c>
      <c r="EL65" s="130">
        <v>-11</v>
      </c>
      <c r="ER65">
        <f>IF(Dobór!$M$18="Ogrzewanie podłogowe 35/28",EG14,IF(Dobór!$M$18="Grzejniki niskotemperaturowe 55/45",ED14,Error))</f>
        <v>2.8120090798522615</v>
      </c>
      <c r="ES65">
        <f>IF(Dobór!$M$18="Ogrzewanie podłogowe 35/28",EA14,DX14)</f>
        <v>1.5901639344262295</v>
      </c>
    </row>
    <row r="66" spans="117:149">
      <c r="DM66" s="49">
        <v>1</v>
      </c>
      <c r="DQ66" s="51">
        <v>1</v>
      </c>
      <c r="EI66" s="127">
        <v>5</v>
      </c>
      <c r="EJ66" s="127">
        <f t="shared" si="47"/>
        <v>18</v>
      </c>
      <c r="EK66" s="127">
        <v>-10</v>
      </c>
      <c r="EL66" s="130">
        <v>-10</v>
      </c>
      <c r="ER66">
        <f>IF(Dobór!$M$18="Ogrzewanie podłogowe 35/28",EG15,IF(Dobór!$M$18="Grzejniki niskotemperaturowe 55/45",ED15,Error))</f>
        <v>2.8664028456008235</v>
      </c>
      <c r="ES66">
        <f>IF(Dobór!$M$18="Ogrzewanie podłogowe 35/28",EA15,DX15)</f>
        <v>1.6734693877551017</v>
      </c>
    </row>
    <row r="67" spans="117:149">
      <c r="DM67" s="49">
        <v>1</v>
      </c>
      <c r="DQ67" s="51">
        <v>1</v>
      </c>
      <c r="EI67" s="127">
        <v>1</v>
      </c>
      <c r="EJ67" s="127">
        <f t="shared" si="47"/>
        <v>19</v>
      </c>
      <c r="EK67" s="127">
        <v>-9</v>
      </c>
      <c r="EL67" s="130">
        <v>-9</v>
      </c>
      <c r="ER67">
        <f>IF(Dobór!$M$18="Ogrzewanie podłogowe 35/28",EG16,IF(Dobór!$M$18="Grzejniki niskotemperaturowe 55/45",ED16,Error))</f>
        <v>2.9339469873778028</v>
      </c>
      <c r="ES67">
        <f>IF(Dobór!$M$18="Ogrzewanie podłogowe 35/28",EA16,DX16)</f>
        <v>1.7886178861788615</v>
      </c>
    </row>
    <row r="68" spans="117:149">
      <c r="DM68" s="49">
        <v>1</v>
      </c>
      <c r="DQ68" s="51">
        <v>1</v>
      </c>
      <c r="EI68" s="127">
        <v>0</v>
      </c>
      <c r="EJ68" s="127">
        <f t="shared" si="47"/>
        <v>19</v>
      </c>
      <c r="EK68" s="127">
        <v>-8</v>
      </c>
      <c r="EL68" s="130">
        <v>-8</v>
      </c>
      <c r="ER68">
        <f>IF(Dobór!$M$18="Ogrzewanie podłogowe 35/28",EG17,IF(Dobór!$M$18="Grzejniki niskotemperaturowe 55/45",ED17,Error))</f>
        <v>2.9465551897247746</v>
      </c>
      <c r="ES68">
        <f>IF(Dobór!$M$18="Ogrzewanie podłogowe 35/28",EA17,DX17)</f>
        <v>1.902834008097166</v>
      </c>
    </row>
    <row r="69" spans="117:149">
      <c r="DM69" s="49">
        <v>1</v>
      </c>
      <c r="DQ69" s="51">
        <v>1</v>
      </c>
      <c r="EI69" s="127">
        <v>1</v>
      </c>
      <c r="EJ69" s="127">
        <f t="shared" si="47"/>
        <v>20</v>
      </c>
      <c r="EK69" s="127">
        <v>-7</v>
      </c>
      <c r="EL69" s="130">
        <v>-7</v>
      </c>
      <c r="ER69">
        <f>IF(Dobór!$M$18="Ogrzewanie podłogowe 35/28",EG18,IF(Dobór!$M$18="Grzejniki niskotemperaturowe 55/45",ED18,Error))</f>
        <v>2.9465551897247746</v>
      </c>
      <c r="ES69">
        <f>IF(Dobór!$M$18="Ogrzewanie podłogowe 35/28",EA18,DX18)</f>
        <v>2.0161290322580645</v>
      </c>
    </row>
    <row r="70" spans="117:149">
      <c r="DM70" s="49">
        <v>2</v>
      </c>
      <c r="DQ70" s="51">
        <v>2</v>
      </c>
      <c r="EI70" s="127">
        <v>2</v>
      </c>
      <c r="EJ70" s="127">
        <f t="shared" si="47"/>
        <v>22</v>
      </c>
      <c r="EK70" s="127">
        <v>-6</v>
      </c>
      <c r="EL70" s="130">
        <v>-6</v>
      </c>
      <c r="ER70">
        <f>IF(Dobór!$M$18="Ogrzewanie podłogowe 35/28",EG19,IF(Dobór!$M$18="Grzejniki niskotemperaturowe 55/45",ED19,Error))</f>
        <v>2.9560746744319522</v>
      </c>
      <c r="ES70">
        <f>IF(Dobór!$M$18="Ogrzewanie podłogowe 35/28",EA19,DX19)</f>
        <v>2.0562868815251929</v>
      </c>
    </row>
    <row r="71" spans="117:149">
      <c r="DM71" s="49">
        <v>2</v>
      </c>
      <c r="DQ71" s="51">
        <v>2</v>
      </c>
      <c r="EI71" s="127">
        <v>3</v>
      </c>
      <c r="EJ71" s="127">
        <f t="shared" si="47"/>
        <v>25</v>
      </c>
      <c r="EK71" s="127">
        <v>-5</v>
      </c>
      <c r="EL71" s="130">
        <v>-5</v>
      </c>
      <c r="ER71">
        <f>IF(Dobór!$M$18="Ogrzewanie podłogowe 35/28",EG20,IF(Dobór!$M$18="Grzejniki niskotemperaturowe 55/45",ED20,Error))</f>
        <v>2.9740377701161158</v>
      </c>
      <c r="ES71">
        <f>IF(Dobór!$M$18="Ogrzewanie podłogowe 35/28",EA20,DX20)</f>
        <v>2.0975160993560253</v>
      </c>
    </row>
    <row r="72" spans="117:149">
      <c r="DM72" s="49">
        <v>2</v>
      </c>
      <c r="DQ72" s="51">
        <v>2</v>
      </c>
      <c r="EI72" s="127">
        <v>3</v>
      </c>
      <c r="EJ72" s="127">
        <f t="shared" si="47"/>
        <v>28</v>
      </c>
      <c r="EK72" s="127">
        <v>-4</v>
      </c>
      <c r="EL72" s="130">
        <v>-4</v>
      </c>
      <c r="ER72">
        <f>IF(Dobór!$M$18="Ogrzewanie podłogowe 35/28",EG21,IF(Dobór!$M$18="Grzejniki niskotemperaturowe 55/45",ED21,Error))</f>
        <v>2.9998298603813591</v>
      </c>
      <c r="ES72">
        <f>IF(Dobór!$M$18="Ogrzewanie podłogowe 35/28",EA21,DX21)</f>
        <v>2.1398601398601396</v>
      </c>
    </row>
    <row r="73" spans="117:149">
      <c r="DM73" s="49">
        <v>2</v>
      </c>
      <c r="DQ73" s="51">
        <v>2</v>
      </c>
      <c r="EI73" s="127">
        <v>4</v>
      </c>
      <c r="EJ73" s="127">
        <f t="shared" si="47"/>
        <v>32</v>
      </c>
      <c r="EK73" s="127">
        <v>-3</v>
      </c>
      <c r="EL73" s="130">
        <v>-3</v>
      </c>
      <c r="ER73">
        <f>IF(Dobór!$M$18="Ogrzewanie podłogowe 35/28",EG22,IF(Dobór!$M$18="Grzejniki niskotemperaturowe 55/45",ED22,Error))</f>
        <v>3.0246247586183959</v>
      </c>
      <c r="ES73">
        <f>IF(Dobór!$M$18="Ogrzewanie podłogowe 35/28",EA22,DX22)</f>
        <v>2.1833648393194705</v>
      </c>
    </row>
    <row r="74" spans="117:149">
      <c r="DM74" s="49">
        <v>2</v>
      </c>
      <c r="DQ74" s="51">
        <v>2</v>
      </c>
      <c r="EI74" s="127">
        <v>4</v>
      </c>
      <c r="EJ74" s="127">
        <f t="shared" si="47"/>
        <v>36</v>
      </c>
      <c r="EK74" s="127">
        <v>-2</v>
      </c>
      <c r="EL74" s="130">
        <v>-2</v>
      </c>
      <c r="ER74">
        <f>IF(Dobór!$M$18="Ogrzewanie podłogowe 35/28",EG23,IF(Dobór!$M$18="Grzejniki niskotemperaturowe 55/45",ED23,Error))</f>
        <v>3.0565129151604</v>
      </c>
      <c r="ES74">
        <f>IF(Dobór!$M$18="Ogrzewanie podłogowe 35/28",EA23,DX23)</f>
        <v>2.2280785816962148</v>
      </c>
    </row>
    <row r="75" spans="117:149">
      <c r="DM75" s="49">
        <v>2</v>
      </c>
      <c r="DQ75" s="51">
        <v>2</v>
      </c>
      <c r="EI75" s="127">
        <v>8</v>
      </c>
      <c r="EJ75" s="127">
        <f t="shared" si="47"/>
        <v>44</v>
      </c>
      <c r="EK75" s="127">
        <v>-1</v>
      </c>
      <c r="EL75" s="130">
        <v>-1</v>
      </c>
      <c r="ER75">
        <f>IF(Dobór!$M$18="Ogrzewanie podłogowe 35/28",EG24,IF(Dobór!$M$18="Grzejniki niskotemperaturowe 55/45",ED24,Error))</f>
        <v>3.0873702726407011</v>
      </c>
      <c r="ES75">
        <f>IF(Dobór!$M$18="Ogrzewanie podłogowe 35/28",EA24,DX24)</f>
        <v>2.2740524781341107</v>
      </c>
    </row>
    <row r="76" spans="117:149">
      <c r="DM76" s="49">
        <v>2</v>
      </c>
      <c r="DQ76" s="51">
        <v>2</v>
      </c>
      <c r="EI76" s="127">
        <v>17</v>
      </c>
      <c r="EJ76" s="127">
        <f t="shared" si="47"/>
        <v>61</v>
      </c>
      <c r="EK76" s="127">
        <v>0</v>
      </c>
      <c r="EL76" s="130">
        <v>0</v>
      </c>
      <c r="ER76">
        <f>IF(Dobór!$M$18="Ogrzewanie podłogowe 35/28",EG25,IF(Dobór!$M$18="Grzejniki niskotemperaturowe 55/45",ED25,Error))</f>
        <v>3.1489235392255073</v>
      </c>
      <c r="ES76">
        <f>IF(Dobór!$M$18="Ogrzewanie podłogowe 35/28",EA25,DX25)</f>
        <v>2.32134056185313</v>
      </c>
    </row>
    <row r="77" spans="117:149">
      <c r="DM77" s="49">
        <v>2</v>
      </c>
      <c r="DQ77" s="51">
        <v>2</v>
      </c>
      <c r="EI77" s="127">
        <v>7</v>
      </c>
      <c r="EJ77" s="127">
        <f t="shared" si="47"/>
        <v>68</v>
      </c>
      <c r="EK77" s="127">
        <v>1</v>
      </c>
      <c r="EL77" s="130">
        <v>1</v>
      </c>
      <c r="ER77">
        <f>IF(Dobór!$M$18="Ogrzewanie podłogowe 35/28",EG26,IF(Dobór!$M$18="Grzejniki niskotemperaturowe 55/45",ED26,Error))</f>
        <v>3.2965317817470066</v>
      </c>
      <c r="ES77">
        <f>IF(Dobór!$M$18="Ogrzewanie podłogowe 35/28",EA26,DX26)</f>
        <v>2.3699999999999997</v>
      </c>
    </row>
    <row r="78" spans="117:149">
      <c r="DM78" s="49">
        <v>2</v>
      </c>
      <c r="DQ78" s="51">
        <v>2</v>
      </c>
      <c r="EI78" s="127">
        <v>13</v>
      </c>
      <c r="EJ78" s="127">
        <f t="shared" si="47"/>
        <v>81</v>
      </c>
      <c r="EK78" s="127">
        <v>2</v>
      </c>
      <c r="EL78" s="130">
        <v>2</v>
      </c>
      <c r="ER78">
        <f>IF(Dobór!$M$18="Ogrzewanie podłogowe 35/28",EG27,IF(Dobór!$M$18="Grzejniki niskotemperaturowe 55/45",ED27,Error))</f>
        <v>3.3650429346226653</v>
      </c>
      <c r="ES78">
        <f>IF(Dobór!$M$18="Ogrzewanie podłogowe 35/28",EA27,DX27)</f>
        <v>2.4200913242009134</v>
      </c>
    </row>
    <row r="79" spans="117:149">
      <c r="DM79" s="49">
        <v>2</v>
      </c>
      <c r="DQ79" s="51">
        <v>2</v>
      </c>
      <c r="EI79" s="127">
        <v>15</v>
      </c>
      <c r="EJ79" s="127">
        <f t="shared" si="47"/>
        <v>96</v>
      </c>
      <c r="EK79" s="127">
        <v>3</v>
      </c>
      <c r="EL79" s="130">
        <v>3</v>
      </c>
      <c r="ER79">
        <f>IF(Dobór!$M$18="Ogrzewanie podłogowe 35/28",EG28,IF(Dobór!$M$18="Grzejniki niskotemperaturowe 55/45",ED28,Error))</f>
        <v>3.5039615073987225</v>
      </c>
      <c r="ES79">
        <f>IF(Dobór!$M$18="Ogrzewanie podłogowe 35/28",EA28,DX28)</f>
        <v>2.6424965580541535</v>
      </c>
    </row>
    <row r="80" spans="117:149">
      <c r="DM80" s="49">
        <v>2</v>
      </c>
      <c r="DQ80" s="51">
        <v>2</v>
      </c>
      <c r="EI80" s="127">
        <v>13</v>
      </c>
      <c r="EJ80" s="127">
        <f t="shared" si="47"/>
        <v>109</v>
      </c>
      <c r="EK80" s="127">
        <v>4</v>
      </c>
      <c r="EL80" s="130">
        <v>4</v>
      </c>
      <c r="ER80">
        <f>IF(Dobór!$M$18="Ogrzewanie podłogowe 35/28",EG29,IF(Dobór!$M$18="Grzejniki niskotemperaturowe 55/45",ED29,Error))</f>
        <v>3.6650215890115612</v>
      </c>
      <c r="ES80">
        <f>IF(Dobór!$M$18="Ogrzewanie podłogowe 35/28",EA29,DX29)</f>
        <v>2.8671586715867163</v>
      </c>
    </row>
    <row r="81" spans="117:149">
      <c r="DM81" s="49">
        <v>2</v>
      </c>
      <c r="DQ81" s="51">
        <v>2</v>
      </c>
      <c r="EI81" s="127">
        <v>11</v>
      </c>
      <c r="EJ81" s="127">
        <f t="shared" si="47"/>
        <v>120</v>
      </c>
      <c r="EK81" s="127">
        <v>5</v>
      </c>
      <c r="EL81" s="130">
        <v>5</v>
      </c>
      <c r="ER81">
        <f>IF(Dobór!$M$18="Ogrzewanie podłogowe 35/28",EG30,IF(Dobór!$M$18="Grzejniki niskotemperaturowe 55/45",ED30,Error))</f>
        <v>3.8053447176680164</v>
      </c>
      <c r="ES81">
        <f>IF(Dobór!$M$18="Ogrzewanie podłogowe 35/28",EA30,DX30)</f>
        <v>3.0941121928604542</v>
      </c>
    </row>
    <row r="82" spans="117:149">
      <c r="DM82" s="49">
        <v>2</v>
      </c>
      <c r="DQ82" s="51">
        <v>2</v>
      </c>
      <c r="EI82" s="127">
        <v>20</v>
      </c>
      <c r="EJ82" s="127">
        <f t="shared" si="47"/>
        <v>140</v>
      </c>
      <c r="EK82" s="127">
        <v>6</v>
      </c>
      <c r="EL82" s="130">
        <v>6</v>
      </c>
      <c r="ER82">
        <f>IF(Dobór!$M$18="Ogrzewanie podłogowe 35/28",EG31,IF(Dobór!$M$18="Grzejniki niskotemperaturowe 55/45",ED31,Error))</f>
        <v>3.9176934585318737</v>
      </c>
      <c r="ES82">
        <f>IF(Dobór!$M$18="Ogrzewanie podłogowe 35/28",EA31,DX31)</f>
        <v>3.3233923578751163</v>
      </c>
    </row>
    <row r="83" spans="117:149">
      <c r="DM83" s="49">
        <v>3</v>
      </c>
      <c r="DQ83" s="51">
        <v>3</v>
      </c>
      <c r="EI83" s="127">
        <v>13</v>
      </c>
      <c r="EJ83" s="127">
        <f t="shared" si="47"/>
        <v>153</v>
      </c>
      <c r="EK83" s="127">
        <v>7</v>
      </c>
      <c r="EL83" s="130">
        <v>7</v>
      </c>
      <c r="ER83">
        <f>IF(Dobór!$M$18="Ogrzewanie podłogowe 35/28",EG32,IF(Dobór!$M$18="Grzejniki niskotemperaturowe 55/45",ED32,Error))</f>
        <v>4.1276938474565226</v>
      </c>
      <c r="ES83">
        <f>IF(Dobór!$M$18="Ogrzewanie podłogowe 35/28",EA32,DX32)</f>
        <v>3.555035128805621</v>
      </c>
    </row>
    <row r="84" spans="117:149">
      <c r="DM84" s="49">
        <v>3</v>
      </c>
      <c r="DQ84" s="51">
        <v>3</v>
      </c>
      <c r="EI84" s="127">
        <v>17</v>
      </c>
      <c r="EJ84" s="127">
        <f t="shared" si="47"/>
        <v>170</v>
      </c>
      <c r="EK84" s="127">
        <v>8</v>
      </c>
      <c r="EL84" s="130">
        <v>8</v>
      </c>
      <c r="ER84">
        <f>IF(Dobór!$M$18="Ogrzewanie podłogowe 35/28",EG33,IF(Dobór!$M$18="Grzejniki niskotemperaturowe 55/45",ED33,Error))</f>
        <v>4.2769167206907222</v>
      </c>
      <c r="ES84">
        <f>IF(Dobór!$M$18="Ogrzewanie podłogowe 35/28",EA33,DX33)</f>
        <v>3.8317152103559877</v>
      </c>
    </row>
    <row r="85" spans="117:149">
      <c r="DM85" s="49">
        <v>3</v>
      </c>
      <c r="DQ85" s="51">
        <v>3</v>
      </c>
      <c r="EI85" s="127">
        <v>9</v>
      </c>
      <c r="EJ85" s="127">
        <f t="shared" si="47"/>
        <v>179</v>
      </c>
      <c r="EK85" s="127">
        <v>9</v>
      </c>
      <c r="EL85" s="130">
        <v>9</v>
      </c>
      <c r="ER85">
        <f>IF(Dobór!$M$18="Ogrzewanie podłogowe 35/28",EG34,IF(Dobór!$M$18="Grzejniki niskotemperaturowe 55/45",ED34,Error))</f>
        <v>4.4703589104847286</v>
      </c>
      <c r="ES85">
        <f>IF(Dobór!$M$18="Ogrzewanie podłogowe 35/28",EA34,DX34)</f>
        <v>4.1293031066330821</v>
      </c>
    </row>
    <row r="86" spans="117:149">
      <c r="DM86" s="49">
        <v>3</v>
      </c>
      <c r="DQ86" s="51">
        <v>3</v>
      </c>
      <c r="EI86" s="127">
        <v>11</v>
      </c>
      <c r="EJ86" s="127">
        <f t="shared" si="47"/>
        <v>190</v>
      </c>
      <c r="EK86" s="127">
        <v>10</v>
      </c>
      <c r="EL86" s="130">
        <v>10</v>
      </c>
      <c r="ER86">
        <f>IF(Dobór!$M$18="Ogrzewanie podłogowe 35/28",EG35,IF(Dobór!$M$18="Grzejniki niskotemperaturowe 55/45",ED35,Error))</f>
        <v>4.5563049730553429</v>
      </c>
      <c r="ES86">
        <f>IF(Dobór!$M$18="Ogrzewanie podłogowe 35/28",EA35,DX35)</f>
        <v>4.4502617801047126</v>
      </c>
    </row>
    <row r="87" spans="117:149">
      <c r="DM87" s="49">
        <v>3</v>
      </c>
      <c r="DQ87" s="51">
        <v>3</v>
      </c>
      <c r="EI87" s="127">
        <v>9</v>
      </c>
      <c r="EJ87" s="127">
        <f t="shared" si="47"/>
        <v>199</v>
      </c>
      <c r="EK87" s="127">
        <v>11</v>
      </c>
      <c r="EL87" s="130">
        <v>11</v>
      </c>
      <c r="ER87">
        <f>IF(Dobór!$M$18="Ogrzewanie podłogowe 35/28",EG36,IF(Dobór!$M$18="Grzejniki niskotemperaturowe 55/45",ED36,Error))</f>
        <v>4.6293887952240214</v>
      </c>
      <c r="ES87">
        <f>IF(Dobór!$M$18="Ogrzewanie podłogowe 35/28",EA36,DX36)</f>
        <v>4.5259298061812476</v>
      </c>
    </row>
    <row r="88" spans="117:149">
      <c r="DM88" s="49">
        <v>3</v>
      </c>
      <c r="DQ88" s="51">
        <v>3</v>
      </c>
      <c r="EI88" s="127">
        <v>4</v>
      </c>
      <c r="EJ88" s="127">
        <f t="shared" si="47"/>
        <v>203</v>
      </c>
      <c r="EK88" s="127">
        <v>12</v>
      </c>
      <c r="EL88" s="130">
        <v>12</v>
      </c>
      <c r="ER88">
        <f>IF(Dobór!$M$18="Ogrzewanie podłogowe 35/28",EG37,IF(Dobór!$M$18="Grzejniki niskotemperaturowe 55/45",ED37,Error))</f>
        <v>4.6821739937152325</v>
      </c>
      <c r="ES88">
        <f>IF(Dobór!$M$18="Ogrzewanie podłogowe 35/28",EA37,DX37)</f>
        <v>4.6016771488469601</v>
      </c>
    </row>
    <row r="89" spans="117:149">
      <c r="DM89" s="49">
        <v>3</v>
      </c>
      <c r="DQ89" s="51">
        <v>3</v>
      </c>
      <c r="EI89" s="127">
        <v>9</v>
      </c>
      <c r="EJ89" s="127">
        <f t="shared" si="47"/>
        <v>212</v>
      </c>
      <c r="EK89" s="127">
        <v>13</v>
      </c>
      <c r="EL89" s="130">
        <v>13</v>
      </c>
      <c r="ER89">
        <f>IF(Dobór!$M$18="Ogrzewanie podłogowe 35/28",EG38,IF(Dobór!$M$18="Grzejniki niskotemperaturowe 55/45",ED38,Error))</f>
        <v>4.7143727316625421</v>
      </c>
      <c r="ES89">
        <f>IF(Dobór!$M$18="Ogrzewanie podłogowe 35/28",EA38,DX38)</f>
        <v>4.6775039328788672</v>
      </c>
    </row>
    <row r="90" spans="117:149">
      <c r="DM90" s="49">
        <v>3</v>
      </c>
      <c r="DQ90" s="51">
        <v>3</v>
      </c>
      <c r="EI90" s="127">
        <v>9</v>
      </c>
      <c r="EJ90" s="127">
        <f t="shared" si="47"/>
        <v>221</v>
      </c>
      <c r="EK90" s="127">
        <v>14</v>
      </c>
      <c r="EL90" s="130">
        <v>14</v>
      </c>
      <c r="ER90">
        <f>IF(Dobór!$M$18="Ogrzewanie podłogowe 35/28",EG39,IF(Dobór!$M$18="Grzejniki niskotemperaturowe 55/45",ED39,Error))</f>
        <v>4.7534102833158451</v>
      </c>
      <c r="ES90">
        <f>IF(Dobór!$M$18="Ogrzewanie podłogowe 35/28",EA39,DX39)</f>
        <v>4.7534102833158451</v>
      </c>
    </row>
    <row r="91" spans="117:149">
      <c r="DM91" s="49">
        <v>3</v>
      </c>
      <c r="DQ91" s="51">
        <v>3</v>
      </c>
      <c r="EI91" s="127">
        <v>4</v>
      </c>
      <c r="EJ91" s="127">
        <f t="shared" si="47"/>
        <v>225</v>
      </c>
      <c r="EK91" s="127">
        <v>15</v>
      </c>
      <c r="EL91" s="130">
        <v>15</v>
      </c>
      <c r="ER91">
        <f>IF(Dobór!$M$18="Ogrzewanie podłogowe 35/28",EG40,IF(Dobór!$M$18="Grzejniki niskotemperaturowe 55/45",ED40,Error))</f>
        <v>4.7534102833158451</v>
      </c>
      <c r="ES91">
        <f>IF(Dobór!$M$18="Ogrzewanie podłogowe 35/28",EA40,DX40)</f>
        <v>4.8293963254593173</v>
      </c>
    </row>
    <row r="92" spans="117:149">
      <c r="DM92" s="49">
        <v>3</v>
      </c>
      <c r="DQ92" s="51">
        <v>3</v>
      </c>
      <c r="EI92" s="127"/>
      <c r="EJ92" s="127">
        <f t="shared" si="47"/>
        <v>225</v>
      </c>
      <c r="EK92" s="127"/>
    </row>
    <row r="93" spans="117:149">
      <c r="DM93" s="49">
        <v>3</v>
      </c>
      <c r="DQ93" s="51">
        <v>3</v>
      </c>
      <c r="EI93" s="127"/>
      <c r="EJ93" s="127">
        <f t="shared" si="47"/>
        <v>225</v>
      </c>
      <c r="EK93" s="127"/>
    </row>
    <row r="94" spans="117:149">
      <c r="DM94" s="49">
        <v>3</v>
      </c>
      <c r="DQ94" s="51">
        <v>3</v>
      </c>
      <c r="EI94" s="127">
        <v>13</v>
      </c>
      <c r="EJ94" s="127">
        <f t="shared" si="47"/>
        <v>238</v>
      </c>
      <c r="EK94" s="127">
        <v>16</v>
      </c>
    </row>
    <row r="95" spans="117:149">
      <c r="DM95" s="49">
        <v>3</v>
      </c>
      <c r="DQ95" s="51">
        <v>3</v>
      </c>
      <c r="EI95" s="127">
        <v>10</v>
      </c>
      <c r="EJ95" s="127">
        <f t="shared" si="47"/>
        <v>248</v>
      </c>
      <c r="EK95" s="127">
        <v>17</v>
      </c>
    </row>
    <row r="96" spans="117:149">
      <c r="DM96" s="49">
        <v>3</v>
      </c>
      <c r="DQ96" s="51">
        <v>3</v>
      </c>
      <c r="EI96" s="127">
        <v>12</v>
      </c>
      <c r="EJ96" s="127">
        <f t="shared" si="47"/>
        <v>260</v>
      </c>
      <c r="EK96" s="127">
        <v>18</v>
      </c>
    </row>
    <row r="97" spans="117:141">
      <c r="DM97" s="49">
        <v>3</v>
      </c>
      <c r="DQ97" s="51">
        <v>3</v>
      </c>
      <c r="EI97" s="127">
        <v>9</v>
      </c>
      <c r="EJ97" s="127">
        <f t="shared" si="47"/>
        <v>269</v>
      </c>
      <c r="EK97" s="127">
        <v>19</v>
      </c>
    </row>
    <row r="98" spans="117:141">
      <c r="DM98" s="49">
        <v>4</v>
      </c>
      <c r="DQ98" s="51">
        <v>4</v>
      </c>
      <c r="EI98" s="127">
        <v>10</v>
      </c>
      <c r="EJ98" s="127">
        <f t="shared" si="47"/>
        <v>279</v>
      </c>
      <c r="EK98" s="127">
        <v>20</v>
      </c>
    </row>
    <row r="99" spans="117:141">
      <c r="DM99" s="49">
        <v>4</v>
      </c>
      <c r="DQ99" s="51">
        <v>4</v>
      </c>
      <c r="EI99" s="127">
        <v>14</v>
      </c>
      <c r="EJ99" s="127">
        <f t="shared" si="47"/>
        <v>293</v>
      </c>
      <c r="EK99" s="127">
        <v>21</v>
      </c>
    </row>
    <row r="100" spans="117:141">
      <c r="DM100" s="49">
        <v>4</v>
      </c>
      <c r="DQ100" s="51">
        <v>4</v>
      </c>
      <c r="EI100" s="127">
        <v>8</v>
      </c>
      <c r="EJ100" s="127">
        <f t="shared" si="47"/>
        <v>301</v>
      </c>
      <c r="EK100" s="127">
        <v>22</v>
      </c>
    </row>
    <row r="101" spans="117:141">
      <c r="DM101" s="49">
        <v>4</v>
      </c>
      <c r="DQ101" s="51">
        <v>4</v>
      </c>
      <c r="EI101" s="127">
        <v>9</v>
      </c>
      <c r="EJ101" s="127">
        <f t="shared" si="47"/>
        <v>310</v>
      </c>
      <c r="EK101" s="127">
        <v>23</v>
      </c>
    </row>
    <row r="102" spans="117:141">
      <c r="DM102" s="49">
        <v>4</v>
      </c>
      <c r="DQ102" s="51">
        <v>4</v>
      </c>
      <c r="EI102" s="127">
        <v>3</v>
      </c>
      <c r="EJ102" s="127">
        <f t="shared" si="47"/>
        <v>313</v>
      </c>
      <c r="EK102" s="127">
        <v>24</v>
      </c>
    </row>
    <row r="103" spans="117:141">
      <c r="DM103" s="49">
        <v>4</v>
      </c>
      <c r="DQ103" s="51">
        <v>4</v>
      </c>
      <c r="EI103" s="127">
        <v>7</v>
      </c>
      <c r="EJ103" s="127">
        <f t="shared" si="47"/>
        <v>320</v>
      </c>
      <c r="EK103" s="127">
        <v>25</v>
      </c>
    </row>
    <row r="104" spans="117:141">
      <c r="DM104" s="49">
        <v>4</v>
      </c>
      <c r="DQ104" s="51">
        <v>4</v>
      </c>
      <c r="EI104" s="127">
        <v>3</v>
      </c>
      <c r="EJ104" s="127">
        <f t="shared" si="47"/>
        <v>323</v>
      </c>
      <c r="EK104" s="127">
        <v>26</v>
      </c>
    </row>
    <row r="105" spans="117:141">
      <c r="DM105" s="49">
        <v>4</v>
      </c>
      <c r="DQ105" s="51">
        <v>4</v>
      </c>
      <c r="EI105" s="127">
        <v>0</v>
      </c>
      <c r="EJ105" s="127">
        <f t="shared" si="47"/>
        <v>323</v>
      </c>
      <c r="EK105" s="127">
        <v>27</v>
      </c>
    </row>
    <row r="106" spans="117:141">
      <c r="DM106" s="49">
        <v>4</v>
      </c>
      <c r="DQ106" s="51">
        <v>4</v>
      </c>
      <c r="EI106" s="127">
        <v>1</v>
      </c>
      <c r="EJ106" s="127">
        <f t="shared" si="47"/>
        <v>324</v>
      </c>
      <c r="EK106" s="127">
        <v>28</v>
      </c>
    </row>
    <row r="107" spans="117:141">
      <c r="DM107" s="49">
        <v>4</v>
      </c>
      <c r="DQ107" s="51">
        <v>4</v>
      </c>
    </row>
    <row r="108" spans="117:141">
      <c r="DM108" s="49">
        <v>4</v>
      </c>
      <c r="DQ108" s="51">
        <v>4</v>
      </c>
    </row>
    <row r="109" spans="117:141">
      <c r="DM109" s="49">
        <v>4</v>
      </c>
      <c r="DQ109" s="51">
        <v>4</v>
      </c>
    </row>
    <row r="110" spans="117:141">
      <c r="DM110" s="49">
        <v>4</v>
      </c>
      <c r="DQ110" s="51">
        <v>4</v>
      </c>
    </row>
    <row r="111" spans="117:141">
      <c r="DM111" s="49">
        <v>5</v>
      </c>
      <c r="DQ111" s="51">
        <v>5</v>
      </c>
    </row>
    <row r="112" spans="117:141">
      <c r="DM112" s="49">
        <v>5</v>
      </c>
      <c r="DQ112" s="51">
        <v>5</v>
      </c>
    </row>
    <row r="113" spans="117:121">
      <c r="DM113" s="49">
        <v>5</v>
      </c>
      <c r="DQ113" s="51">
        <v>5</v>
      </c>
    </row>
    <row r="114" spans="117:121">
      <c r="DM114" s="49">
        <v>5</v>
      </c>
      <c r="DQ114" s="51">
        <v>5</v>
      </c>
    </row>
    <row r="115" spans="117:121">
      <c r="DM115" s="49">
        <v>5</v>
      </c>
      <c r="DQ115" s="51">
        <v>5</v>
      </c>
    </row>
    <row r="116" spans="117:121">
      <c r="DM116" s="49">
        <v>5</v>
      </c>
      <c r="DQ116" s="51">
        <v>5</v>
      </c>
    </row>
    <row r="117" spans="117:121">
      <c r="DM117" s="49">
        <v>5</v>
      </c>
      <c r="DQ117" s="51">
        <v>5</v>
      </c>
    </row>
    <row r="118" spans="117:121">
      <c r="DM118" s="49">
        <v>5</v>
      </c>
      <c r="DQ118" s="51">
        <v>5</v>
      </c>
    </row>
    <row r="119" spans="117:121">
      <c r="DM119" s="49">
        <v>5</v>
      </c>
      <c r="DQ119" s="51">
        <v>5</v>
      </c>
    </row>
    <row r="120" spans="117:121">
      <c r="DM120" s="49">
        <v>5</v>
      </c>
      <c r="DQ120" s="51">
        <v>5</v>
      </c>
    </row>
    <row r="121" spans="117:121">
      <c r="DM121" s="49">
        <v>5</v>
      </c>
      <c r="DQ121" s="51">
        <v>5</v>
      </c>
    </row>
    <row r="122" spans="117:121">
      <c r="DM122" s="49">
        <v>6</v>
      </c>
      <c r="DQ122" s="51">
        <v>6</v>
      </c>
    </row>
    <row r="123" spans="117:121">
      <c r="DM123" s="49">
        <v>6</v>
      </c>
      <c r="DQ123" s="51">
        <v>6</v>
      </c>
    </row>
    <row r="124" spans="117:121">
      <c r="DM124" s="49">
        <v>6</v>
      </c>
      <c r="DQ124" s="51">
        <v>6</v>
      </c>
    </row>
    <row r="125" spans="117:121">
      <c r="DM125" s="49">
        <v>6</v>
      </c>
      <c r="DQ125" s="51">
        <v>6</v>
      </c>
    </row>
    <row r="126" spans="117:121">
      <c r="DM126" s="49">
        <v>6</v>
      </c>
      <c r="DQ126" s="51">
        <v>6</v>
      </c>
    </row>
    <row r="127" spans="117:121">
      <c r="DM127" s="49">
        <v>6</v>
      </c>
      <c r="DQ127" s="51">
        <v>6</v>
      </c>
    </row>
    <row r="128" spans="117:121">
      <c r="DM128" s="49">
        <v>6</v>
      </c>
      <c r="DQ128" s="51">
        <v>6</v>
      </c>
    </row>
    <row r="129" spans="117:121">
      <c r="DM129" s="49">
        <v>6</v>
      </c>
      <c r="DQ129" s="51">
        <v>6</v>
      </c>
    </row>
    <row r="130" spans="117:121">
      <c r="DM130" s="49">
        <v>6</v>
      </c>
      <c r="DQ130" s="51">
        <v>6</v>
      </c>
    </row>
    <row r="131" spans="117:121">
      <c r="DM131" s="49">
        <v>6</v>
      </c>
      <c r="DQ131" s="51">
        <v>6</v>
      </c>
    </row>
    <row r="132" spans="117:121">
      <c r="DM132" s="49">
        <v>6</v>
      </c>
      <c r="DQ132" s="51">
        <v>6</v>
      </c>
    </row>
    <row r="133" spans="117:121">
      <c r="DM133" s="49">
        <v>6</v>
      </c>
      <c r="DQ133" s="51">
        <v>6</v>
      </c>
    </row>
    <row r="134" spans="117:121">
      <c r="DM134" s="49">
        <v>6</v>
      </c>
      <c r="DQ134" s="51">
        <v>6</v>
      </c>
    </row>
    <row r="135" spans="117:121">
      <c r="DM135" s="49">
        <v>6</v>
      </c>
      <c r="DQ135" s="51">
        <v>6</v>
      </c>
    </row>
    <row r="136" spans="117:121">
      <c r="DM136" s="49">
        <v>6</v>
      </c>
      <c r="DQ136" s="51">
        <v>6</v>
      </c>
    </row>
    <row r="137" spans="117:121">
      <c r="DM137" s="49">
        <v>6</v>
      </c>
      <c r="DQ137" s="51">
        <v>6</v>
      </c>
    </row>
    <row r="138" spans="117:121">
      <c r="DM138" s="49">
        <v>6</v>
      </c>
      <c r="DQ138" s="51">
        <v>6</v>
      </c>
    </row>
    <row r="139" spans="117:121">
      <c r="DM139" s="49">
        <v>6</v>
      </c>
      <c r="DQ139" s="51">
        <v>6</v>
      </c>
    </row>
    <row r="140" spans="117:121">
      <c r="DM140" s="49">
        <v>6</v>
      </c>
      <c r="DQ140" s="51">
        <v>6</v>
      </c>
    </row>
    <row r="141" spans="117:121">
      <c r="DM141" s="49">
        <v>6</v>
      </c>
      <c r="DQ141" s="51">
        <v>6</v>
      </c>
    </row>
    <row r="142" spans="117:121">
      <c r="DM142" s="49">
        <v>7</v>
      </c>
      <c r="DQ142" s="51">
        <v>7</v>
      </c>
    </row>
    <row r="143" spans="117:121">
      <c r="DM143" s="49">
        <v>7</v>
      </c>
      <c r="DQ143" s="51">
        <v>7</v>
      </c>
    </row>
    <row r="144" spans="117:121">
      <c r="DM144" s="49">
        <v>7</v>
      </c>
      <c r="DQ144" s="51">
        <v>7</v>
      </c>
    </row>
    <row r="145" spans="117:121">
      <c r="DM145" s="49">
        <v>7</v>
      </c>
      <c r="DQ145" s="51">
        <v>7</v>
      </c>
    </row>
    <row r="146" spans="117:121">
      <c r="DM146" s="49">
        <v>7</v>
      </c>
      <c r="DQ146" s="51">
        <v>7</v>
      </c>
    </row>
    <row r="147" spans="117:121">
      <c r="DM147" s="49">
        <v>7</v>
      </c>
      <c r="DQ147" s="51">
        <v>7</v>
      </c>
    </row>
    <row r="148" spans="117:121">
      <c r="DM148" s="49">
        <v>7</v>
      </c>
      <c r="DQ148" s="51">
        <v>7</v>
      </c>
    </row>
    <row r="149" spans="117:121">
      <c r="DM149" s="49">
        <v>7</v>
      </c>
      <c r="DQ149" s="51">
        <v>7</v>
      </c>
    </row>
    <row r="150" spans="117:121">
      <c r="DM150" s="49">
        <v>7</v>
      </c>
      <c r="DQ150" s="51">
        <v>7</v>
      </c>
    </row>
    <row r="151" spans="117:121">
      <c r="DM151" s="49">
        <v>7</v>
      </c>
      <c r="DQ151" s="51">
        <v>7</v>
      </c>
    </row>
    <row r="152" spans="117:121">
      <c r="DM152" s="49">
        <v>7</v>
      </c>
      <c r="DQ152" s="51">
        <v>7</v>
      </c>
    </row>
    <row r="153" spans="117:121">
      <c r="DM153" s="49">
        <v>7</v>
      </c>
      <c r="DQ153" s="51">
        <v>7</v>
      </c>
    </row>
    <row r="154" spans="117:121">
      <c r="DM154" s="49">
        <v>7</v>
      </c>
      <c r="DQ154" s="51">
        <v>7</v>
      </c>
    </row>
    <row r="155" spans="117:121">
      <c r="DM155" s="49">
        <v>8</v>
      </c>
      <c r="DQ155" s="51">
        <v>8</v>
      </c>
    </row>
    <row r="156" spans="117:121">
      <c r="DM156" s="49">
        <v>8</v>
      </c>
      <c r="DQ156" s="51">
        <v>8</v>
      </c>
    </row>
    <row r="157" spans="117:121">
      <c r="DM157" s="49">
        <v>8</v>
      </c>
      <c r="DQ157" s="51">
        <v>8</v>
      </c>
    </row>
    <row r="158" spans="117:121">
      <c r="DM158" s="49">
        <v>8</v>
      </c>
      <c r="DQ158" s="51">
        <v>8</v>
      </c>
    </row>
    <row r="159" spans="117:121">
      <c r="DM159" s="49">
        <v>8</v>
      </c>
      <c r="DQ159" s="51">
        <v>8</v>
      </c>
    </row>
    <row r="160" spans="117:121">
      <c r="DM160" s="49">
        <v>8</v>
      </c>
      <c r="DQ160" s="51">
        <v>8</v>
      </c>
    </row>
    <row r="161" spans="117:121">
      <c r="DM161" s="49">
        <v>8</v>
      </c>
      <c r="DQ161" s="51">
        <v>8</v>
      </c>
    </row>
    <row r="162" spans="117:121">
      <c r="DM162" s="49">
        <v>8</v>
      </c>
      <c r="DQ162" s="51">
        <v>8</v>
      </c>
    </row>
    <row r="163" spans="117:121">
      <c r="DM163" s="49">
        <v>8</v>
      </c>
      <c r="DQ163" s="51">
        <v>8</v>
      </c>
    </row>
    <row r="164" spans="117:121">
      <c r="DM164" s="49">
        <v>8</v>
      </c>
      <c r="DQ164" s="51">
        <v>8</v>
      </c>
    </row>
    <row r="165" spans="117:121">
      <c r="DM165" s="49">
        <v>8</v>
      </c>
      <c r="DQ165" s="51">
        <v>8</v>
      </c>
    </row>
    <row r="166" spans="117:121">
      <c r="DM166" s="49">
        <v>8</v>
      </c>
      <c r="DQ166" s="51">
        <v>8</v>
      </c>
    </row>
    <row r="167" spans="117:121">
      <c r="DM167" s="49">
        <v>8</v>
      </c>
      <c r="DQ167" s="51">
        <v>8</v>
      </c>
    </row>
    <row r="168" spans="117:121">
      <c r="DM168" s="49">
        <v>8</v>
      </c>
      <c r="DQ168" s="51">
        <v>8</v>
      </c>
    </row>
    <row r="169" spans="117:121">
      <c r="DM169" s="49">
        <v>8</v>
      </c>
      <c r="DQ169" s="51">
        <v>8</v>
      </c>
    </row>
    <row r="170" spans="117:121">
      <c r="DM170" s="49">
        <v>8</v>
      </c>
      <c r="DQ170" s="51">
        <v>8</v>
      </c>
    </row>
    <row r="171" spans="117:121">
      <c r="DM171" s="49">
        <v>8</v>
      </c>
      <c r="DQ171" s="51">
        <v>8</v>
      </c>
    </row>
    <row r="172" spans="117:121">
      <c r="DM172" s="49">
        <v>9</v>
      </c>
      <c r="DQ172" s="51">
        <v>9</v>
      </c>
    </row>
    <row r="173" spans="117:121">
      <c r="DM173" s="49">
        <v>9</v>
      </c>
      <c r="DQ173" s="51">
        <v>9</v>
      </c>
    </row>
    <row r="174" spans="117:121">
      <c r="DM174" s="49">
        <v>9</v>
      </c>
      <c r="DQ174" s="51">
        <v>9</v>
      </c>
    </row>
    <row r="175" spans="117:121">
      <c r="DM175" s="49">
        <v>9</v>
      </c>
      <c r="DQ175" s="51">
        <v>9</v>
      </c>
    </row>
    <row r="176" spans="117:121">
      <c r="DM176" s="49">
        <v>9</v>
      </c>
      <c r="DQ176" s="51">
        <v>9</v>
      </c>
    </row>
    <row r="177" spans="117:121">
      <c r="DM177" s="49">
        <v>9</v>
      </c>
      <c r="DQ177" s="51">
        <v>9</v>
      </c>
    </row>
    <row r="178" spans="117:121">
      <c r="DM178" s="49">
        <v>9</v>
      </c>
      <c r="DQ178" s="51">
        <v>9</v>
      </c>
    </row>
    <row r="179" spans="117:121">
      <c r="DM179" s="49">
        <v>9</v>
      </c>
      <c r="DQ179" s="51">
        <v>9</v>
      </c>
    </row>
    <row r="180" spans="117:121">
      <c r="DM180" s="49">
        <v>9</v>
      </c>
      <c r="DQ180" s="51">
        <v>9</v>
      </c>
    </row>
    <row r="181" spans="117:121">
      <c r="DM181" s="49">
        <v>10</v>
      </c>
      <c r="DQ181" s="51">
        <v>10</v>
      </c>
    </row>
    <row r="182" spans="117:121">
      <c r="DM182" s="49">
        <v>10</v>
      </c>
      <c r="DQ182" s="51">
        <v>10</v>
      </c>
    </row>
    <row r="183" spans="117:121">
      <c r="DM183" s="49">
        <v>10</v>
      </c>
      <c r="DQ183" s="51">
        <v>10</v>
      </c>
    </row>
    <row r="184" spans="117:121">
      <c r="DM184" s="49">
        <v>10</v>
      </c>
      <c r="DQ184" s="51">
        <v>10</v>
      </c>
    </row>
    <row r="185" spans="117:121">
      <c r="DM185" s="49">
        <v>10</v>
      </c>
      <c r="DQ185" s="51">
        <v>10</v>
      </c>
    </row>
    <row r="186" spans="117:121">
      <c r="DM186" s="49">
        <v>10</v>
      </c>
      <c r="DQ186" s="51">
        <v>10</v>
      </c>
    </row>
    <row r="187" spans="117:121">
      <c r="DM187" s="49">
        <v>10</v>
      </c>
      <c r="DQ187" s="51">
        <v>10</v>
      </c>
    </row>
    <row r="188" spans="117:121">
      <c r="DM188" s="49">
        <v>10</v>
      </c>
      <c r="DQ188" s="51">
        <v>10</v>
      </c>
    </row>
    <row r="189" spans="117:121">
      <c r="DM189" s="49">
        <v>10</v>
      </c>
      <c r="DQ189" s="51">
        <v>10</v>
      </c>
    </row>
    <row r="190" spans="117:121">
      <c r="DM190" s="49">
        <v>10</v>
      </c>
      <c r="DQ190" s="51">
        <v>10</v>
      </c>
    </row>
    <row r="191" spans="117:121">
      <c r="DM191" s="49">
        <v>10</v>
      </c>
      <c r="DQ191" s="51">
        <v>10</v>
      </c>
    </row>
    <row r="192" spans="117:121">
      <c r="DM192" s="49">
        <v>10</v>
      </c>
      <c r="DQ192" s="51">
        <v>11</v>
      </c>
    </row>
    <row r="193" spans="117:121">
      <c r="DM193" s="49">
        <v>10</v>
      </c>
      <c r="DQ193" s="51">
        <v>11</v>
      </c>
    </row>
    <row r="194" spans="117:121">
      <c r="DM194" s="49">
        <v>10</v>
      </c>
      <c r="DQ194" s="51">
        <v>11</v>
      </c>
    </row>
    <row r="195" spans="117:121">
      <c r="DM195" s="49">
        <v>10</v>
      </c>
      <c r="DQ195" s="51">
        <v>11</v>
      </c>
    </row>
    <row r="196" spans="117:121">
      <c r="DM196" s="49">
        <v>10</v>
      </c>
      <c r="DQ196" s="51">
        <v>11</v>
      </c>
    </row>
    <row r="197" spans="117:121">
      <c r="DM197" s="49">
        <v>10</v>
      </c>
      <c r="DQ197" s="51">
        <v>11</v>
      </c>
    </row>
    <row r="198" spans="117:121">
      <c r="DM198" s="49">
        <v>11</v>
      </c>
      <c r="DQ198" s="51">
        <v>11</v>
      </c>
    </row>
    <row r="199" spans="117:121">
      <c r="DM199" s="49">
        <v>11</v>
      </c>
      <c r="DQ199" s="51">
        <v>11</v>
      </c>
    </row>
    <row r="200" spans="117:121">
      <c r="DM200" s="49">
        <v>11</v>
      </c>
      <c r="DQ200" s="51">
        <v>11</v>
      </c>
    </row>
    <row r="201" spans="117:121">
      <c r="DM201" s="49">
        <v>11</v>
      </c>
      <c r="DQ201" s="51">
        <v>12</v>
      </c>
    </row>
    <row r="202" spans="117:121">
      <c r="DM202" s="49">
        <v>11</v>
      </c>
      <c r="DQ202" s="51">
        <v>12</v>
      </c>
    </row>
    <row r="203" spans="117:121">
      <c r="DM203" s="49">
        <v>11</v>
      </c>
      <c r="DQ203" s="51">
        <v>12</v>
      </c>
    </row>
    <row r="204" spans="117:121">
      <c r="DM204" s="49">
        <v>11</v>
      </c>
      <c r="DQ204" s="51">
        <v>12</v>
      </c>
    </row>
    <row r="205" spans="117:121">
      <c r="DM205" s="49">
        <v>11</v>
      </c>
      <c r="DQ205" s="51">
        <v>12</v>
      </c>
    </row>
    <row r="206" spans="117:121">
      <c r="DM206" s="49">
        <v>11</v>
      </c>
      <c r="DQ206" s="51">
        <v>13</v>
      </c>
    </row>
    <row r="207" spans="117:121">
      <c r="DM207" s="49">
        <v>11</v>
      </c>
      <c r="DQ207" s="51">
        <v>13</v>
      </c>
    </row>
    <row r="208" spans="117:121">
      <c r="DM208" s="49">
        <v>12</v>
      </c>
      <c r="DQ208" s="51">
        <v>13</v>
      </c>
    </row>
    <row r="209" spans="117:121">
      <c r="DM209" s="49">
        <v>12</v>
      </c>
      <c r="DQ209" s="51">
        <v>13</v>
      </c>
    </row>
    <row r="210" spans="117:121">
      <c r="DM210" s="49">
        <v>12</v>
      </c>
      <c r="DQ210" s="51">
        <v>13</v>
      </c>
    </row>
    <row r="211" spans="117:121">
      <c r="DM211" s="49">
        <v>12</v>
      </c>
      <c r="DQ211" s="51">
        <v>13</v>
      </c>
    </row>
    <row r="212" spans="117:121">
      <c r="DM212" s="49">
        <v>12</v>
      </c>
      <c r="DQ212" s="51">
        <v>13</v>
      </c>
    </row>
    <row r="213" spans="117:121">
      <c r="DM213" s="49">
        <v>12</v>
      </c>
      <c r="DQ213" s="51">
        <v>13</v>
      </c>
    </row>
    <row r="214" spans="117:121">
      <c r="DM214" s="49">
        <v>12</v>
      </c>
      <c r="DQ214" s="51">
        <v>13</v>
      </c>
    </row>
    <row r="215" spans="117:121">
      <c r="DM215" s="49">
        <v>13</v>
      </c>
      <c r="DQ215" s="51">
        <v>14</v>
      </c>
    </row>
    <row r="216" spans="117:121">
      <c r="DM216" s="49">
        <v>13</v>
      </c>
      <c r="DQ216" s="51">
        <v>14</v>
      </c>
    </row>
    <row r="217" spans="117:121">
      <c r="DM217" s="49">
        <v>13</v>
      </c>
      <c r="DQ217" s="51">
        <v>14</v>
      </c>
    </row>
    <row r="218" spans="117:121">
      <c r="DM218" s="49">
        <v>13</v>
      </c>
      <c r="DQ218" s="51">
        <v>14</v>
      </c>
    </row>
    <row r="219" spans="117:121">
      <c r="DM219" s="49">
        <v>13</v>
      </c>
      <c r="DQ219" s="51">
        <v>14</v>
      </c>
    </row>
    <row r="220" spans="117:121">
      <c r="DM220" s="49">
        <v>13</v>
      </c>
      <c r="DQ220" s="51">
        <v>14</v>
      </c>
    </row>
    <row r="221" spans="117:121">
      <c r="DM221" s="49">
        <v>13</v>
      </c>
      <c r="DQ221" s="51">
        <v>14</v>
      </c>
    </row>
    <row r="222" spans="117:121">
      <c r="DM222" s="49">
        <v>13</v>
      </c>
      <c r="DQ222" s="51">
        <v>14</v>
      </c>
    </row>
    <row r="223" spans="117:121">
      <c r="DM223" s="49">
        <v>13</v>
      </c>
      <c r="DQ223" s="51">
        <v>14</v>
      </c>
    </row>
    <row r="224" spans="117:121">
      <c r="DM224" s="49">
        <v>13</v>
      </c>
      <c r="DQ224" s="51">
        <v>15</v>
      </c>
    </row>
    <row r="225" spans="117:121">
      <c r="DM225" s="49">
        <v>13</v>
      </c>
      <c r="DQ225" s="51">
        <v>15</v>
      </c>
    </row>
    <row r="226" spans="117:121">
      <c r="DM226" s="49">
        <v>13</v>
      </c>
      <c r="DQ226" s="51">
        <v>15</v>
      </c>
    </row>
    <row r="227" spans="117:121">
      <c r="DM227" s="49">
        <v>14</v>
      </c>
      <c r="DQ227" s="51">
        <v>15</v>
      </c>
    </row>
    <row r="228" spans="117:121">
      <c r="DM228" s="49">
        <v>14</v>
      </c>
      <c r="DQ228" s="51">
        <v>16</v>
      </c>
    </row>
    <row r="229" spans="117:121">
      <c r="DM229" s="49">
        <v>14</v>
      </c>
      <c r="DQ229" s="51">
        <v>16</v>
      </c>
    </row>
    <row r="230" spans="117:121">
      <c r="DM230" s="49">
        <v>14</v>
      </c>
      <c r="DQ230" s="51">
        <v>17</v>
      </c>
    </row>
    <row r="231" spans="117:121">
      <c r="DM231" s="49">
        <v>14</v>
      </c>
      <c r="DQ231" s="51">
        <v>17</v>
      </c>
    </row>
    <row r="232" spans="117:121">
      <c r="DM232" s="49">
        <v>14</v>
      </c>
      <c r="DQ232" s="51">
        <v>17</v>
      </c>
    </row>
    <row r="233" spans="117:121">
      <c r="DM233" s="49">
        <v>14</v>
      </c>
      <c r="DQ233" s="51">
        <v>17</v>
      </c>
    </row>
    <row r="234" spans="117:121">
      <c r="DM234" s="49">
        <v>14</v>
      </c>
      <c r="DQ234" s="51">
        <v>17</v>
      </c>
    </row>
    <row r="235" spans="117:121">
      <c r="DM235" s="49">
        <v>14</v>
      </c>
      <c r="DQ235" s="51">
        <v>17</v>
      </c>
    </row>
    <row r="236" spans="117:121">
      <c r="DM236" s="49">
        <v>14</v>
      </c>
      <c r="DQ236" s="51">
        <v>17</v>
      </c>
    </row>
    <row r="237" spans="117:121">
      <c r="DM237" s="49">
        <v>14</v>
      </c>
      <c r="DQ237" s="51">
        <v>17</v>
      </c>
    </row>
    <row r="238" spans="117:121">
      <c r="DM238" s="49">
        <v>14</v>
      </c>
      <c r="DQ238" s="51">
        <v>17</v>
      </c>
    </row>
    <row r="239" spans="117:121">
      <c r="DM239" s="49">
        <v>14</v>
      </c>
    </row>
    <row r="240" spans="117:121">
      <c r="DM240" s="49">
        <v>14</v>
      </c>
    </row>
    <row r="241" spans="117:117">
      <c r="DM241" s="49">
        <v>14</v>
      </c>
    </row>
    <row r="242" spans="117:117">
      <c r="DM242" s="49">
        <v>14</v>
      </c>
    </row>
    <row r="243" spans="117:117">
      <c r="DM243" s="49">
        <v>14</v>
      </c>
    </row>
    <row r="244" spans="117:117">
      <c r="DM244" s="49">
        <v>15</v>
      </c>
    </row>
    <row r="245" spans="117:117">
      <c r="DM245" s="49">
        <v>15</v>
      </c>
    </row>
    <row r="246" spans="117:117">
      <c r="DM246" s="49">
        <v>15</v>
      </c>
    </row>
    <row r="247" spans="117:117">
      <c r="DM247" s="49">
        <v>15</v>
      </c>
    </row>
    <row r="248" spans="117:117">
      <c r="DM248" s="49">
        <v>15</v>
      </c>
    </row>
    <row r="249" spans="117:117">
      <c r="DM249" s="49">
        <v>15</v>
      </c>
    </row>
    <row r="250" spans="117:117">
      <c r="DM250" s="49">
        <v>15</v>
      </c>
    </row>
    <row r="251" spans="117:117">
      <c r="DM251" s="49">
        <v>15</v>
      </c>
    </row>
    <row r="252" spans="117:117">
      <c r="DM252" s="49">
        <v>16</v>
      </c>
    </row>
    <row r="253" spans="117:117">
      <c r="DM253" s="49">
        <v>16</v>
      </c>
    </row>
    <row r="254" spans="117:117">
      <c r="DM254" s="49">
        <v>16</v>
      </c>
    </row>
    <row r="255" spans="117:117">
      <c r="DM255" s="49">
        <v>16</v>
      </c>
    </row>
    <row r="256" spans="117:117">
      <c r="DM256" s="49">
        <v>16</v>
      </c>
    </row>
    <row r="257" spans="117:117">
      <c r="DM257" s="49">
        <v>16</v>
      </c>
    </row>
    <row r="258" spans="117:117">
      <c r="DM258" s="49">
        <v>16</v>
      </c>
    </row>
    <row r="259" spans="117:117">
      <c r="DM259" s="49">
        <v>16</v>
      </c>
    </row>
    <row r="260" spans="117:117">
      <c r="DM260" s="49">
        <v>16</v>
      </c>
    </row>
    <row r="261" spans="117:117">
      <c r="DM261" s="49">
        <v>16</v>
      </c>
    </row>
    <row r="262" spans="117:117">
      <c r="DM262" s="49">
        <v>16</v>
      </c>
    </row>
    <row r="263" spans="117:117">
      <c r="DM263" s="49">
        <v>16</v>
      </c>
    </row>
    <row r="264" spans="117:117">
      <c r="DM264" s="49">
        <v>16</v>
      </c>
    </row>
    <row r="265" spans="117:117">
      <c r="DM265" s="49">
        <v>16</v>
      </c>
    </row>
    <row r="266" spans="117:117">
      <c r="DM266" s="49">
        <v>16</v>
      </c>
    </row>
    <row r="267" spans="117:117">
      <c r="DM267" s="49">
        <v>17</v>
      </c>
    </row>
    <row r="268" spans="117:117">
      <c r="DM268" s="49">
        <v>17</v>
      </c>
    </row>
    <row r="269" spans="117:117">
      <c r="DM269" s="49">
        <v>17</v>
      </c>
    </row>
    <row r="270" spans="117:117">
      <c r="DM270" s="49">
        <v>17</v>
      </c>
    </row>
    <row r="271" spans="117:117">
      <c r="DM271" s="49">
        <v>17</v>
      </c>
    </row>
    <row r="272" spans="117:117">
      <c r="DM272" s="49">
        <v>17</v>
      </c>
    </row>
    <row r="273" spans="117:117">
      <c r="DM273" s="49">
        <v>17</v>
      </c>
    </row>
    <row r="274" spans="117:117">
      <c r="DM274" s="49">
        <v>17</v>
      </c>
    </row>
    <row r="275" spans="117:117">
      <c r="DM275" s="49">
        <v>17</v>
      </c>
    </row>
    <row r="276" spans="117:117">
      <c r="DM276" s="49">
        <v>17</v>
      </c>
    </row>
    <row r="277" spans="117:117">
      <c r="DM277" s="49">
        <v>17</v>
      </c>
    </row>
    <row r="278" spans="117:117">
      <c r="DM278" s="49">
        <v>17</v>
      </c>
    </row>
    <row r="279" spans="117:117">
      <c r="DM279" s="49">
        <v>17</v>
      </c>
    </row>
    <row r="280" spans="117:117">
      <c r="DM280" s="49">
        <v>17</v>
      </c>
    </row>
    <row r="281" spans="117:117">
      <c r="DM281" s="49">
        <v>17</v>
      </c>
    </row>
    <row r="282" spans="117:117">
      <c r="DM282" s="49">
        <v>17</v>
      </c>
    </row>
    <row r="283" spans="117:117">
      <c r="DM283" s="49">
        <v>17</v>
      </c>
    </row>
    <row r="284" spans="117:117">
      <c r="DM284" s="49">
        <v>17</v>
      </c>
    </row>
    <row r="285" spans="117:117">
      <c r="DM285" s="49">
        <v>17</v>
      </c>
    </row>
    <row r="286" spans="117:117">
      <c r="DM286" s="49">
        <v>18</v>
      </c>
    </row>
    <row r="287" spans="117:117">
      <c r="DM287" s="49">
        <v>18</v>
      </c>
    </row>
    <row r="288" spans="117:117">
      <c r="DM288" s="49">
        <v>18</v>
      </c>
    </row>
    <row r="289" spans="117:117">
      <c r="DM289" s="49">
        <v>18</v>
      </c>
    </row>
    <row r="290" spans="117:117">
      <c r="DM290" s="49">
        <v>18</v>
      </c>
    </row>
    <row r="291" spans="117:117">
      <c r="DM291" s="49">
        <v>18</v>
      </c>
    </row>
    <row r="292" spans="117:117">
      <c r="DM292" s="49">
        <v>18</v>
      </c>
    </row>
    <row r="293" spans="117:117">
      <c r="DM293" s="49">
        <v>18</v>
      </c>
    </row>
    <row r="294" spans="117:117">
      <c r="DM294" s="49">
        <v>18</v>
      </c>
    </row>
    <row r="295" spans="117:117">
      <c r="DM295" s="49">
        <v>18</v>
      </c>
    </row>
    <row r="296" spans="117:117">
      <c r="DM296" s="49">
        <v>18</v>
      </c>
    </row>
    <row r="297" spans="117:117">
      <c r="DM297" s="49">
        <v>18</v>
      </c>
    </row>
    <row r="298" spans="117:117">
      <c r="DM298" s="49">
        <v>19</v>
      </c>
    </row>
    <row r="299" spans="117:117">
      <c r="DM299" s="49">
        <v>19</v>
      </c>
    </row>
    <row r="300" spans="117:117">
      <c r="DM300" s="49">
        <v>19</v>
      </c>
    </row>
    <row r="301" spans="117:117">
      <c r="DM301" s="49">
        <v>19</v>
      </c>
    </row>
    <row r="302" spans="117:117">
      <c r="DM302" s="49">
        <v>19</v>
      </c>
    </row>
    <row r="303" spans="117:117">
      <c r="DM303" s="49">
        <v>19</v>
      </c>
    </row>
    <row r="304" spans="117:117">
      <c r="DM304" s="49">
        <v>19</v>
      </c>
    </row>
    <row r="305" spans="117:117">
      <c r="DM305" s="49">
        <v>19</v>
      </c>
    </row>
    <row r="306" spans="117:117">
      <c r="DM306" s="49">
        <v>19</v>
      </c>
    </row>
    <row r="307" spans="117:117">
      <c r="DM307" s="49">
        <v>19</v>
      </c>
    </row>
    <row r="308" spans="117:117">
      <c r="DM308" s="49">
        <v>19</v>
      </c>
    </row>
    <row r="309" spans="117:117">
      <c r="DM309" s="49">
        <v>19</v>
      </c>
    </row>
    <row r="310" spans="117:117">
      <c r="DM310" s="49">
        <v>19</v>
      </c>
    </row>
    <row r="311" spans="117:117">
      <c r="DM311" s="49">
        <v>20</v>
      </c>
    </row>
    <row r="312" spans="117:117">
      <c r="DM312" s="49">
        <v>20</v>
      </c>
    </row>
    <row r="313" spans="117:117">
      <c r="DM313" s="49">
        <v>20</v>
      </c>
    </row>
    <row r="314" spans="117:117">
      <c r="DM314" s="49">
        <v>20</v>
      </c>
    </row>
    <row r="315" spans="117:117">
      <c r="DM315" s="49">
        <v>20</v>
      </c>
    </row>
    <row r="316" spans="117:117">
      <c r="DM316" s="49">
        <v>20</v>
      </c>
    </row>
    <row r="317" spans="117:117">
      <c r="DM317" s="49">
        <v>20</v>
      </c>
    </row>
    <row r="318" spans="117:117">
      <c r="DM318" s="49">
        <v>20</v>
      </c>
    </row>
    <row r="319" spans="117:117">
      <c r="DM319" s="49">
        <v>20</v>
      </c>
    </row>
    <row r="320" spans="117:117">
      <c r="DM320" s="49">
        <v>20</v>
      </c>
    </row>
    <row r="321" spans="117:117">
      <c r="DM321" s="49">
        <v>21</v>
      </c>
    </row>
    <row r="322" spans="117:117">
      <c r="DM322" s="49">
        <v>21</v>
      </c>
    </row>
    <row r="323" spans="117:117">
      <c r="DM323" s="49">
        <v>21</v>
      </c>
    </row>
    <row r="324" spans="117:117">
      <c r="DM324" s="49">
        <v>21</v>
      </c>
    </row>
    <row r="325" spans="117:117">
      <c r="DM325" s="49">
        <v>21</v>
      </c>
    </row>
    <row r="326" spans="117:117">
      <c r="DM326" s="49">
        <v>21</v>
      </c>
    </row>
    <row r="327" spans="117:117">
      <c r="DM327" s="49">
        <v>21</v>
      </c>
    </row>
    <row r="328" spans="117:117">
      <c r="DM328" s="49">
        <v>21</v>
      </c>
    </row>
    <row r="329" spans="117:117">
      <c r="DM329" s="49">
        <v>21</v>
      </c>
    </row>
    <row r="330" spans="117:117">
      <c r="DM330" s="49">
        <v>21</v>
      </c>
    </row>
    <row r="331" spans="117:117">
      <c r="DM331" s="49">
        <v>21</v>
      </c>
    </row>
    <row r="332" spans="117:117">
      <c r="DM332" s="49">
        <v>21</v>
      </c>
    </row>
    <row r="333" spans="117:117">
      <c r="DM333" s="49">
        <v>21</v>
      </c>
    </row>
    <row r="334" spans="117:117">
      <c r="DM334" s="49">
        <v>21</v>
      </c>
    </row>
    <row r="335" spans="117:117">
      <c r="DM335" s="49">
        <v>21</v>
      </c>
    </row>
    <row r="336" spans="117:117">
      <c r="DM336" s="49">
        <v>22</v>
      </c>
    </row>
    <row r="337" spans="117:117">
      <c r="DM337" s="49">
        <v>22</v>
      </c>
    </row>
    <row r="338" spans="117:117">
      <c r="DM338" s="49">
        <v>22</v>
      </c>
    </row>
    <row r="339" spans="117:117">
      <c r="DM339" s="49">
        <v>22</v>
      </c>
    </row>
    <row r="340" spans="117:117">
      <c r="DM340" s="49">
        <v>22</v>
      </c>
    </row>
    <row r="341" spans="117:117">
      <c r="DM341" s="49">
        <v>22</v>
      </c>
    </row>
    <row r="342" spans="117:117">
      <c r="DM342" s="49">
        <v>22</v>
      </c>
    </row>
    <row r="343" spans="117:117">
      <c r="DM343" s="49">
        <v>22</v>
      </c>
    </row>
    <row r="344" spans="117:117">
      <c r="DM344" s="49">
        <v>22</v>
      </c>
    </row>
    <row r="345" spans="117:117">
      <c r="DM345" s="49">
        <v>23</v>
      </c>
    </row>
    <row r="346" spans="117:117">
      <c r="DM346" s="49">
        <v>23</v>
      </c>
    </row>
    <row r="347" spans="117:117">
      <c r="DM347" s="49">
        <v>23</v>
      </c>
    </row>
    <row r="348" spans="117:117">
      <c r="DM348" s="49">
        <v>23</v>
      </c>
    </row>
    <row r="349" spans="117:117">
      <c r="DM349" s="49">
        <v>23</v>
      </c>
    </row>
    <row r="350" spans="117:117">
      <c r="DM350" s="49">
        <v>23</v>
      </c>
    </row>
    <row r="351" spans="117:117">
      <c r="DM351" s="49">
        <v>23</v>
      </c>
    </row>
    <row r="352" spans="117:117">
      <c r="DM352" s="49">
        <v>23</v>
      </c>
    </row>
    <row r="353" spans="117:117">
      <c r="DM353" s="49">
        <v>23</v>
      </c>
    </row>
    <row r="354" spans="117:117">
      <c r="DM354" s="49">
        <v>24</v>
      </c>
    </row>
    <row r="355" spans="117:117">
      <c r="DM355" s="49">
        <v>24</v>
      </c>
    </row>
    <row r="356" spans="117:117">
      <c r="DM356" s="49">
        <v>24</v>
      </c>
    </row>
    <row r="357" spans="117:117">
      <c r="DM357" s="49">
        <v>25</v>
      </c>
    </row>
    <row r="358" spans="117:117">
      <c r="DM358" s="49">
        <v>25</v>
      </c>
    </row>
    <row r="359" spans="117:117">
      <c r="DM359" s="49">
        <v>25</v>
      </c>
    </row>
    <row r="360" spans="117:117">
      <c r="DM360" s="49">
        <v>25</v>
      </c>
    </row>
    <row r="361" spans="117:117">
      <c r="DM361" s="49">
        <v>25</v>
      </c>
    </row>
    <row r="362" spans="117:117">
      <c r="DM362" s="49">
        <v>25</v>
      </c>
    </row>
    <row r="363" spans="117:117">
      <c r="DM363" s="49">
        <v>25</v>
      </c>
    </row>
    <row r="364" spans="117:117">
      <c r="DM364" s="49">
        <v>26</v>
      </c>
    </row>
    <row r="365" spans="117:117">
      <c r="DM365" s="49">
        <v>26</v>
      </c>
    </row>
    <row r="366" spans="117:117">
      <c r="DM366" s="49">
        <v>26</v>
      </c>
    </row>
    <row r="367" spans="117:117">
      <c r="DM367" s="49">
        <v>28</v>
      </c>
    </row>
  </sheetData>
  <sheetProtection selectLockedCells="1"/>
  <mergeCells count="8">
    <mergeCell ref="A2:A33"/>
    <mergeCell ref="DT3:DU3"/>
    <mergeCell ref="EV3:EV4"/>
    <mergeCell ref="EV6:EV7"/>
    <mergeCell ref="DR1:DU1"/>
    <mergeCell ref="DV1:EG1"/>
    <mergeCell ref="EI1:EM1"/>
    <mergeCell ref="EN1:ER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B1:V51"/>
  <sheetViews>
    <sheetView zoomScale="55" zoomScaleNormal="55" workbookViewId="0">
      <selection activeCell="H2" sqref="H2"/>
    </sheetView>
  </sheetViews>
  <sheetFormatPr defaultRowHeight="13.8"/>
  <cols>
    <col min="2" max="2" width="6.234375" bestFit="1" customWidth="1"/>
    <col min="3" max="3" width="10" bestFit="1" customWidth="1"/>
    <col min="4" max="4" width="6" bestFit="1" customWidth="1"/>
    <col min="5" max="5" width="8.37890625" bestFit="1" customWidth="1"/>
    <col min="6" max="6" width="20" bestFit="1" customWidth="1"/>
    <col min="7" max="7" width="15.234375" bestFit="1" customWidth="1"/>
    <col min="8" max="8" width="16.85546875" bestFit="1" customWidth="1"/>
    <col min="9" max="9" width="19.140625" bestFit="1" customWidth="1"/>
    <col min="10" max="10" width="15.140625" customWidth="1"/>
    <col min="11" max="12" width="15.6171875" bestFit="1" customWidth="1"/>
    <col min="13" max="13" width="17.6171875" bestFit="1" customWidth="1"/>
    <col min="14" max="14" width="9.140625" bestFit="1" customWidth="1"/>
    <col min="15" max="15" width="9.234375" bestFit="1" customWidth="1"/>
    <col min="16" max="16" width="9.140625" bestFit="1" customWidth="1"/>
    <col min="17" max="17" width="8.140625" bestFit="1" customWidth="1"/>
    <col min="18" max="18" width="10.234375" customWidth="1"/>
    <col min="19" max="19" width="9.140625" bestFit="1" customWidth="1"/>
    <col min="20" max="20" width="8.140625" bestFit="1" customWidth="1"/>
    <col min="21" max="21" width="9.234375" bestFit="1" customWidth="1"/>
    <col min="22" max="22" width="11.234375" bestFit="1" customWidth="1"/>
  </cols>
  <sheetData>
    <row r="1" spans="2:22">
      <c r="B1" t="s">
        <v>258</v>
      </c>
      <c r="C1" t="s">
        <v>259</v>
      </c>
      <c r="D1" t="s">
        <v>260</v>
      </c>
      <c r="E1" t="s">
        <v>261</v>
      </c>
      <c r="F1" t="s">
        <v>262</v>
      </c>
      <c r="G1" t="s">
        <v>269</v>
      </c>
      <c r="H1" t="s">
        <v>270</v>
      </c>
      <c r="I1" t="s">
        <v>262</v>
      </c>
      <c r="J1" t="s">
        <v>271</v>
      </c>
      <c r="K1" t="s">
        <v>263</v>
      </c>
      <c r="L1" t="s">
        <v>264</v>
      </c>
      <c r="M1" t="s">
        <v>265</v>
      </c>
      <c r="P1" s="132" t="s">
        <v>266</v>
      </c>
      <c r="S1" s="132" t="s">
        <v>267</v>
      </c>
      <c r="V1" s="132" t="s">
        <v>268</v>
      </c>
    </row>
    <row r="2" spans="2:22">
      <c r="B2" s="118">
        <v>-20</v>
      </c>
      <c r="C2" s="84">
        <f t="shared" ref="C2:C26" si="0">C3+D3</f>
        <v>259.19999999999982</v>
      </c>
      <c r="D2" s="84">
        <f t="shared" ref="D2:D27" si="1">C2-C3</f>
        <v>7.1999999999999886</v>
      </c>
      <c r="E2" s="127">
        <v>0</v>
      </c>
      <c r="F2" s="131">
        <f t="shared" ref="F2:F37" si="2">C2*E2</f>
        <v>0</v>
      </c>
      <c r="G2" s="134">
        <f>'Dane dla CWU'!$H$43/365</f>
        <v>10.319026666666666</v>
      </c>
      <c r="H2" s="84">
        <f t="shared" ref="H2:H35" si="3">F2+H3</f>
        <v>20181.599999999999</v>
      </c>
      <c r="I2" s="84">
        <f t="shared" ref="I2:I49" si="4">E2*G2</f>
        <v>0</v>
      </c>
      <c r="J2" s="84">
        <f t="shared" ref="J2:J48" si="5">I2+J3</f>
        <v>3776.7637599999998</v>
      </c>
      <c r="K2">
        <v>0</v>
      </c>
      <c r="L2">
        <v>0</v>
      </c>
      <c r="M2">
        <v>0</v>
      </c>
      <c r="N2" s="84">
        <f t="shared" ref="N2:N37" si="6">F2*K2</f>
        <v>0</v>
      </c>
      <c r="O2" s="84">
        <f t="shared" ref="O2:O35" si="7">O3+N2</f>
        <v>53378.075736112449</v>
      </c>
      <c r="P2" s="133">
        <v>0</v>
      </c>
      <c r="Q2" s="84">
        <f t="shared" ref="Q2:Q36" si="8">F2*L2</f>
        <v>0</v>
      </c>
      <c r="R2" s="84">
        <f t="shared" ref="R2:R35" si="9">R3+Q2</f>
        <v>73678.539013467322</v>
      </c>
      <c r="S2" s="133">
        <v>0</v>
      </c>
      <c r="T2" s="84">
        <f t="shared" ref="T2:T35" si="10">I2*M2</f>
        <v>0</v>
      </c>
      <c r="U2" s="84">
        <f t="shared" ref="U2:U35" si="11">U3+T2</f>
        <v>8711.8112364374592</v>
      </c>
      <c r="V2" s="133">
        <v>0</v>
      </c>
    </row>
    <row r="3" spans="2:22">
      <c r="B3" s="118">
        <v>-19</v>
      </c>
      <c r="C3" s="84">
        <f t="shared" si="0"/>
        <v>251.99999999999983</v>
      </c>
      <c r="D3" s="84">
        <f t="shared" si="1"/>
        <v>7.1999999999999886</v>
      </c>
      <c r="E3" s="127">
        <v>0</v>
      </c>
      <c r="F3" s="131">
        <f t="shared" si="2"/>
        <v>0</v>
      </c>
      <c r="G3" s="134">
        <f>'Dane dla CWU'!$H$43/365</f>
        <v>10.319026666666666</v>
      </c>
      <c r="H3" s="84">
        <f t="shared" si="3"/>
        <v>20181.599999999999</v>
      </c>
      <c r="I3" s="84">
        <f t="shared" si="4"/>
        <v>0</v>
      </c>
      <c r="J3" s="84">
        <f t="shared" si="5"/>
        <v>3776.7637599999998</v>
      </c>
      <c r="K3">
        <v>0</v>
      </c>
      <c r="L3">
        <v>0</v>
      </c>
      <c r="M3">
        <v>0</v>
      </c>
      <c r="N3" s="84">
        <f t="shared" si="6"/>
        <v>0</v>
      </c>
      <c r="O3" s="84">
        <f t="shared" si="7"/>
        <v>53378.075736112449</v>
      </c>
      <c r="P3" s="133">
        <v>0</v>
      </c>
      <c r="Q3" s="84">
        <f t="shared" si="8"/>
        <v>0</v>
      </c>
      <c r="R3" s="84">
        <f t="shared" si="9"/>
        <v>73678.539013467322</v>
      </c>
      <c r="S3" s="133">
        <v>0</v>
      </c>
      <c r="T3" s="84">
        <f t="shared" si="10"/>
        <v>0</v>
      </c>
      <c r="U3" s="84">
        <f t="shared" si="11"/>
        <v>8711.8112364374592</v>
      </c>
      <c r="V3" s="133">
        <v>0</v>
      </c>
    </row>
    <row r="4" spans="2:22">
      <c r="B4" s="118">
        <v>-18</v>
      </c>
      <c r="C4" s="84">
        <f t="shared" si="0"/>
        <v>244.79999999999984</v>
      </c>
      <c r="D4" s="84">
        <f t="shared" si="1"/>
        <v>7.1999999999999886</v>
      </c>
      <c r="E4" s="127">
        <v>1</v>
      </c>
      <c r="F4" s="131">
        <f t="shared" si="2"/>
        <v>244.79999999999984</v>
      </c>
      <c r="G4" s="134">
        <f>'Dane dla CWU'!$H$43/365</f>
        <v>10.319026666666666</v>
      </c>
      <c r="H4" s="84">
        <f t="shared" si="3"/>
        <v>20181.599999999999</v>
      </c>
      <c r="I4" s="84">
        <f t="shared" si="4"/>
        <v>10.319026666666666</v>
      </c>
      <c r="J4" s="84">
        <f t="shared" si="5"/>
        <v>3776.7637599999998</v>
      </c>
      <c r="K4">
        <v>0</v>
      </c>
      <c r="L4">
        <v>0</v>
      </c>
      <c r="M4">
        <v>0</v>
      </c>
      <c r="N4" s="84">
        <f t="shared" si="6"/>
        <v>0</v>
      </c>
      <c r="O4" s="84">
        <f t="shared" si="7"/>
        <v>53378.075736112449</v>
      </c>
      <c r="P4" s="133">
        <v>0</v>
      </c>
      <c r="Q4" s="84">
        <f t="shared" si="8"/>
        <v>0</v>
      </c>
      <c r="R4" s="84">
        <f t="shared" si="9"/>
        <v>73678.539013467322</v>
      </c>
      <c r="S4" s="133">
        <v>0</v>
      </c>
      <c r="T4" s="84">
        <f t="shared" si="10"/>
        <v>0</v>
      </c>
      <c r="U4" s="84">
        <f t="shared" si="11"/>
        <v>8711.8112364374592</v>
      </c>
      <c r="V4" s="133">
        <v>0</v>
      </c>
    </row>
    <row r="5" spans="2:22">
      <c r="B5" s="118">
        <v>-17</v>
      </c>
      <c r="C5" s="84">
        <f t="shared" si="0"/>
        <v>237.59999999999985</v>
      </c>
      <c r="D5" s="84">
        <f t="shared" si="1"/>
        <v>7.1999999999999886</v>
      </c>
      <c r="E5" s="127">
        <v>0</v>
      </c>
      <c r="F5" s="131">
        <f t="shared" si="2"/>
        <v>0</v>
      </c>
      <c r="G5" s="134">
        <f>'Dane dla CWU'!$H$43/365</f>
        <v>10.319026666666666</v>
      </c>
      <c r="H5" s="84">
        <f t="shared" si="3"/>
        <v>19936.8</v>
      </c>
      <c r="I5" s="84">
        <f t="shared" si="4"/>
        <v>0</v>
      </c>
      <c r="J5" s="84">
        <f t="shared" si="5"/>
        <v>3766.4447333333333</v>
      </c>
      <c r="K5">
        <v>0</v>
      </c>
      <c r="L5">
        <v>0</v>
      </c>
      <c r="M5">
        <v>0</v>
      </c>
      <c r="N5" s="84">
        <f t="shared" si="6"/>
        <v>0</v>
      </c>
      <c r="O5" s="84">
        <f t="shared" si="7"/>
        <v>53378.075736112449</v>
      </c>
      <c r="P5" s="133">
        <v>0</v>
      </c>
      <c r="Q5" s="84">
        <f t="shared" si="8"/>
        <v>0</v>
      </c>
      <c r="R5" s="84">
        <f t="shared" si="9"/>
        <v>73678.539013467322</v>
      </c>
      <c r="S5" s="133">
        <v>0</v>
      </c>
      <c r="T5" s="84">
        <f t="shared" si="10"/>
        <v>0</v>
      </c>
      <c r="U5" s="84">
        <f t="shared" si="11"/>
        <v>8711.8112364374592</v>
      </c>
      <c r="V5" s="133">
        <v>0</v>
      </c>
    </row>
    <row r="6" spans="2:22">
      <c r="B6" s="118">
        <v>-16</v>
      </c>
      <c r="C6" s="84">
        <f t="shared" si="0"/>
        <v>230.39999999999986</v>
      </c>
      <c r="D6" s="84">
        <f t="shared" si="1"/>
        <v>7.1999999999999886</v>
      </c>
      <c r="E6" s="127">
        <v>1</v>
      </c>
      <c r="F6" s="131">
        <f t="shared" si="2"/>
        <v>230.39999999999986</v>
      </c>
      <c r="G6" s="134">
        <f>'Dane dla CWU'!$H$43/365</f>
        <v>10.319026666666666</v>
      </c>
      <c r="H6" s="84">
        <f t="shared" si="3"/>
        <v>19936.8</v>
      </c>
      <c r="I6" s="84">
        <f t="shared" si="4"/>
        <v>10.319026666666666</v>
      </c>
      <c r="J6" s="84">
        <f t="shared" si="5"/>
        <v>3766.4447333333333</v>
      </c>
      <c r="K6">
        <v>0</v>
      </c>
      <c r="L6">
        <v>0</v>
      </c>
      <c r="M6">
        <v>0</v>
      </c>
      <c r="N6" s="84">
        <f t="shared" si="6"/>
        <v>0</v>
      </c>
      <c r="O6" s="84">
        <f t="shared" si="7"/>
        <v>53378.075736112449</v>
      </c>
      <c r="P6" s="133">
        <v>0</v>
      </c>
      <c r="Q6" s="84">
        <f t="shared" si="8"/>
        <v>0</v>
      </c>
      <c r="R6" s="84">
        <f t="shared" si="9"/>
        <v>73678.539013467322</v>
      </c>
      <c r="S6" s="133">
        <v>0</v>
      </c>
      <c r="T6" s="84">
        <f t="shared" si="10"/>
        <v>0</v>
      </c>
      <c r="U6" s="84">
        <f t="shared" si="11"/>
        <v>8711.8112364374592</v>
      </c>
      <c r="V6" s="133">
        <v>0</v>
      </c>
    </row>
    <row r="7" spans="2:22">
      <c r="B7" s="118">
        <v>-15</v>
      </c>
      <c r="C7" s="84">
        <f t="shared" si="0"/>
        <v>223.19999999999987</v>
      </c>
      <c r="D7" s="84">
        <f t="shared" si="1"/>
        <v>7.1999999999999886</v>
      </c>
      <c r="E7" s="127">
        <v>0</v>
      </c>
      <c r="F7" s="131">
        <f t="shared" si="2"/>
        <v>0</v>
      </c>
      <c r="G7" s="134">
        <f>'Dane dla CWU'!$H$43/365</f>
        <v>10.319026666666666</v>
      </c>
      <c r="H7" s="84">
        <f t="shared" si="3"/>
        <v>19706.399999999998</v>
      </c>
      <c r="I7" s="84">
        <f t="shared" si="4"/>
        <v>0</v>
      </c>
      <c r="J7" s="84">
        <f t="shared" si="5"/>
        <v>3756.1257066666667</v>
      </c>
      <c r="K7" s="84">
        <f>'SCOP 221.A26 ver 2'!DX10</f>
        <v>1.25</v>
      </c>
      <c r="L7" s="84">
        <f>'SCOP 221.A26 ver 2'!EA10</f>
        <v>2.0553359683794468</v>
      </c>
      <c r="M7" s="84">
        <f>'SCOP 221.A26 ver 2'!EO10</f>
        <v>1.1666666666666667</v>
      </c>
      <c r="N7" s="84">
        <f t="shared" si="6"/>
        <v>0</v>
      </c>
      <c r="O7" s="84">
        <f t="shared" si="7"/>
        <v>53378.075736112449</v>
      </c>
      <c r="P7" s="133">
        <f t="shared" ref="P7:P36" si="12">O7/H7</f>
        <v>2.7086670186392467</v>
      </c>
      <c r="Q7" s="84">
        <f t="shared" si="8"/>
        <v>0</v>
      </c>
      <c r="R7" s="84">
        <f t="shared" si="9"/>
        <v>73678.539013467322</v>
      </c>
      <c r="S7" s="133">
        <f t="shared" ref="S7:S36" si="13">R7/H7</f>
        <v>3.7388127214238689</v>
      </c>
      <c r="T7" s="84">
        <f t="shared" si="10"/>
        <v>0</v>
      </c>
      <c r="U7" s="84">
        <f t="shared" si="11"/>
        <v>8711.8112364374592</v>
      </c>
      <c r="V7" s="133">
        <f>U7/J7</f>
        <v>2.3193609364497711</v>
      </c>
    </row>
    <row r="8" spans="2:22">
      <c r="B8" s="118">
        <v>-14</v>
      </c>
      <c r="C8" s="84">
        <f t="shared" si="0"/>
        <v>215.99999999999989</v>
      </c>
      <c r="D8" s="84">
        <f t="shared" si="1"/>
        <v>7.1999999999999886</v>
      </c>
      <c r="E8" s="127">
        <v>3</v>
      </c>
      <c r="F8" s="131">
        <f t="shared" si="2"/>
        <v>647.99999999999966</v>
      </c>
      <c r="G8" s="134">
        <f>'Dane dla CWU'!$H$43/365</f>
        <v>10.319026666666666</v>
      </c>
      <c r="H8" s="84">
        <f t="shared" si="3"/>
        <v>19706.399999999998</v>
      </c>
      <c r="I8" s="84">
        <f t="shared" si="4"/>
        <v>30.957079999999998</v>
      </c>
      <c r="J8" s="84">
        <f t="shared" si="5"/>
        <v>3756.1257066666667</v>
      </c>
      <c r="K8" s="84">
        <f>'SCOP 221.A26 ver 2'!DX11</f>
        <v>1.3360995850622406</v>
      </c>
      <c r="L8" s="84">
        <f>'SCOP 221.A26 ver 2'!EA11</f>
        <v>2.1185770750988144</v>
      </c>
      <c r="M8" s="84">
        <f>'SCOP 221.A26 ver 2'!EO11</f>
        <v>1.2136929460580912</v>
      </c>
      <c r="N8" s="84">
        <f t="shared" si="6"/>
        <v>865.79253112033143</v>
      </c>
      <c r="O8" s="84">
        <f t="shared" si="7"/>
        <v>53378.075736112449</v>
      </c>
      <c r="P8" s="133">
        <f t="shared" si="12"/>
        <v>2.7086670186392467</v>
      </c>
      <c r="Q8" s="84">
        <f t="shared" si="8"/>
        <v>1372.8379446640311</v>
      </c>
      <c r="R8" s="84">
        <f t="shared" si="9"/>
        <v>73678.539013467322</v>
      </c>
      <c r="S8" s="133">
        <f t="shared" si="13"/>
        <v>3.7388127214238689</v>
      </c>
      <c r="T8" s="84">
        <f t="shared" si="10"/>
        <v>37.57238962655601</v>
      </c>
      <c r="U8" s="84">
        <f t="shared" si="11"/>
        <v>8711.8112364374592</v>
      </c>
      <c r="V8" s="133">
        <f t="shared" ref="V8:V50" si="14">U8/J8</f>
        <v>2.3193609364497711</v>
      </c>
    </row>
    <row r="9" spans="2:22">
      <c r="B9" s="118">
        <v>-13</v>
      </c>
      <c r="C9" s="84">
        <f t="shared" si="0"/>
        <v>208.7999999999999</v>
      </c>
      <c r="D9" s="84">
        <f t="shared" si="1"/>
        <v>7.1999999999999886</v>
      </c>
      <c r="E9" s="127">
        <v>1</v>
      </c>
      <c r="F9" s="131">
        <f t="shared" si="2"/>
        <v>208.7999999999999</v>
      </c>
      <c r="G9" s="134">
        <f>'Dane dla CWU'!$H$43/365</f>
        <v>10.319026666666666</v>
      </c>
      <c r="H9" s="84">
        <f t="shared" si="3"/>
        <v>19058.399999999998</v>
      </c>
      <c r="I9" s="84">
        <f t="shared" si="4"/>
        <v>10.319026666666666</v>
      </c>
      <c r="J9" s="84">
        <f t="shared" si="5"/>
        <v>3725.1686266666666</v>
      </c>
      <c r="K9" s="84">
        <f>'SCOP 221.A26 ver 2'!DX12</f>
        <v>1.4214876033057851</v>
      </c>
      <c r="L9" s="84">
        <f>'SCOP 221.A26 ver 2'!EA12</f>
        <v>2.1818181818181821</v>
      </c>
      <c r="M9" s="84">
        <f>'SCOP 221.A26 ver 2'!EO12</f>
        <v>1.2603305785123966</v>
      </c>
      <c r="N9" s="84">
        <f t="shared" si="6"/>
        <v>296.80661157024775</v>
      </c>
      <c r="O9" s="84">
        <f t="shared" si="7"/>
        <v>52512.28320499212</v>
      </c>
      <c r="P9" s="133">
        <f t="shared" si="12"/>
        <v>2.7553353484548611</v>
      </c>
      <c r="Q9" s="84">
        <f t="shared" si="8"/>
        <v>455.56363636363619</v>
      </c>
      <c r="R9" s="84">
        <f t="shared" si="9"/>
        <v>72305.70106880329</v>
      </c>
      <c r="S9" s="133">
        <f t="shared" si="13"/>
        <v>3.7939019576041693</v>
      </c>
      <c r="T9" s="84">
        <f t="shared" si="10"/>
        <v>13.005384848484846</v>
      </c>
      <c r="U9" s="84">
        <f t="shared" si="11"/>
        <v>8674.2388468109039</v>
      </c>
      <c r="V9" s="133">
        <f t="shared" si="14"/>
        <v>2.328549313101226</v>
      </c>
    </row>
    <row r="10" spans="2:22">
      <c r="B10" s="118">
        <v>-12</v>
      </c>
      <c r="C10" s="84">
        <f t="shared" si="0"/>
        <v>201.59999999999991</v>
      </c>
      <c r="D10" s="84">
        <f t="shared" si="1"/>
        <v>7.1999999999999886</v>
      </c>
      <c r="E10" s="127">
        <v>3</v>
      </c>
      <c r="F10" s="131">
        <f t="shared" si="2"/>
        <v>604.79999999999973</v>
      </c>
      <c r="G10" s="134">
        <f>'Dane dla CWU'!$H$43/365</f>
        <v>10.319026666666666</v>
      </c>
      <c r="H10" s="84">
        <f t="shared" si="3"/>
        <v>18849.599999999999</v>
      </c>
      <c r="I10" s="84">
        <f t="shared" si="4"/>
        <v>30.957079999999998</v>
      </c>
      <c r="J10" s="84">
        <f t="shared" si="5"/>
        <v>3714.8496</v>
      </c>
      <c r="K10" s="84">
        <f>'SCOP 221.A26 ver 2'!DX13</f>
        <v>1.5061728395061726</v>
      </c>
      <c r="L10" s="84">
        <f>'SCOP 221.A26 ver 2'!EA13</f>
        <v>2.2450592885375493</v>
      </c>
      <c r="M10" s="84">
        <f>'SCOP 221.A26 ver 2'!EO13</f>
        <v>1.3065843621399178</v>
      </c>
      <c r="N10" s="84">
        <f t="shared" si="6"/>
        <v>910.93333333333283</v>
      </c>
      <c r="O10" s="84">
        <f t="shared" si="7"/>
        <v>52215.476593421874</v>
      </c>
      <c r="P10" s="133">
        <f t="shared" si="12"/>
        <v>2.7701105908571999</v>
      </c>
      <c r="Q10" s="84">
        <f t="shared" si="8"/>
        <v>1357.8118577075093</v>
      </c>
      <c r="R10" s="84">
        <f t="shared" si="9"/>
        <v>71850.13743243966</v>
      </c>
      <c r="S10" s="133">
        <f t="shared" si="13"/>
        <v>3.8117592645170011</v>
      </c>
      <c r="T10" s="84">
        <f t="shared" si="10"/>
        <v>40.448036625514405</v>
      </c>
      <c r="U10" s="84">
        <f t="shared" si="11"/>
        <v>8661.2334619624198</v>
      </c>
      <c r="V10" s="133">
        <f t="shared" si="14"/>
        <v>2.3315165873639727</v>
      </c>
    </row>
    <row r="11" spans="2:22">
      <c r="B11" s="118">
        <v>-11</v>
      </c>
      <c r="C11" s="84">
        <f t="shared" si="0"/>
        <v>194.39999999999992</v>
      </c>
      <c r="D11" s="84">
        <f t="shared" si="1"/>
        <v>7.1999999999999886</v>
      </c>
      <c r="E11" s="127">
        <v>4</v>
      </c>
      <c r="F11" s="131">
        <f t="shared" si="2"/>
        <v>777.59999999999968</v>
      </c>
      <c r="G11" s="134">
        <f>'Dane dla CWU'!$H$43/365</f>
        <v>10.319026666666666</v>
      </c>
      <c r="H11" s="84">
        <f t="shared" si="3"/>
        <v>18244.8</v>
      </c>
      <c r="I11" s="84">
        <f t="shared" si="4"/>
        <v>41.276106666666664</v>
      </c>
      <c r="J11" s="84">
        <f t="shared" si="5"/>
        <v>3683.8925199999999</v>
      </c>
      <c r="K11" s="84">
        <f>'SCOP 221.A26 ver 2'!DX14</f>
        <v>1.5901639344262295</v>
      </c>
      <c r="L11" s="84">
        <f>'SCOP 221.A26 ver 2'!EA14</f>
        <v>2.308300395256917</v>
      </c>
      <c r="M11" s="84">
        <f>'SCOP 221.A26 ver 2'!EO14</f>
        <v>1.3524590163934429</v>
      </c>
      <c r="N11" s="84">
        <f t="shared" si="6"/>
        <v>1236.5114754098356</v>
      </c>
      <c r="O11" s="84">
        <f t="shared" si="7"/>
        <v>51304.54326008854</v>
      </c>
      <c r="P11" s="133">
        <f t="shared" si="12"/>
        <v>2.8120090798522615</v>
      </c>
      <c r="Q11" s="84">
        <f t="shared" si="8"/>
        <v>1794.934387351778</v>
      </c>
      <c r="R11" s="84">
        <f t="shared" si="9"/>
        <v>70492.325574732153</v>
      </c>
      <c r="S11" s="133">
        <f t="shared" si="13"/>
        <v>3.863694070350574</v>
      </c>
      <c r="T11" s="84">
        <f t="shared" si="10"/>
        <v>55.824242622950827</v>
      </c>
      <c r="U11" s="84">
        <f t="shared" si="11"/>
        <v>8620.785425336906</v>
      </c>
      <c r="V11" s="133">
        <f t="shared" si="14"/>
        <v>2.3401294632061922</v>
      </c>
    </row>
    <row r="12" spans="2:22">
      <c r="B12" s="118">
        <v>-10</v>
      </c>
      <c r="C12" s="84">
        <f t="shared" si="0"/>
        <v>187.19999999999993</v>
      </c>
      <c r="D12" s="84">
        <f t="shared" si="1"/>
        <v>7.1999999999999886</v>
      </c>
      <c r="E12" s="127">
        <v>5</v>
      </c>
      <c r="F12" s="131">
        <f t="shared" si="2"/>
        <v>935.99999999999966</v>
      </c>
      <c r="G12" s="134">
        <f>'Dane dla CWU'!$H$43/365</f>
        <v>10.319026666666666</v>
      </c>
      <c r="H12" s="84">
        <f t="shared" si="3"/>
        <v>17467.2</v>
      </c>
      <c r="I12" s="84">
        <f t="shared" si="4"/>
        <v>51.59513333333333</v>
      </c>
      <c r="J12" s="84">
        <f t="shared" si="5"/>
        <v>3642.6164133333332</v>
      </c>
      <c r="K12" s="84">
        <f>'SCOP 221.A26 ver 2'!DX15</f>
        <v>1.6734693877551017</v>
      </c>
      <c r="L12" s="84">
        <f>'SCOP 221.A26 ver 2'!EA15</f>
        <v>2.3715415019762847</v>
      </c>
      <c r="M12" s="84">
        <f>'SCOP 221.A26 ver 2'!EO15</f>
        <v>1.3979591836734697</v>
      </c>
      <c r="N12" s="84">
        <f t="shared" si="6"/>
        <v>1566.3673469387745</v>
      </c>
      <c r="O12" s="84">
        <f t="shared" si="7"/>
        <v>50068.031784678707</v>
      </c>
      <c r="P12" s="133">
        <f t="shared" si="12"/>
        <v>2.8664028456008235</v>
      </c>
      <c r="Q12" s="84">
        <f t="shared" si="8"/>
        <v>2219.7628458498016</v>
      </c>
      <c r="R12" s="84">
        <f t="shared" si="9"/>
        <v>68697.391187380374</v>
      </c>
      <c r="S12" s="133">
        <f t="shared" si="13"/>
        <v>3.9329366577001679</v>
      </c>
      <c r="T12" s="84">
        <f t="shared" si="10"/>
        <v>72.127890476190487</v>
      </c>
      <c r="U12" s="84">
        <f t="shared" si="11"/>
        <v>8564.9611827139543</v>
      </c>
      <c r="V12" s="133">
        <f t="shared" si="14"/>
        <v>2.3513211963145517</v>
      </c>
    </row>
    <row r="13" spans="2:22">
      <c r="B13" s="118">
        <v>-9</v>
      </c>
      <c r="C13" s="84">
        <f t="shared" si="0"/>
        <v>179.99999999999994</v>
      </c>
      <c r="D13" s="84">
        <f t="shared" si="1"/>
        <v>7.1999999999999886</v>
      </c>
      <c r="E13" s="127">
        <v>1</v>
      </c>
      <c r="F13" s="131">
        <f t="shared" si="2"/>
        <v>179.99999999999994</v>
      </c>
      <c r="G13" s="134">
        <f>'Dane dla CWU'!$H$43/365</f>
        <v>10.319026666666666</v>
      </c>
      <c r="H13" s="84">
        <f t="shared" si="3"/>
        <v>16531.2</v>
      </c>
      <c r="I13" s="84">
        <f t="shared" si="4"/>
        <v>10.319026666666666</v>
      </c>
      <c r="J13" s="84">
        <f t="shared" si="5"/>
        <v>3591.0212799999999</v>
      </c>
      <c r="K13" s="84">
        <f>'SCOP 221.A26 ver 2'!DX16</f>
        <v>1.7886178861788615</v>
      </c>
      <c r="L13" s="84">
        <f>'SCOP 221.A26 ver 2'!EA16</f>
        <v>2.4242424242424248</v>
      </c>
      <c r="M13" s="84">
        <f>'SCOP 221.A26 ver 2'!EO16</f>
        <v>1.4430894308943094</v>
      </c>
      <c r="N13" s="84">
        <f t="shared" si="6"/>
        <v>321.951219512195</v>
      </c>
      <c r="O13" s="84">
        <f t="shared" si="7"/>
        <v>48501.664437739935</v>
      </c>
      <c r="P13" s="133">
        <f t="shared" si="12"/>
        <v>2.9339469873778028</v>
      </c>
      <c r="Q13" s="84">
        <f t="shared" si="8"/>
        <v>436.36363636363632</v>
      </c>
      <c r="R13" s="84">
        <f t="shared" si="9"/>
        <v>66477.628341530566</v>
      </c>
      <c r="S13" s="133">
        <f t="shared" si="13"/>
        <v>4.0213431778413282</v>
      </c>
      <c r="T13" s="84">
        <f t="shared" si="10"/>
        <v>14.891278319783202</v>
      </c>
      <c r="U13" s="84">
        <f t="shared" si="11"/>
        <v>8492.8332922377631</v>
      </c>
      <c r="V13" s="133">
        <f t="shared" si="14"/>
        <v>2.3650189263812336</v>
      </c>
    </row>
    <row r="14" spans="2:22">
      <c r="B14" s="118">
        <v>-8</v>
      </c>
      <c r="C14" s="84">
        <f t="shared" si="0"/>
        <v>172.79999999999995</v>
      </c>
      <c r="D14" s="84">
        <f t="shared" si="1"/>
        <v>7.1999999999999886</v>
      </c>
      <c r="E14" s="127">
        <v>0</v>
      </c>
      <c r="F14" s="131">
        <f t="shared" si="2"/>
        <v>0</v>
      </c>
      <c r="G14" s="134">
        <f>'Dane dla CWU'!$H$43/365</f>
        <v>10.319026666666666</v>
      </c>
      <c r="H14" s="84">
        <f t="shared" si="3"/>
        <v>16351.200000000003</v>
      </c>
      <c r="I14" s="84">
        <f t="shared" si="4"/>
        <v>0</v>
      </c>
      <c r="J14" s="84">
        <f>I14+J15</f>
        <v>3580.7022533333334</v>
      </c>
      <c r="K14" s="84">
        <f>'SCOP 221.A26 ver 2'!DX17</f>
        <v>1.902834008097166</v>
      </c>
      <c r="L14" s="84">
        <f>'SCOP 221.A26 ver 2'!EA17</f>
        <v>2.476943346508564</v>
      </c>
      <c r="M14" s="84">
        <f>'SCOP 221.A26 ver 2'!EO17</f>
        <v>1.4878542510121464</v>
      </c>
      <c r="N14" s="84">
        <f t="shared" si="6"/>
        <v>0</v>
      </c>
      <c r="O14" s="84">
        <f t="shared" si="7"/>
        <v>48179.713218227742</v>
      </c>
      <c r="P14" s="133">
        <f t="shared" si="12"/>
        <v>2.9465551897247746</v>
      </c>
      <c r="Q14" s="84">
        <f t="shared" si="8"/>
        <v>0</v>
      </c>
      <c r="R14" s="84">
        <f t="shared" si="9"/>
        <v>66041.264705166934</v>
      </c>
      <c r="S14" s="133">
        <f t="shared" si="13"/>
        <v>4.0389246480482734</v>
      </c>
      <c r="T14" s="84">
        <f t="shared" si="10"/>
        <v>0</v>
      </c>
      <c r="U14" s="84">
        <f t="shared" si="11"/>
        <v>8477.9420139179801</v>
      </c>
      <c r="V14" s="133">
        <f t="shared" si="14"/>
        <v>2.3676757837169307</v>
      </c>
    </row>
    <row r="15" spans="2:22">
      <c r="B15" s="118">
        <v>-7</v>
      </c>
      <c r="C15" s="84">
        <f t="shared" si="0"/>
        <v>165.59999999999997</v>
      </c>
      <c r="D15" s="84">
        <f t="shared" si="1"/>
        <v>7.1999999999999886</v>
      </c>
      <c r="E15" s="127">
        <v>1</v>
      </c>
      <c r="F15" s="131">
        <f t="shared" si="2"/>
        <v>165.59999999999997</v>
      </c>
      <c r="G15" s="134">
        <f>'Dane dla CWU'!$H$43/365</f>
        <v>10.319026666666666</v>
      </c>
      <c r="H15" s="84">
        <f t="shared" si="3"/>
        <v>16351.200000000003</v>
      </c>
      <c r="I15" s="84">
        <f t="shared" si="4"/>
        <v>10.319026666666666</v>
      </c>
      <c r="J15" s="84">
        <f t="shared" si="5"/>
        <v>3580.7022533333334</v>
      </c>
      <c r="K15" s="84">
        <f>'SCOP 221.A26 ver 2'!DX18</f>
        <v>2.0161290322580645</v>
      </c>
      <c r="L15" s="84">
        <f>'SCOP 221.A26 ver 2'!EA18</f>
        <v>2.5296442687747041</v>
      </c>
      <c r="M15" s="84">
        <f>'SCOP 221.A26 ver 2'!EO18</f>
        <v>1.532258064516129</v>
      </c>
      <c r="N15" s="84">
        <f t="shared" si="6"/>
        <v>333.87096774193543</v>
      </c>
      <c r="O15" s="84">
        <f t="shared" si="7"/>
        <v>48179.713218227742</v>
      </c>
      <c r="P15" s="133">
        <f t="shared" si="12"/>
        <v>2.9465551897247746</v>
      </c>
      <c r="Q15" s="84">
        <f t="shared" si="8"/>
        <v>418.90909090909088</v>
      </c>
      <c r="R15" s="84">
        <f t="shared" si="9"/>
        <v>66041.264705166934</v>
      </c>
      <c r="S15" s="133">
        <f t="shared" si="13"/>
        <v>4.0389246480482734</v>
      </c>
      <c r="T15" s="84">
        <f t="shared" si="10"/>
        <v>15.811411827956988</v>
      </c>
      <c r="U15" s="84">
        <f t="shared" si="11"/>
        <v>8477.9420139179801</v>
      </c>
      <c r="V15" s="133">
        <f t="shared" si="14"/>
        <v>2.3676757837169307</v>
      </c>
    </row>
    <row r="16" spans="2:22">
      <c r="B16" s="118">
        <v>-6</v>
      </c>
      <c r="C16" s="84">
        <f t="shared" si="0"/>
        <v>158.39999999999998</v>
      </c>
      <c r="D16" s="84">
        <f t="shared" si="1"/>
        <v>7.1999999999999886</v>
      </c>
      <c r="E16" s="127">
        <v>2</v>
      </c>
      <c r="F16" s="131">
        <f t="shared" si="2"/>
        <v>316.79999999999995</v>
      </c>
      <c r="G16" s="134">
        <f>'Dane dla CWU'!$H$43/365</f>
        <v>10.319026666666666</v>
      </c>
      <c r="H16" s="84">
        <f t="shared" si="3"/>
        <v>16185.600000000002</v>
      </c>
      <c r="I16" s="84">
        <f t="shared" si="4"/>
        <v>20.638053333333332</v>
      </c>
      <c r="J16" s="84">
        <f t="shared" si="5"/>
        <v>3570.3832266666668</v>
      </c>
      <c r="K16" s="84">
        <f>'SCOP 221.A26 ver 2'!DX19</f>
        <v>2.0562868815251929</v>
      </c>
      <c r="L16" s="84">
        <f>'SCOP 221.A26 ver 2'!EA19</f>
        <v>2.6207839562443027</v>
      </c>
      <c r="M16" s="84">
        <f>'SCOP 221.A26 ver 2'!EO19</f>
        <v>1.5791814946619216</v>
      </c>
      <c r="N16" s="84">
        <f t="shared" si="6"/>
        <v>651.43168406718098</v>
      </c>
      <c r="O16" s="84">
        <f t="shared" si="7"/>
        <v>47845.84225048581</v>
      </c>
      <c r="P16" s="133">
        <f t="shared" si="12"/>
        <v>2.9560746744319522</v>
      </c>
      <c r="Q16" s="84">
        <f t="shared" si="8"/>
        <v>830.26435733819494</v>
      </c>
      <c r="R16" s="84">
        <f t="shared" si="9"/>
        <v>65622.355614257845</v>
      </c>
      <c r="S16" s="133">
        <f t="shared" si="13"/>
        <v>4.0543665736369263</v>
      </c>
      <c r="T16" s="84">
        <f t="shared" si="10"/>
        <v>32.591231909845781</v>
      </c>
      <c r="U16" s="84">
        <f t="shared" si="11"/>
        <v>8462.1306020900229</v>
      </c>
      <c r="V16" s="133">
        <f t="shared" si="14"/>
        <v>2.3700902857955457</v>
      </c>
    </row>
    <row r="17" spans="2:22">
      <c r="B17" s="118">
        <v>-5</v>
      </c>
      <c r="C17" s="84">
        <f t="shared" si="0"/>
        <v>151.19999999999999</v>
      </c>
      <c r="D17" s="84">
        <f t="shared" si="1"/>
        <v>7.1999999999999886</v>
      </c>
      <c r="E17" s="127">
        <v>3</v>
      </c>
      <c r="F17" s="131">
        <f t="shared" si="2"/>
        <v>453.59999999999997</v>
      </c>
      <c r="G17" s="134">
        <f>'Dane dla CWU'!$H$43/365</f>
        <v>10.319026666666666</v>
      </c>
      <c r="H17" s="84">
        <f t="shared" si="3"/>
        <v>15868.800000000003</v>
      </c>
      <c r="I17" s="84">
        <f t="shared" si="4"/>
        <v>30.957079999999998</v>
      </c>
      <c r="J17" s="84">
        <f t="shared" si="5"/>
        <v>3549.7451733333337</v>
      </c>
      <c r="K17" s="84">
        <f>'SCOP 221.A26 ver 2'!DX20</f>
        <v>2.0975160993560253</v>
      </c>
      <c r="L17" s="84">
        <f>'SCOP 221.A26 ver 2'!EA20</f>
        <v>2.7190904784462342</v>
      </c>
      <c r="M17" s="84">
        <f>'SCOP 221.A26 ver 2'!EO20</f>
        <v>1.625441696113074</v>
      </c>
      <c r="N17" s="84">
        <f t="shared" si="6"/>
        <v>951.43330266789303</v>
      </c>
      <c r="O17" s="84">
        <f t="shared" si="7"/>
        <v>47194.410566418628</v>
      </c>
      <c r="P17" s="133">
        <f t="shared" si="12"/>
        <v>2.9740377701161158</v>
      </c>
      <c r="Q17" s="84">
        <f t="shared" si="8"/>
        <v>1233.3794410232117</v>
      </c>
      <c r="R17" s="84">
        <f t="shared" si="9"/>
        <v>64792.091256919644</v>
      </c>
      <c r="S17" s="133">
        <f t="shared" si="13"/>
        <v>4.0829861903180857</v>
      </c>
      <c r="T17" s="84">
        <f t="shared" si="10"/>
        <v>50.318928621908114</v>
      </c>
      <c r="U17" s="84">
        <f t="shared" si="11"/>
        <v>8429.5393701801768</v>
      </c>
      <c r="V17" s="133">
        <f t="shared" si="14"/>
        <v>2.3746885927207408</v>
      </c>
    </row>
    <row r="18" spans="2:22">
      <c r="B18" s="118">
        <v>-4</v>
      </c>
      <c r="C18" s="84">
        <f t="shared" si="0"/>
        <v>144</v>
      </c>
      <c r="D18" s="84">
        <f t="shared" si="1"/>
        <v>7.1999999999999886</v>
      </c>
      <c r="E18" s="127">
        <v>3</v>
      </c>
      <c r="F18" s="131">
        <f t="shared" si="2"/>
        <v>432</v>
      </c>
      <c r="G18" s="134">
        <f>'Dane dla CWU'!$H$43/365</f>
        <v>10.319026666666666</v>
      </c>
      <c r="H18" s="84">
        <f t="shared" si="3"/>
        <v>15415.200000000003</v>
      </c>
      <c r="I18" s="84">
        <f t="shared" si="4"/>
        <v>30.957079999999998</v>
      </c>
      <c r="J18" s="84">
        <f t="shared" si="5"/>
        <v>3518.7880933333336</v>
      </c>
      <c r="K18" s="84">
        <f>'SCOP 221.A26 ver 2'!DX21</f>
        <v>2.1398601398601396</v>
      </c>
      <c r="L18" s="84">
        <f>'SCOP 221.A26 ver 2'!EA21</f>
        <v>2.8254437869822491</v>
      </c>
      <c r="M18" s="84">
        <f>'SCOP 221.A26 ver 2'!EO21</f>
        <v>1.6710526315789471</v>
      </c>
      <c r="N18" s="84">
        <f t="shared" si="6"/>
        <v>924.41958041958026</v>
      </c>
      <c r="O18" s="84">
        <f t="shared" si="7"/>
        <v>46242.977263750734</v>
      </c>
      <c r="P18" s="133">
        <f t="shared" si="12"/>
        <v>2.9998298603813591</v>
      </c>
      <c r="Q18" s="84">
        <f t="shared" si="8"/>
        <v>1220.5917159763317</v>
      </c>
      <c r="R18" s="84">
        <f t="shared" si="9"/>
        <v>63558.711815896429</v>
      </c>
      <c r="S18" s="133">
        <f t="shared" si="13"/>
        <v>4.1231195064544357</v>
      </c>
      <c r="T18" s="84">
        <f t="shared" si="10"/>
        <v>51.730909999999987</v>
      </c>
      <c r="U18" s="84">
        <f t="shared" si="11"/>
        <v>8379.2204415582692</v>
      </c>
      <c r="V18" s="133">
        <f t="shared" si="14"/>
        <v>2.3812802076469084</v>
      </c>
    </row>
    <row r="19" spans="2:22">
      <c r="B19" s="118">
        <v>-3</v>
      </c>
      <c r="C19" s="84">
        <f t="shared" si="0"/>
        <v>136.80000000000001</v>
      </c>
      <c r="D19" s="84">
        <f t="shared" si="1"/>
        <v>7.1999999999999886</v>
      </c>
      <c r="E19" s="127">
        <v>4</v>
      </c>
      <c r="F19" s="131">
        <f t="shared" si="2"/>
        <v>547.20000000000005</v>
      </c>
      <c r="G19" s="134">
        <f>'Dane dla CWU'!$H$43/365</f>
        <v>10.319026666666666</v>
      </c>
      <c r="H19" s="84">
        <f t="shared" si="3"/>
        <v>14983.200000000003</v>
      </c>
      <c r="I19" s="84">
        <f t="shared" si="4"/>
        <v>41.276106666666664</v>
      </c>
      <c r="J19" s="84">
        <f t="shared" si="5"/>
        <v>3487.8310133333334</v>
      </c>
      <c r="K19" s="84">
        <f>'SCOP 221.A26 ver 2'!DX22</f>
        <v>2.1833648393194705</v>
      </c>
      <c r="L19" s="84">
        <f>'SCOP 221.A26 ver 2'!EA22</f>
        <v>2.9408740359897174</v>
      </c>
      <c r="M19" s="84">
        <f>'SCOP 221.A26 ver 2'!EO22</f>
        <v>1.7160278745644597</v>
      </c>
      <c r="N19" s="84">
        <f t="shared" si="6"/>
        <v>1194.7372400756144</v>
      </c>
      <c r="O19" s="84">
        <f t="shared" si="7"/>
        <v>45318.557683331157</v>
      </c>
      <c r="P19" s="133">
        <f t="shared" si="12"/>
        <v>3.0246247586183959</v>
      </c>
      <c r="Q19" s="84">
        <f t="shared" si="8"/>
        <v>1609.2462724935735</v>
      </c>
      <c r="R19" s="84">
        <f t="shared" si="9"/>
        <v>62338.120099920096</v>
      </c>
      <c r="S19" s="133">
        <f t="shared" si="13"/>
        <v>4.1605344719365744</v>
      </c>
      <c r="T19" s="84">
        <f t="shared" si="10"/>
        <v>70.830949593495916</v>
      </c>
      <c r="U19" s="84">
        <f t="shared" si="11"/>
        <v>8327.4895315582689</v>
      </c>
      <c r="V19" s="133">
        <f t="shared" si="14"/>
        <v>2.3875840027007662</v>
      </c>
    </row>
    <row r="20" spans="2:22">
      <c r="B20" s="118">
        <v>-2</v>
      </c>
      <c r="C20" s="84">
        <f t="shared" si="0"/>
        <v>129.60000000000002</v>
      </c>
      <c r="D20" s="84">
        <f t="shared" si="1"/>
        <v>7.1999999999999886</v>
      </c>
      <c r="E20" s="127">
        <v>4</v>
      </c>
      <c r="F20" s="131">
        <f t="shared" si="2"/>
        <v>518.40000000000009</v>
      </c>
      <c r="G20" s="134">
        <f>'Dane dla CWU'!$H$43/365</f>
        <v>10.319026666666666</v>
      </c>
      <c r="H20" s="84">
        <f t="shared" si="3"/>
        <v>14436.000000000002</v>
      </c>
      <c r="I20" s="84">
        <f t="shared" si="4"/>
        <v>41.276106666666664</v>
      </c>
      <c r="J20" s="84">
        <f t="shared" si="5"/>
        <v>3446.5549066666667</v>
      </c>
      <c r="K20" s="84">
        <f>'SCOP 221.A26 ver 2'!DX23</f>
        <v>2.2280785816962148</v>
      </c>
      <c r="L20" s="84">
        <f>'SCOP 221.A26 ver 2'!EA23</f>
        <v>3.0665950590762616</v>
      </c>
      <c r="M20" s="84">
        <f>'SCOP 221.A26 ver 2'!EO23</f>
        <v>1.7603806228373702</v>
      </c>
      <c r="N20" s="84">
        <f t="shared" si="6"/>
        <v>1155.0359367513179</v>
      </c>
      <c r="O20" s="84">
        <f t="shared" si="7"/>
        <v>44123.820443255543</v>
      </c>
      <c r="P20" s="133">
        <f t="shared" si="12"/>
        <v>3.0565129151604</v>
      </c>
      <c r="Q20" s="84">
        <f t="shared" si="8"/>
        <v>1589.7228786251344</v>
      </c>
      <c r="R20" s="84">
        <f t="shared" si="9"/>
        <v>60728.87382742652</v>
      </c>
      <c r="S20" s="133">
        <f t="shared" si="13"/>
        <v>4.206765989708126</v>
      </c>
      <c r="T20" s="84">
        <f t="shared" si="10"/>
        <v>72.661658362168396</v>
      </c>
      <c r="U20" s="84">
        <f t="shared" si="11"/>
        <v>8256.6585819647735</v>
      </c>
      <c r="V20" s="133">
        <f t="shared" si="14"/>
        <v>2.3956265910616801</v>
      </c>
    </row>
    <row r="21" spans="2:22">
      <c r="B21" s="118">
        <v>-1</v>
      </c>
      <c r="C21" s="84">
        <f t="shared" si="0"/>
        <v>122.40000000000003</v>
      </c>
      <c r="D21" s="84">
        <f t="shared" si="1"/>
        <v>7.2000000000000028</v>
      </c>
      <c r="E21" s="127">
        <v>8</v>
      </c>
      <c r="F21" s="131">
        <f t="shared" si="2"/>
        <v>979.20000000000027</v>
      </c>
      <c r="G21" s="134">
        <f>'Dane dla CWU'!$H$43/365</f>
        <v>10.319026666666666</v>
      </c>
      <c r="H21" s="84">
        <f t="shared" si="3"/>
        <v>13917.600000000002</v>
      </c>
      <c r="I21" s="84">
        <f t="shared" si="4"/>
        <v>82.552213333333327</v>
      </c>
      <c r="J21" s="84">
        <f t="shared" si="5"/>
        <v>3405.2788</v>
      </c>
      <c r="K21" s="84">
        <f>'SCOP 221.A26 ver 2'!DX24</f>
        <v>2.2740524781341107</v>
      </c>
      <c r="L21" s="84">
        <f>'SCOP 221.A26 ver 2'!EA24</f>
        <v>3.2040472175379429</v>
      </c>
      <c r="M21" s="84">
        <f>'SCOP 221.A26 ver 2'!EO24</f>
        <v>1.8041237113402062</v>
      </c>
      <c r="N21" s="84">
        <f t="shared" si="6"/>
        <v>2226.7521865889216</v>
      </c>
      <c r="O21" s="84">
        <f t="shared" si="7"/>
        <v>42968.784506504227</v>
      </c>
      <c r="P21" s="133">
        <f t="shared" si="12"/>
        <v>3.0873702726407011</v>
      </c>
      <c r="Q21" s="84">
        <f t="shared" si="8"/>
        <v>3137.4030354131546</v>
      </c>
      <c r="R21" s="84">
        <f t="shared" si="9"/>
        <v>59139.150948801383</v>
      </c>
      <c r="S21" s="133">
        <f t="shared" si="13"/>
        <v>4.249234850031713</v>
      </c>
      <c r="T21" s="84">
        <f t="shared" si="10"/>
        <v>148.93440549828179</v>
      </c>
      <c r="U21" s="84">
        <f t="shared" si="11"/>
        <v>8183.9969236026045</v>
      </c>
      <c r="V21" s="133">
        <f t="shared" si="14"/>
        <v>2.4033265421916714</v>
      </c>
    </row>
    <row r="22" spans="2:22">
      <c r="B22" s="118">
        <v>0</v>
      </c>
      <c r="C22" s="84">
        <f t="shared" si="0"/>
        <v>115.20000000000003</v>
      </c>
      <c r="D22" s="84">
        <f t="shared" si="1"/>
        <v>7.2000000000000028</v>
      </c>
      <c r="E22" s="127">
        <v>17</v>
      </c>
      <c r="F22" s="131">
        <f t="shared" si="2"/>
        <v>1958.4000000000005</v>
      </c>
      <c r="G22" s="134">
        <f>'Dane dla CWU'!$H$43/365</f>
        <v>10.319026666666666</v>
      </c>
      <c r="H22" s="84">
        <f t="shared" si="3"/>
        <v>12938.400000000001</v>
      </c>
      <c r="I22" s="84">
        <f t="shared" si="4"/>
        <v>175.42345333333333</v>
      </c>
      <c r="J22" s="84">
        <f t="shared" si="5"/>
        <v>3322.7265866666667</v>
      </c>
      <c r="K22" s="84">
        <f>'SCOP 221.A26 ver 2'!DX25</f>
        <v>2.32134056185313</v>
      </c>
      <c r="L22" s="84">
        <f>'SCOP 221.A26 ver 2'!EA25</f>
        <v>3.3549528301886791</v>
      </c>
      <c r="M22" s="84">
        <f>'SCOP 221.A26 ver 2'!EO25</f>
        <v>1.8472696245733788</v>
      </c>
      <c r="N22" s="84">
        <f t="shared" si="6"/>
        <v>4546.1133563331714</v>
      </c>
      <c r="O22" s="84">
        <f t="shared" si="7"/>
        <v>40742.032319915306</v>
      </c>
      <c r="P22" s="133">
        <f t="shared" si="12"/>
        <v>3.1489235392255073</v>
      </c>
      <c r="Q22" s="84">
        <f t="shared" si="8"/>
        <v>6570.3396226415107</v>
      </c>
      <c r="R22" s="84">
        <f t="shared" si="9"/>
        <v>56001.74791338823</v>
      </c>
      <c r="S22" s="133">
        <f t="shared" si="13"/>
        <v>4.3283364182115429</v>
      </c>
      <c r="T22" s="84">
        <f t="shared" si="10"/>
        <v>324.05441678043229</v>
      </c>
      <c r="U22" s="84">
        <f t="shared" si="11"/>
        <v>8035.0625181043224</v>
      </c>
      <c r="V22" s="133">
        <f t="shared" si="14"/>
        <v>2.4182135690451241</v>
      </c>
    </row>
    <row r="23" spans="2:22">
      <c r="B23" s="118">
        <v>1</v>
      </c>
      <c r="C23" s="84">
        <f t="shared" si="0"/>
        <v>108.00000000000003</v>
      </c>
      <c r="D23" s="84">
        <f t="shared" si="1"/>
        <v>7.2000000000000028</v>
      </c>
      <c r="E23" s="127">
        <v>7</v>
      </c>
      <c r="F23" s="131">
        <f t="shared" si="2"/>
        <v>756.00000000000023</v>
      </c>
      <c r="G23" s="134">
        <f>'Dane dla CWU'!$H$43/365</f>
        <v>10.319026666666666</v>
      </c>
      <c r="H23" s="84">
        <f t="shared" si="3"/>
        <v>10980</v>
      </c>
      <c r="I23" s="84">
        <f t="shared" si="4"/>
        <v>72.233186666666654</v>
      </c>
      <c r="J23" s="84">
        <f t="shared" si="5"/>
        <v>3147.3031333333333</v>
      </c>
      <c r="K23" s="84">
        <f>'SCOP 221.A26 ver 2'!DX26</f>
        <v>2.3699999999999997</v>
      </c>
      <c r="L23" s="84">
        <f>'SCOP 221.A26 ver 2'!EA26</f>
        <v>3.5213887166769995</v>
      </c>
      <c r="M23" s="84">
        <f>'SCOP 221.A26 ver 2'!EO26</f>
        <v>1.8898305084745763</v>
      </c>
      <c r="N23" s="84">
        <f t="shared" si="6"/>
        <v>1791.7200000000003</v>
      </c>
      <c r="O23" s="84">
        <f t="shared" si="7"/>
        <v>36195.918963582131</v>
      </c>
      <c r="P23" s="133">
        <f t="shared" si="12"/>
        <v>3.2965317817470066</v>
      </c>
      <c r="Q23" s="84">
        <f t="shared" si="8"/>
        <v>2662.1698698078126</v>
      </c>
      <c r="R23" s="84">
        <f t="shared" si="9"/>
        <v>49431.408290746716</v>
      </c>
      <c r="S23" s="133">
        <f t="shared" si="13"/>
        <v>4.5019497532556212</v>
      </c>
      <c r="T23" s="84">
        <f t="shared" si="10"/>
        <v>136.50847988700562</v>
      </c>
      <c r="U23" s="84">
        <f t="shared" si="11"/>
        <v>7711.0081013238905</v>
      </c>
      <c r="V23" s="133">
        <f t="shared" si="14"/>
        <v>2.450036674146828</v>
      </c>
    </row>
    <row r="24" spans="2:22">
      <c r="B24" s="118">
        <v>2</v>
      </c>
      <c r="C24" s="84">
        <f t="shared" si="0"/>
        <v>100.80000000000003</v>
      </c>
      <c r="D24" s="84">
        <f t="shared" si="1"/>
        <v>7.2000000000000028</v>
      </c>
      <c r="E24" s="127">
        <v>13</v>
      </c>
      <c r="F24" s="131">
        <f t="shared" si="2"/>
        <v>1310.4000000000003</v>
      </c>
      <c r="G24" s="134">
        <f>'Dane dla CWU'!$H$43/365</f>
        <v>10.319026666666666</v>
      </c>
      <c r="H24" s="84">
        <f t="shared" si="3"/>
        <v>10224</v>
      </c>
      <c r="I24" s="84">
        <f t="shared" si="4"/>
        <v>134.14734666666666</v>
      </c>
      <c r="J24" s="84">
        <f t="shared" si="5"/>
        <v>3075.0699466666665</v>
      </c>
      <c r="K24" s="84">
        <f>'SCOP 221.A26 ver 2'!DX27</f>
        <v>2.4200913242009134</v>
      </c>
      <c r="L24" s="84">
        <f>'SCOP 221.A26 ver 2'!EA27</f>
        <v>3.7058823529411766</v>
      </c>
      <c r="M24" s="84">
        <f>'SCOP 221.A26 ver 2'!EO27</f>
        <v>1.9318181818181817</v>
      </c>
      <c r="N24" s="84">
        <f t="shared" si="6"/>
        <v>3171.2876712328775</v>
      </c>
      <c r="O24" s="84">
        <f t="shared" si="7"/>
        <v>34404.19896358213</v>
      </c>
      <c r="P24" s="133">
        <f t="shared" si="12"/>
        <v>3.3650429346226653</v>
      </c>
      <c r="Q24" s="84">
        <f t="shared" si="8"/>
        <v>4856.1882352941193</v>
      </c>
      <c r="R24" s="84">
        <f t="shared" si="9"/>
        <v>46769.238420938906</v>
      </c>
      <c r="S24" s="133">
        <f t="shared" si="13"/>
        <v>4.5744560270871384</v>
      </c>
      <c r="T24" s="84">
        <f t="shared" si="10"/>
        <v>259.14828333333332</v>
      </c>
      <c r="U24" s="84">
        <f t="shared" si="11"/>
        <v>7574.4996214368848</v>
      </c>
      <c r="V24" s="133">
        <f t="shared" si="14"/>
        <v>2.46319587938074</v>
      </c>
    </row>
    <row r="25" spans="2:22">
      <c r="B25" s="118">
        <v>3</v>
      </c>
      <c r="C25" s="84">
        <f t="shared" si="0"/>
        <v>93.600000000000023</v>
      </c>
      <c r="D25" s="84">
        <f t="shared" si="1"/>
        <v>7.2000000000000028</v>
      </c>
      <c r="E25" s="127">
        <v>15</v>
      </c>
      <c r="F25" s="131">
        <f t="shared" si="2"/>
        <v>1404.0000000000005</v>
      </c>
      <c r="G25" s="134">
        <f>'Dane dla CWU'!$H$43/365</f>
        <v>10.319026666666666</v>
      </c>
      <c r="H25" s="84">
        <f t="shared" si="3"/>
        <v>8913.6</v>
      </c>
      <c r="I25" s="84">
        <f t="shared" si="4"/>
        <v>154.78539999999998</v>
      </c>
      <c r="J25" s="84">
        <f t="shared" si="5"/>
        <v>2940.9225999999999</v>
      </c>
      <c r="K25" s="84">
        <f>'SCOP 221.A26 ver 2'!DX28</f>
        <v>2.6424965580541535</v>
      </c>
      <c r="L25" s="84">
        <f>'SCOP 221.A26 ver 2'!EA28</f>
        <v>4.3513203214695757</v>
      </c>
      <c r="M25" s="84">
        <f>'SCOP 221.A26 ver 2'!EO28</f>
        <v>1.9804951237809449</v>
      </c>
      <c r="N25" s="84">
        <f t="shared" si="6"/>
        <v>3710.0651675080326</v>
      </c>
      <c r="O25" s="84">
        <f t="shared" si="7"/>
        <v>31232.911292349254</v>
      </c>
      <c r="P25" s="133">
        <f t="shared" si="12"/>
        <v>3.5039615073987225</v>
      </c>
      <c r="Q25" s="84">
        <f t="shared" si="8"/>
        <v>6109.2537313432858</v>
      </c>
      <c r="R25" s="84">
        <f t="shared" si="9"/>
        <v>41913.050185644788</v>
      </c>
      <c r="S25" s="133">
        <f t="shared" si="13"/>
        <v>4.7021461795060118</v>
      </c>
      <c r="T25" s="84">
        <f t="shared" si="10"/>
        <v>306.55172993248306</v>
      </c>
      <c r="U25" s="84">
        <f t="shared" si="11"/>
        <v>7315.3513381035518</v>
      </c>
      <c r="V25" s="133">
        <f t="shared" si="14"/>
        <v>2.4874341603221901</v>
      </c>
    </row>
    <row r="26" spans="2:22">
      <c r="B26" s="118">
        <v>4</v>
      </c>
      <c r="C26" s="84">
        <f t="shared" si="0"/>
        <v>86.40000000000002</v>
      </c>
      <c r="D26" s="84">
        <f t="shared" si="1"/>
        <v>7.2000000000000028</v>
      </c>
      <c r="E26" s="127">
        <v>13</v>
      </c>
      <c r="F26" s="131">
        <f t="shared" si="2"/>
        <v>1123.2000000000003</v>
      </c>
      <c r="G26" s="134">
        <f>'Dane dla CWU'!$H$43/365</f>
        <v>10.319026666666666</v>
      </c>
      <c r="H26" s="84">
        <f t="shared" si="3"/>
        <v>7509.6</v>
      </c>
      <c r="I26" s="84">
        <f t="shared" si="4"/>
        <v>134.14734666666666</v>
      </c>
      <c r="J26" s="84">
        <f t="shared" si="5"/>
        <v>2786.1372000000001</v>
      </c>
      <c r="K26" s="84">
        <f>'SCOP 221.A26 ver 2'!DX29</f>
        <v>2.8671586715867163</v>
      </c>
      <c r="L26" s="84">
        <f>'SCOP 221.A26 ver 2'!EA29</f>
        <v>4.6076233183856496</v>
      </c>
      <c r="M26" s="84">
        <f>'SCOP 221.A26 ver 2'!EO29</f>
        <v>2.0282317979197622</v>
      </c>
      <c r="N26" s="84">
        <f t="shared" si="6"/>
        <v>3220.3926199262005</v>
      </c>
      <c r="O26" s="84">
        <f t="shared" si="7"/>
        <v>27522.84612484122</v>
      </c>
      <c r="P26" s="133">
        <f t="shared" si="12"/>
        <v>3.6650215890115612</v>
      </c>
      <c r="Q26" s="84">
        <f t="shared" si="8"/>
        <v>5175.282511210763</v>
      </c>
      <c r="R26" s="84">
        <f t="shared" si="9"/>
        <v>35803.796454301504</v>
      </c>
      <c r="S26" s="133">
        <f t="shared" si="13"/>
        <v>4.7677368241053451</v>
      </c>
      <c r="T26" s="84">
        <f t="shared" si="10"/>
        <v>272.08191411589894</v>
      </c>
      <c r="U26" s="84">
        <f t="shared" si="11"/>
        <v>7008.7996081710689</v>
      </c>
      <c r="V26" s="133">
        <f t="shared" si="14"/>
        <v>2.5155974401300369</v>
      </c>
    </row>
    <row r="27" spans="2:22">
      <c r="B27" s="118">
        <v>5</v>
      </c>
      <c r="C27" s="84">
        <f>C28+D28</f>
        <v>79.200000000000017</v>
      </c>
      <c r="D27" s="84">
        <f t="shared" si="1"/>
        <v>7.2000000000000028</v>
      </c>
      <c r="E27" s="127">
        <v>11</v>
      </c>
      <c r="F27" s="131">
        <f t="shared" si="2"/>
        <v>871.20000000000016</v>
      </c>
      <c r="G27" s="134">
        <f>'Dane dla CWU'!$H$43/365</f>
        <v>10.319026666666666</v>
      </c>
      <c r="H27" s="84">
        <f t="shared" si="3"/>
        <v>6386.4000000000005</v>
      </c>
      <c r="I27" s="84">
        <f t="shared" si="4"/>
        <v>113.50929333333332</v>
      </c>
      <c r="J27" s="84">
        <f t="shared" si="5"/>
        <v>2651.9898533333335</v>
      </c>
      <c r="K27" s="84">
        <f>'SCOP 221.A26 ver 2'!DX30</f>
        <v>3.0941121928604542</v>
      </c>
      <c r="L27" s="84">
        <f>'SCOP 221.A26 ver 2'!EA30</f>
        <v>4.8521358159912369</v>
      </c>
      <c r="M27" s="84">
        <f>'SCOP 221.A26 ver 2'!EO30</f>
        <v>2.075055187637969</v>
      </c>
      <c r="N27" s="84">
        <f t="shared" si="6"/>
        <v>2695.5905424200282</v>
      </c>
      <c r="O27" s="84">
        <f t="shared" si="7"/>
        <v>24302.453504915022</v>
      </c>
      <c r="P27" s="133">
        <f t="shared" si="12"/>
        <v>3.8053447176680164</v>
      </c>
      <c r="Q27" s="84">
        <f t="shared" si="8"/>
        <v>4227.1807228915668</v>
      </c>
      <c r="R27" s="84">
        <f t="shared" si="9"/>
        <v>30628.51394309074</v>
      </c>
      <c r="S27" s="133">
        <f t="shared" si="13"/>
        <v>4.7958965838486058</v>
      </c>
      <c r="T27" s="84">
        <f t="shared" si="10"/>
        <v>235.53804797645324</v>
      </c>
      <c r="U27" s="84">
        <f t="shared" si="11"/>
        <v>6736.7176940551699</v>
      </c>
      <c r="V27" s="133">
        <f t="shared" si="14"/>
        <v>2.5402501768955372</v>
      </c>
    </row>
    <row r="28" spans="2:22">
      <c r="B28" s="118">
        <v>6</v>
      </c>
      <c r="C28" s="84">
        <f>'SCOP 221.A26'!CJ28</f>
        <v>72.000000000000014</v>
      </c>
      <c r="D28" s="84">
        <f t="shared" ref="D28:D35" si="15">C28-C29</f>
        <v>7.2000000000000028</v>
      </c>
      <c r="E28" s="127">
        <v>20</v>
      </c>
      <c r="F28" s="131">
        <f t="shared" si="2"/>
        <v>1440.0000000000002</v>
      </c>
      <c r="G28" s="134">
        <f>'Dane dla CWU'!$H$43/365</f>
        <v>10.319026666666666</v>
      </c>
      <c r="H28" s="84">
        <f t="shared" si="3"/>
        <v>5515.2000000000007</v>
      </c>
      <c r="I28" s="84">
        <f t="shared" si="4"/>
        <v>206.38053333333332</v>
      </c>
      <c r="J28" s="84">
        <f t="shared" si="5"/>
        <v>2538.48056</v>
      </c>
      <c r="K28" s="84">
        <f>'SCOP 221.A26 ver 2'!DX31</f>
        <v>3.3233923578751163</v>
      </c>
      <c r="L28" s="84">
        <f>'SCOP 221.A26 ver 2'!EA31</f>
        <v>3.7152034261241971</v>
      </c>
      <c r="M28" s="84">
        <f>'SCOP 221.A26 ver 2'!EO31</f>
        <v>2.120991253644315</v>
      </c>
      <c r="N28" s="84">
        <f t="shared" si="6"/>
        <v>4785.6849953401679</v>
      </c>
      <c r="O28" s="84">
        <f t="shared" si="7"/>
        <v>21606.862962494994</v>
      </c>
      <c r="P28" s="133">
        <f t="shared" si="12"/>
        <v>3.9176934585318737</v>
      </c>
      <c r="Q28" s="84">
        <f t="shared" si="8"/>
        <v>5349.8929336188448</v>
      </c>
      <c r="R28" s="84">
        <f t="shared" si="9"/>
        <v>26401.333220199173</v>
      </c>
      <c r="S28" s="133">
        <f t="shared" si="13"/>
        <v>4.7870128409122366</v>
      </c>
      <c r="T28" s="84">
        <f t="shared" si="10"/>
        <v>437.73130612244898</v>
      </c>
      <c r="U28" s="84">
        <f t="shared" si="11"/>
        <v>6501.1796460787164</v>
      </c>
      <c r="V28" s="133">
        <f t="shared" si="14"/>
        <v>2.561051578854209</v>
      </c>
    </row>
    <row r="29" spans="2:22">
      <c r="B29" s="118">
        <v>7</v>
      </c>
      <c r="C29" s="84">
        <f>'SCOP 221.A26'!CJ13</f>
        <v>64.800000000000011</v>
      </c>
      <c r="D29" s="84">
        <f t="shared" si="15"/>
        <v>7.2000000000000028</v>
      </c>
      <c r="E29" s="127">
        <v>13</v>
      </c>
      <c r="F29" s="131">
        <f t="shared" si="2"/>
        <v>842.40000000000009</v>
      </c>
      <c r="G29" s="134">
        <f>'Dane dla CWU'!$H$43/365</f>
        <v>10.319026666666666</v>
      </c>
      <c r="H29" s="84">
        <f t="shared" si="3"/>
        <v>4075.2000000000007</v>
      </c>
      <c r="I29" s="84">
        <f t="shared" si="4"/>
        <v>134.14734666666666</v>
      </c>
      <c r="J29" s="84">
        <f t="shared" si="5"/>
        <v>2332.1000266666665</v>
      </c>
      <c r="K29" s="84">
        <f>'SCOP 221.A26 ver 2'!DX32</f>
        <v>3.555035128805621</v>
      </c>
      <c r="L29" s="84">
        <f>'SCOP 221.A26 ver 2'!EA32</f>
        <v>4.9738219895287958</v>
      </c>
      <c r="M29" s="84">
        <f>'SCOP 221.A26 ver 2'!EO32</f>
        <v>2.1660649819494586</v>
      </c>
      <c r="N29" s="84">
        <f t="shared" si="6"/>
        <v>2994.7615925058553</v>
      </c>
      <c r="O29" s="84">
        <f t="shared" si="7"/>
        <v>16821.177967154825</v>
      </c>
      <c r="P29" s="133">
        <f t="shared" si="12"/>
        <v>4.1276938474565226</v>
      </c>
      <c r="Q29" s="84">
        <f t="shared" si="8"/>
        <v>4189.9476439790578</v>
      </c>
      <c r="R29" s="84">
        <f t="shared" si="9"/>
        <v>21051.440286580328</v>
      </c>
      <c r="S29" s="133">
        <f t="shared" si="13"/>
        <v>5.1657440828868086</v>
      </c>
      <c r="T29" s="84">
        <f t="shared" si="10"/>
        <v>290.57187003610107</v>
      </c>
      <c r="U29" s="84">
        <f t="shared" si="11"/>
        <v>6063.4483399562678</v>
      </c>
      <c r="V29" s="133">
        <f t="shared" si="14"/>
        <v>2.5999949704657044</v>
      </c>
    </row>
    <row r="30" spans="2:22">
      <c r="B30" s="118">
        <v>8</v>
      </c>
      <c r="C30" s="84">
        <f>'SCOP 221.A26'!CJ15</f>
        <v>57.600000000000009</v>
      </c>
      <c r="D30" s="84">
        <f t="shared" si="15"/>
        <v>7.2000000000000028</v>
      </c>
      <c r="E30" s="127">
        <v>17</v>
      </c>
      <c r="F30" s="131">
        <f t="shared" si="2"/>
        <v>979.20000000000016</v>
      </c>
      <c r="G30" s="134">
        <f>'Dane dla CWU'!$H$43/365</f>
        <v>10.319026666666666</v>
      </c>
      <c r="H30" s="84">
        <f t="shared" si="3"/>
        <v>3232.8000000000006</v>
      </c>
      <c r="I30" s="84">
        <f t="shared" si="4"/>
        <v>175.42345333333333</v>
      </c>
      <c r="J30" s="84">
        <f t="shared" si="5"/>
        <v>2197.9526799999999</v>
      </c>
      <c r="K30" s="84">
        <f>'SCOP 221.A26 ver 2'!DX33</f>
        <v>3.8317152103559877</v>
      </c>
      <c r="L30" s="84">
        <f>'SCOP 221.A26 ver 2'!EA33</f>
        <v>5.0610820244328094</v>
      </c>
      <c r="M30" s="84">
        <f>'SCOP 221.A26 ver 2'!EO33</f>
        <v>2.220888355342137</v>
      </c>
      <c r="N30" s="84">
        <f t="shared" si="6"/>
        <v>3752.0155339805838</v>
      </c>
      <c r="O30" s="84">
        <f t="shared" si="7"/>
        <v>13826.41637464897</v>
      </c>
      <c r="P30" s="133">
        <f t="shared" si="12"/>
        <v>4.2769167206907222</v>
      </c>
      <c r="Q30" s="84">
        <f t="shared" si="8"/>
        <v>4955.8115183246082</v>
      </c>
      <c r="R30" s="84">
        <f t="shared" si="9"/>
        <v>16861.492642601272</v>
      </c>
      <c r="S30" s="133">
        <f t="shared" si="13"/>
        <v>5.2157549624478063</v>
      </c>
      <c r="T30" s="84">
        <f t="shared" si="10"/>
        <v>389.59590476190476</v>
      </c>
      <c r="U30" s="84">
        <f t="shared" si="11"/>
        <v>5772.8764699201665</v>
      </c>
      <c r="V30" s="133">
        <f t="shared" si="14"/>
        <v>2.6264789603751466</v>
      </c>
    </row>
    <row r="31" spans="2:22">
      <c r="B31" s="118">
        <v>9</v>
      </c>
      <c r="C31" s="84">
        <f>'SCOP 221.A26'!CJ19</f>
        <v>50.400000000000006</v>
      </c>
      <c r="D31" s="84">
        <f t="shared" si="15"/>
        <v>7.2000000000000028</v>
      </c>
      <c r="E31" s="127">
        <v>9</v>
      </c>
      <c r="F31" s="131">
        <f t="shared" si="2"/>
        <v>453.6</v>
      </c>
      <c r="G31" s="134">
        <f>'Dane dla CWU'!$H$43/365</f>
        <v>10.319026666666666</v>
      </c>
      <c r="H31" s="84">
        <f t="shared" si="3"/>
        <v>2253.6000000000004</v>
      </c>
      <c r="I31" s="84">
        <f t="shared" si="4"/>
        <v>92.87124</v>
      </c>
      <c r="J31" s="84">
        <f t="shared" si="5"/>
        <v>2022.5292266666665</v>
      </c>
      <c r="K31" s="84">
        <f>'SCOP 221.A26 ver 2'!DX34</f>
        <v>4.1293031066330821</v>
      </c>
      <c r="L31" s="84">
        <f>'SCOP 221.A26 ver 2'!EA34</f>
        <v>5.1483420593368239</v>
      </c>
      <c r="M31" s="84">
        <f>'SCOP 221.A26 ver 2'!EO34</f>
        <v>2.2754491017964069</v>
      </c>
      <c r="N31" s="84">
        <f t="shared" si="6"/>
        <v>1873.0518891687661</v>
      </c>
      <c r="O31" s="84">
        <f t="shared" si="7"/>
        <v>10074.400840668386</v>
      </c>
      <c r="P31" s="133">
        <f t="shared" si="12"/>
        <v>4.4703589104847286</v>
      </c>
      <c r="Q31" s="84">
        <f t="shared" si="8"/>
        <v>2335.2879581151833</v>
      </c>
      <c r="R31" s="84">
        <f t="shared" si="9"/>
        <v>11905.681124276663</v>
      </c>
      <c r="S31" s="133">
        <f t="shared" si="13"/>
        <v>5.2829610952594344</v>
      </c>
      <c r="T31" s="84">
        <f t="shared" si="10"/>
        <v>211.32377964071853</v>
      </c>
      <c r="U31" s="84">
        <f t="shared" si="11"/>
        <v>5383.2805651582621</v>
      </c>
      <c r="V31" s="133">
        <f t="shared" si="14"/>
        <v>2.6616577373422952</v>
      </c>
    </row>
    <row r="32" spans="2:22">
      <c r="B32" s="118">
        <v>10</v>
      </c>
      <c r="C32" s="84">
        <f>'SCOP 221.A26'!BY25</f>
        <v>43.2</v>
      </c>
      <c r="D32" s="84">
        <f t="shared" si="15"/>
        <v>7.2000000000000028</v>
      </c>
      <c r="E32" s="127">
        <v>17</v>
      </c>
      <c r="F32" s="131">
        <f t="shared" si="2"/>
        <v>734.40000000000009</v>
      </c>
      <c r="G32" s="134">
        <f>'Dane dla CWU'!$H$43/365</f>
        <v>10.319026666666666</v>
      </c>
      <c r="H32" s="84">
        <f t="shared" si="3"/>
        <v>1800.0000000000005</v>
      </c>
      <c r="I32" s="84">
        <f t="shared" si="4"/>
        <v>175.42345333333333</v>
      </c>
      <c r="J32" s="84">
        <f t="shared" si="5"/>
        <v>1929.6579866666666</v>
      </c>
      <c r="K32" s="84">
        <f>'SCOP 221.A26 ver 2'!DX35</f>
        <v>4.4502617801047126</v>
      </c>
      <c r="L32" s="84">
        <f>'SCOP 221.A26 ver 2'!EA35</f>
        <v>5.2356020942408383</v>
      </c>
      <c r="M32" s="84">
        <f>'SCOP 221.A26 ver 2'!EO35</f>
        <v>2.3297491039426523</v>
      </c>
      <c r="N32" s="84">
        <f t="shared" si="6"/>
        <v>3268.2722513089016</v>
      </c>
      <c r="O32" s="84">
        <f t="shared" si="7"/>
        <v>8201.3489514996199</v>
      </c>
      <c r="P32" s="133">
        <f t="shared" si="12"/>
        <v>4.5563049730553429</v>
      </c>
      <c r="Q32" s="84">
        <f t="shared" si="8"/>
        <v>3845.026178010472</v>
      </c>
      <c r="R32" s="84">
        <f t="shared" si="9"/>
        <v>9570.3931661614806</v>
      </c>
      <c r="S32" s="133">
        <f t="shared" si="13"/>
        <v>5.3168850923119324</v>
      </c>
      <c r="T32" s="84">
        <f t="shared" si="10"/>
        <v>408.69263321385898</v>
      </c>
      <c r="U32" s="84">
        <f t="shared" si="11"/>
        <v>5171.9567855175437</v>
      </c>
      <c r="V32" s="133">
        <f t="shared" si="14"/>
        <v>2.6802453187322044</v>
      </c>
    </row>
    <row r="33" spans="2:22">
      <c r="B33" s="118">
        <v>11</v>
      </c>
      <c r="C33" s="84">
        <f>'SCOP 221.A26'!CJ3</f>
        <v>36</v>
      </c>
      <c r="D33" s="84">
        <f t="shared" si="15"/>
        <v>7.1999999999999886</v>
      </c>
      <c r="E33" s="127">
        <v>10</v>
      </c>
      <c r="F33" s="131">
        <f t="shared" si="2"/>
        <v>360</v>
      </c>
      <c r="G33" s="134">
        <f>'Dane dla CWU'!$H$43/365</f>
        <v>10.319026666666666</v>
      </c>
      <c r="H33" s="84">
        <f t="shared" si="3"/>
        <v>1065.6000000000004</v>
      </c>
      <c r="I33" s="84">
        <f t="shared" si="4"/>
        <v>103.19026666666666</v>
      </c>
      <c r="J33" s="84">
        <f t="shared" si="5"/>
        <v>1754.2345333333333</v>
      </c>
      <c r="K33" s="84">
        <f>'SCOP 221.A26 ver 2'!DX36</f>
        <v>4.5259298061812476</v>
      </c>
      <c r="L33" s="84">
        <f>'SCOP 221.A26 ver 2'!EA36</f>
        <v>5.2879581151832458</v>
      </c>
      <c r="M33" s="84">
        <f>'SCOP 221.A26 ver 2'!EO36</f>
        <v>2.3780487804878048</v>
      </c>
      <c r="N33" s="84">
        <f t="shared" si="6"/>
        <v>1629.3347302252491</v>
      </c>
      <c r="O33" s="84">
        <f t="shared" si="7"/>
        <v>4933.0767001907188</v>
      </c>
      <c r="P33" s="133">
        <f t="shared" si="12"/>
        <v>4.6293887952240214</v>
      </c>
      <c r="Q33" s="84">
        <f t="shared" si="8"/>
        <v>1903.6649214659685</v>
      </c>
      <c r="R33" s="84">
        <f t="shared" si="9"/>
        <v>5725.3669881510077</v>
      </c>
      <c r="S33" s="133">
        <f t="shared" si="13"/>
        <v>5.3729044558474151</v>
      </c>
      <c r="T33" s="84">
        <f t="shared" si="10"/>
        <v>245.39148780487801</v>
      </c>
      <c r="U33" s="84">
        <f t="shared" si="11"/>
        <v>4763.2641523036846</v>
      </c>
      <c r="V33" s="133">
        <f t="shared" si="14"/>
        <v>2.7152949402111597</v>
      </c>
    </row>
    <row r="34" spans="2:22">
      <c r="B34" s="118">
        <v>12</v>
      </c>
      <c r="C34" s="84">
        <f>'SCOP 221.A26'!CJ7</f>
        <v>28.800000000000011</v>
      </c>
      <c r="D34" s="84">
        <f t="shared" si="15"/>
        <v>7.2000000000000028</v>
      </c>
      <c r="E34" s="127">
        <v>7</v>
      </c>
      <c r="F34" s="131">
        <f t="shared" si="2"/>
        <v>201.60000000000008</v>
      </c>
      <c r="G34" s="134">
        <f>'Dane dla CWU'!$H$43/365</f>
        <v>10.319026666666666</v>
      </c>
      <c r="H34" s="84">
        <f t="shared" si="3"/>
        <v>705.60000000000036</v>
      </c>
      <c r="I34" s="84">
        <f t="shared" si="4"/>
        <v>72.233186666666654</v>
      </c>
      <c r="J34" s="84">
        <f t="shared" si="5"/>
        <v>1651.0442666666665</v>
      </c>
      <c r="K34" s="84">
        <f>'SCOP 221.A26 ver 2'!DX37</f>
        <v>4.6016771488469601</v>
      </c>
      <c r="L34" s="84">
        <f>'SCOP 221.A26 ver 2'!EA37</f>
        <v>5.3403141361256541</v>
      </c>
      <c r="M34" s="84">
        <f>'SCOP 221.A26 ver 2'!EO37</f>
        <v>2.426417803302225</v>
      </c>
      <c r="N34" s="84">
        <f t="shared" si="6"/>
        <v>927.69811320754752</v>
      </c>
      <c r="O34" s="84">
        <f t="shared" si="7"/>
        <v>3303.7419699654697</v>
      </c>
      <c r="P34" s="133">
        <f t="shared" si="12"/>
        <v>4.6821739937152325</v>
      </c>
      <c r="Q34" s="84">
        <f t="shared" si="8"/>
        <v>1076.6073298429324</v>
      </c>
      <c r="R34" s="84">
        <f t="shared" si="9"/>
        <v>3821.702066685039</v>
      </c>
      <c r="S34" s="133">
        <f t="shared" si="13"/>
        <v>5.4162444255740319</v>
      </c>
      <c r="T34" s="84">
        <f t="shared" si="10"/>
        <v>175.26789011725288</v>
      </c>
      <c r="U34" s="84">
        <f t="shared" si="11"/>
        <v>4517.8726644988064</v>
      </c>
      <c r="V34" s="133">
        <f t="shared" si="14"/>
        <v>2.7363728251938695</v>
      </c>
    </row>
    <row r="35" spans="2:22">
      <c r="B35" s="118">
        <v>13</v>
      </c>
      <c r="C35" s="84">
        <f>'SCOP 221.A26'!BY26</f>
        <v>21.600000000000009</v>
      </c>
      <c r="D35" s="84">
        <f t="shared" si="15"/>
        <v>7.2000000000000028</v>
      </c>
      <c r="E35" s="127">
        <v>12</v>
      </c>
      <c r="F35" s="131">
        <f t="shared" si="2"/>
        <v>259.2000000000001</v>
      </c>
      <c r="G35" s="134">
        <f>'Dane dla CWU'!$H$43/365</f>
        <v>10.319026666666666</v>
      </c>
      <c r="H35" s="84">
        <f t="shared" si="3"/>
        <v>504.00000000000023</v>
      </c>
      <c r="I35" s="84">
        <f t="shared" si="4"/>
        <v>123.82831999999999</v>
      </c>
      <c r="J35" s="84">
        <f t="shared" si="5"/>
        <v>1578.8110799999999</v>
      </c>
      <c r="K35" s="84">
        <f>'SCOP 221.A26 ver 2'!DX38</f>
        <v>4.6775039328788672</v>
      </c>
      <c r="L35" s="84">
        <f>'SCOP 221.A26 ver 2'!EA38</f>
        <v>5.4210526315789478</v>
      </c>
      <c r="M35" s="84">
        <f>'SCOP 221.A26 ver 2'!EO38</f>
        <v>2.4748563218390798</v>
      </c>
      <c r="N35" s="84">
        <f t="shared" si="6"/>
        <v>1212.4090194022028</v>
      </c>
      <c r="O35" s="84">
        <f t="shared" si="7"/>
        <v>2376.0438567579222</v>
      </c>
      <c r="P35" s="133">
        <f t="shared" si="12"/>
        <v>4.7143727316625421</v>
      </c>
      <c r="Q35" s="84">
        <f t="shared" si="8"/>
        <v>1405.1368421052639</v>
      </c>
      <c r="R35" s="84">
        <f t="shared" si="9"/>
        <v>2745.0947368421066</v>
      </c>
      <c r="S35" s="133">
        <f t="shared" si="13"/>
        <v>5.446616541353384</v>
      </c>
      <c r="T35" s="84">
        <f t="shared" si="10"/>
        <v>306.45730057471252</v>
      </c>
      <c r="U35" s="84">
        <f t="shared" si="11"/>
        <v>4342.6047743815534</v>
      </c>
      <c r="V35" s="133">
        <f t="shared" si="14"/>
        <v>2.7505537739078658</v>
      </c>
    </row>
    <row r="36" spans="2:22">
      <c r="B36" s="118">
        <v>14</v>
      </c>
      <c r="C36" s="84">
        <f>'SCOP 221.A26'!BY30</f>
        <v>14.400000000000006</v>
      </c>
      <c r="D36" s="84">
        <f>C36-C37</f>
        <v>14.400000000000006</v>
      </c>
      <c r="E36" s="127">
        <v>17</v>
      </c>
      <c r="F36" s="131">
        <f t="shared" si="2"/>
        <v>244.8000000000001</v>
      </c>
      <c r="G36" s="134">
        <f>'Dane dla CWU'!$H$43/365</f>
        <v>10.319026666666666</v>
      </c>
      <c r="H36" s="84">
        <f>F36+H37</f>
        <v>244.8000000000001</v>
      </c>
      <c r="I36" s="84">
        <f t="shared" si="4"/>
        <v>175.42345333333333</v>
      </c>
      <c r="J36" s="84">
        <f t="shared" si="5"/>
        <v>1454.9827599999999</v>
      </c>
      <c r="K36" s="84">
        <f>'SCOP 221.A26 ver 2'!DX39</f>
        <v>4.7534102833158451</v>
      </c>
      <c r="L36" s="84">
        <f>'SCOP 221.A26 ver 2'!EA39</f>
        <v>5.4736842105263159</v>
      </c>
      <c r="M36" s="84">
        <f>'SCOP 221.A26 ver 2'!EO39</f>
        <v>2.5233644859813076</v>
      </c>
      <c r="N36" s="84">
        <f t="shared" si="6"/>
        <v>1163.6348373557194</v>
      </c>
      <c r="O36" s="84">
        <f>O37+N36</f>
        <v>1163.6348373557194</v>
      </c>
      <c r="P36" s="133">
        <f t="shared" si="12"/>
        <v>4.7534102833158451</v>
      </c>
      <c r="Q36" s="84">
        <f t="shared" si="8"/>
        <v>1339.9578947368427</v>
      </c>
      <c r="R36" s="84">
        <f>R37+Q36</f>
        <v>1339.9578947368427</v>
      </c>
      <c r="S36" s="133">
        <f t="shared" si="13"/>
        <v>5.4736842105263159</v>
      </c>
      <c r="T36" s="84">
        <f>I36*M36</f>
        <v>442.65731214953257</v>
      </c>
      <c r="U36" s="84">
        <f>U37+T36</f>
        <v>4036.1474738068409</v>
      </c>
      <c r="V36" s="133">
        <f t="shared" si="14"/>
        <v>2.7740173868498905</v>
      </c>
    </row>
    <row r="37" spans="2:22">
      <c r="B37" s="118">
        <v>15</v>
      </c>
      <c r="C37" s="84">
        <v>0</v>
      </c>
      <c r="D37" s="84"/>
      <c r="E37" s="127">
        <v>8</v>
      </c>
      <c r="F37" s="131">
        <f t="shared" si="2"/>
        <v>0</v>
      </c>
      <c r="G37" s="134">
        <f>'Dane dla CWU'!$H$43/365</f>
        <v>10.319026666666666</v>
      </c>
      <c r="H37" s="84">
        <f>F37</f>
        <v>0</v>
      </c>
      <c r="I37" s="84">
        <f t="shared" si="4"/>
        <v>82.552213333333327</v>
      </c>
      <c r="J37" s="84">
        <f t="shared" si="5"/>
        <v>1279.5593066666665</v>
      </c>
      <c r="K37" s="84">
        <f>'SCOP 221.A26 ver 2'!DX40</f>
        <v>4.8293963254593173</v>
      </c>
      <c r="L37" s="84">
        <f>'SCOP 221.A26 ver 2'!EA40</f>
        <v>5.5263157894736841</v>
      </c>
      <c r="M37" s="84">
        <f>'SCOP 221.A26 ver 2'!EO40</f>
        <v>2.5719424460431641</v>
      </c>
      <c r="N37" s="84">
        <f t="shared" si="6"/>
        <v>0</v>
      </c>
      <c r="O37" s="84">
        <f>N37</f>
        <v>0</v>
      </c>
      <c r="P37" s="133">
        <f>P36</f>
        <v>4.7534102833158451</v>
      </c>
      <c r="Q37" s="84">
        <f>F37*L37</f>
        <v>0</v>
      </c>
      <c r="R37" s="84">
        <f>Q37</f>
        <v>0</v>
      </c>
      <c r="S37" s="133">
        <f>S36</f>
        <v>5.4736842105263159</v>
      </c>
      <c r="T37" s="84">
        <f t="shared" ref="T37:T50" si="16">I37*M37</f>
        <v>212.31954148681044</v>
      </c>
      <c r="U37" s="84">
        <f t="shared" ref="U37:U49" si="17">U38+T37</f>
        <v>3593.4901616573084</v>
      </c>
      <c r="V37" s="133">
        <f t="shared" si="14"/>
        <v>2.8083810910012286</v>
      </c>
    </row>
    <row r="38" spans="2:22">
      <c r="B38" s="118">
        <v>16</v>
      </c>
      <c r="E38" s="127">
        <v>15</v>
      </c>
      <c r="G38" s="134">
        <f>'Dane dla CWU'!$H$43/365</f>
        <v>10.319026666666666</v>
      </c>
      <c r="I38" s="84">
        <f t="shared" si="4"/>
        <v>154.78539999999998</v>
      </c>
      <c r="J38" s="84">
        <f t="shared" si="5"/>
        <v>1197.0070933333332</v>
      </c>
      <c r="M38" s="84">
        <f>'SCOP 221.A26 ver 2'!EO41</f>
        <v>2.6205903527717767</v>
      </c>
      <c r="T38" s="84">
        <f t="shared" si="16"/>
        <v>405.62912598992051</v>
      </c>
      <c r="U38" s="84">
        <f t="shared" si="17"/>
        <v>3381.1706201704978</v>
      </c>
      <c r="V38" s="133">
        <f t="shared" si="14"/>
        <v>2.824687204446612</v>
      </c>
    </row>
    <row r="39" spans="2:22">
      <c r="B39" s="118">
        <v>17</v>
      </c>
      <c r="E39" s="127">
        <v>19</v>
      </c>
      <c r="G39" s="134">
        <f>'Dane dla CWU'!$H$43/365</f>
        <v>10.319026666666666</v>
      </c>
      <c r="I39" s="84">
        <f t="shared" si="4"/>
        <v>196.06150666666665</v>
      </c>
      <c r="J39" s="84">
        <f t="shared" si="5"/>
        <v>1042.2216933333332</v>
      </c>
      <c r="M39" s="84">
        <f>'SCOP 221.A26 ver 2'!EO42</f>
        <v>2.6693083573487013</v>
      </c>
      <c r="T39" s="84">
        <f t="shared" si="16"/>
        <v>523.34861829971135</v>
      </c>
      <c r="U39" s="84">
        <f t="shared" si="17"/>
        <v>2975.5414941805775</v>
      </c>
      <c r="V39" s="133">
        <f t="shared" si="14"/>
        <v>2.8549986180616869</v>
      </c>
    </row>
    <row r="40" spans="2:22">
      <c r="B40" s="118">
        <v>18</v>
      </c>
      <c r="E40" s="127">
        <v>12</v>
      </c>
      <c r="G40" s="134">
        <f>'Dane dla CWU'!$H$43/365</f>
        <v>10.319026666666666</v>
      </c>
      <c r="I40" s="84">
        <f t="shared" si="4"/>
        <v>123.82831999999999</v>
      </c>
      <c r="J40" s="84">
        <f t="shared" si="5"/>
        <v>846.1601866666665</v>
      </c>
      <c r="M40" s="84">
        <f>'SCOP 221.A26 ver 2'!EO43</f>
        <v>2.7180966113914904</v>
      </c>
      <c r="T40" s="84">
        <f t="shared" si="16"/>
        <v>336.57733698630108</v>
      </c>
      <c r="U40" s="84">
        <f t="shared" si="17"/>
        <v>2452.1928758808663</v>
      </c>
      <c r="V40" s="133">
        <f t="shared" si="14"/>
        <v>2.8980244101781105</v>
      </c>
    </row>
    <row r="41" spans="2:22">
      <c r="B41" s="118">
        <v>19</v>
      </c>
      <c r="E41" s="127">
        <v>13</v>
      </c>
      <c r="G41" s="134">
        <f>'Dane dla CWU'!$H$43/365</f>
        <v>10.319026666666666</v>
      </c>
      <c r="I41" s="84">
        <f t="shared" si="4"/>
        <v>134.14734666666666</v>
      </c>
      <c r="J41" s="84">
        <f t="shared" si="5"/>
        <v>722.33186666666654</v>
      </c>
      <c r="M41" s="84">
        <f>'SCOP 221.A26 ver 2'!EO44</f>
        <v>2.7669552669552644</v>
      </c>
      <c r="T41" s="84">
        <f t="shared" si="16"/>
        <v>371.17970740740708</v>
      </c>
      <c r="U41" s="84">
        <f t="shared" si="17"/>
        <v>2115.6155388945654</v>
      </c>
      <c r="V41" s="133">
        <f t="shared" si="14"/>
        <v>2.9288691756843885</v>
      </c>
    </row>
    <row r="42" spans="2:22">
      <c r="B42" s="118">
        <v>20</v>
      </c>
      <c r="E42" s="127">
        <v>10</v>
      </c>
      <c r="G42" s="134">
        <f>'Dane dla CWU'!$H$43/365</f>
        <v>10.319026666666666</v>
      </c>
      <c r="I42" s="84">
        <f t="shared" si="4"/>
        <v>103.19026666666666</v>
      </c>
      <c r="J42" s="84">
        <f t="shared" si="5"/>
        <v>588.18451999999991</v>
      </c>
      <c r="M42" s="84">
        <f>'SCOP 221.A26 ver 2'!EO45</f>
        <v>2.8158844765342961</v>
      </c>
      <c r="T42" s="84">
        <f t="shared" si="16"/>
        <v>290.57187003610107</v>
      </c>
      <c r="U42" s="84">
        <f t="shared" si="17"/>
        <v>1744.4358314871581</v>
      </c>
      <c r="V42" s="133">
        <f t="shared" si="14"/>
        <v>2.9657969092541885</v>
      </c>
    </row>
    <row r="43" spans="2:22">
      <c r="B43" s="118">
        <v>21</v>
      </c>
      <c r="E43" s="127">
        <v>15</v>
      </c>
      <c r="G43" s="134">
        <f>'Dane dla CWU'!$H$43/365</f>
        <v>10.319026666666666</v>
      </c>
      <c r="I43" s="84">
        <f t="shared" si="4"/>
        <v>154.78539999999998</v>
      </c>
      <c r="J43" s="84">
        <f t="shared" si="5"/>
        <v>484.99425333333329</v>
      </c>
      <c r="M43" s="84">
        <f>'SCOP 221.A26 ver 2'!EO46</f>
        <v>2.880898876404494</v>
      </c>
      <c r="T43" s="84">
        <f t="shared" si="16"/>
        <v>445.92108494382012</v>
      </c>
      <c r="U43" s="84">
        <f t="shared" si="17"/>
        <v>1453.8639614510571</v>
      </c>
      <c r="V43" s="133">
        <f t="shared" si="14"/>
        <v>2.9976931715350164</v>
      </c>
    </row>
    <row r="44" spans="2:22">
      <c r="B44" s="118">
        <v>22</v>
      </c>
      <c r="E44" s="127">
        <v>9</v>
      </c>
      <c r="G44" s="134">
        <f>'Dane dla CWU'!$H$43/365</f>
        <v>10.319026666666666</v>
      </c>
      <c r="I44" s="84">
        <f t="shared" si="4"/>
        <v>92.87124</v>
      </c>
      <c r="J44" s="84">
        <f t="shared" si="5"/>
        <v>330.20885333333331</v>
      </c>
      <c r="M44" s="84">
        <f>'SCOP 221.A26 ver 2'!EO47</f>
        <v>2.9453894359892567</v>
      </c>
      <c r="T44" s="84">
        <f t="shared" si="16"/>
        <v>273.54196920322289</v>
      </c>
      <c r="U44" s="84">
        <f t="shared" si="17"/>
        <v>1007.9428765072371</v>
      </c>
      <c r="V44" s="133">
        <f t="shared" si="14"/>
        <v>3.0524404973774493</v>
      </c>
    </row>
    <row r="45" spans="2:22">
      <c r="B45" s="118">
        <v>23</v>
      </c>
      <c r="E45" s="127">
        <v>9</v>
      </c>
      <c r="G45" s="134">
        <f>'Dane dla CWU'!$H$43/365</f>
        <v>10.319026666666666</v>
      </c>
      <c r="I45" s="84">
        <f t="shared" si="4"/>
        <v>92.87124</v>
      </c>
      <c r="J45" s="84">
        <f t="shared" si="5"/>
        <v>237.33761333333331</v>
      </c>
      <c r="M45" s="84">
        <f>'SCOP 221.A26 ver 2'!EO48</f>
        <v>3.0093624609897458</v>
      </c>
      <c r="T45" s="84">
        <f t="shared" si="16"/>
        <v>279.48322336156934</v>
      </c>
      <c r="U45" s="84">
        <f t="shared" si="17"/>
        <v>734.40090730401414</v>
      </c>
      <c r="V45" s="133">
        <f t="shared" si="14"/>
        <v>3.0943300431380458</v>
      </c>
    </row>
    <row r="46" spans="2:22">
      <c r="B46" s="118">
        <v>24</v>
      </c>
      <c r="E46" s="127">
        <v>3</v>
      </c>
      <c r="G46" s="134">
        <f>'Dane dla CWU'!$H$43/365</f>
        <v>10.319026666666666</v>
      </c>
      <c r="I46" s="84">
        <f t="shared" si="4"/>
        <v>30.957079999999998</v>
      </c>
      <c r="J46" s="84">
        <f t="shared" si="5"/>
        <v>144.46637333333331</v>
      </c>
      <c r="M46" s="84">
        <f>'SCOP 221.A26 ver 2'!EO49</f>
        <v>3.0728241563055065</v>
      </c>
      <c r="T46" s="84">
        <f t="shared" si="16"/>
        <v>95.125663232682058</v>
      </c>
      <c r="U46" s="84">
        <f t="shared" si="17"/>
        <v>454.9176839424448</v>
      </c>
      <c r="V46" s="133">
        <f t="shared" si="14"/>
        <v>3.1489520602333818</v>
      </c>
    </row>
    <row r="47" spans="2:22">
      <c r="B47" s="118">
        <v>25</v>
      </c>
      <c r="E47" s="127">
        <v>7</v>
      </c>
      <c r="G47" s="134">
        <f>'Dane dla CWU'!$H$43/365</f>
        <v>10.319026666666666</v>
      </c>
      <c r="I47" s="84">
        <f t="shared" si="4"/>
        <v>72.233186666666654</v>
      </c>
      <c r="J47" s="84">
        <f t="shared" si="5"/>
        <v>113.50929333333332</v>
      </c>
      <c r="M47" s="84">
        <f>'SCOP 221.A26 ver 2'!EO50</f>
        <v>3.1357806280406901</v>
      </c>
      <c r="T47" s="84">
        <f t="shared" si="16"/>
        <v>226.50742745098037</v>
      </c>
      <c r="U47" s="84">
        <f t="shared" si="17"/>
        <v>359.79202070976271</v>
      </c>
      <c r="V47" s="133">
        <f t="shared" si="14"/>
        <v>3.1697142158500746</v>
      </c>
    </row>
    <row r="48" spans="2:22">
      <c r="B48" s="118">
        <v>26</v>
      </c>
      <c r="E48" s="127">
        <v>3</v>
      </c>
      <c r="G48" s="134">
        <f>'Dane dla CWU'!$H$43/365</f>
        <v>10.319026666666666</v>
      </c>
      <c r="I48" s="84">
        <f t="shared" si="4"/>
        <v>30.957079999999998</v>
      </c>
      <c r="J48" s="84">
        <f t="shared" si="5"/>
        <v>41.276106666666664</v>
      </c>
      <c r="M48" s="84">
        <f>'SCOP 221.A26 ver 2'!EO51</f>
        <v>3.1982378854625555</v>
      </c>
      <c r="T48" s="84">
        <f t="shared" si="16"/>
        <v>99.00810607929516</v>
      </c>
      <c r="U48" s="84">
        <f t="shared" si="17"/>
        <v>133.28459325878234</v>
      </c>
      <c r="V48" s="133">
        <f t="shared" si="14"/>
        <v>3.229097994516497</v>
      </c>
    </row>
    <row r="49" spans="2:22">
      <c r="B49" s="118">
        <v>27</v>
      </c>
      <c r="E49" s="127">
        <v>0</v>
      </c>
      <c r="G49" s="134">
        <f>'Dane dla CWU'!$H$43/365</f>
        <v>10.319026666666666</v>
      </c>
      <c r="I49" s="84">
        <f t="shared" si="4"/>
        <v>0</v>
      </c>
      <c r="J49" s="84">
        <f>I49+J50</f>
        <v>10.319026666666666</v>
      </c>
      <c r="M49" s="84">
        <f>'SCOP 221.A26 ver 2'!EO52</f>
        <v>3.2602018429135593</v>
      </c>
      <c r="T49" s="84">
        <f t="shared" si="16"/>
        <v>0</v>
      </c>
      <c r="U49" s="84">
        <f t="shared" si="17"/>
        <v>34.276487179487177</v>
      </c>
      <c r="V49" s="133">
        <f t="shared" si="14"/>
        <v>3.3216783216783217</v>
      </c>
    </row>
    <row r="50" spans="2:22">
      <c r="B50" s="118">
        <v>28</v>
      </c>
      <c r="E50" s="127">
        <v>1</v>
      </c>
      <c r="G50" s="134">
        <f>'Dane dla CWU'!$H$43/365</f>
        <v>10.319026666666666</v>
      </c>
      <c r="I50" s="84">
        <f>E50*G50</f>
        <v>10.319026666666666</v>
      </c>
      <c r="J50" s="84">
        <f>I50</f>
        <v>10.319026666666666</v>
      </c>
      <c r="M50" s="84">
        <f>'SCOP 221.A26 ver 2'!EO53</f>
        <v>3.3216783216783217</v>
      </c>
      <c r="T50" s="84">
        <f t="shared" si="16"/>
        <v>34.276487179487177</v>
      </c>
      <c r="U50" s="84">
        <f>T50</f>
        <v>34.276487179487177</v>
      </c>
      <c r="V50" s="133">
        <f t="shared" si="14"/>
        <v>3.3216783216783217</v>
      </c>
    </row>
    <row r="51" spans="2:22">
      <c r="T51" s="84"/>
    </row>
  </sheetData>
  <sheetProtection algorithmName="SHA-512" hashValue="H1skJ+clvb3m7QEFoSSXsdWdRM2vsu7rA/1TLxJp2RDFBllR3Wx7IGjz4TcaaYr2iskT3a6gUGm1VcBn0b1baw==" saltValue="dbeceyhpWcCU0Fw6pgB7EA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FJ367"/>
  <sheetViews>
    <sheetView topLeftCell="EI1" zoomScale="70" zoomScaleNormal="70" workbookViewId="0">
      <selection activeCell="FG7" sqref="FG7"/>
    </sheetView>
  </sheetViews>
  <sheetFormatPr defaultRowHeight="13.8"/>
  <cols>
    <col min="2" max="2" width="7.234375" bestFit="1" customWidth="1"/>
    <col min="3" max="3" width="3.6171875" bestFit="1" customWidth="1"/>
    <col min="4" max="7" width="11.85546875" bestFit="1" customWidth="1"/>
    <col min="8" max="8" width="9.76171875" bestFit="1" customWidth="1"/>
    <col min="9" max="9" width="11.85546875" bestFit="1" customWidth="1"/>
    <col min="10" max="10" width="10.85546875" bestFit="1" customWidth="1"/>
    <col min="11" max="11" width="11.85546875" bestFit="1" customWidth="1"/>
    <col min="12" max="12" width="1.6171875" style="49" customWidth="1"/>
    <col min="13" max="13" width="7.140625" customWidth="1"/>
    <col min="14" max="14" width="3.6171875" bestFit="1" customWidth="1"/>
    <col min="15" max="15" width="6.47265625" bestFit="1" customWidth="1"/>
    <col min="16" max="16" width="9.76171875" bestFit="1" customWidth="1"/>
    <col min="17" max="18" width="8.76171875" bestFit="1" customWidth="1"/>
    <col min="19" max="22" width="8.76171875" customWidth="1"/>
    <col min="23" max="23" width="1.6171875" style="49" customWidth="1"/>
    <col min="24" max="24" width="7.140625" bestFit="1" customWidth="1"/>
    <col min="25" max="25" width="3.140625" bestFit="1" customWidth="1"/>
    <col min="26" max="26" width="6.47265625" bestFit="1" customWidth="1"/>
    <col min="27" max="27" width="13" bestFit="1" customWidth="1"/>
    <col min="28" max="28" width="8.76171875" bestFit="1" customWidth="1"/>
    <col min="29" max="29" width="6.37890625" bestFit="1" customWidth="1"/>
    <col min="30" max="33" width="6.37890625" customWidth="1"/>
    <col min="34" max="34" width="1.6171875" style="49" customWidth="1"/>
    <col min="35" max="35" width="8.140625" bestFit="1" customWidth="1"/>
    <col min="36" max="36" width="3.140625" bestFit="1" customWidth="1"/>
    <col min="37" max="37" width="7.140625" bestFit="1" customWidth="1"/>
    <col min="38" max="38" width="13.47265625" bestFit="1" customWidth="1"/>
    <col min="39" max="39" width="8.76171875" bestFit="1" customWidth="1"/>
    <col min="40" max="40" width="4.76171875" customWidth="1"/>
    <col min="41" max="41" width="9.76171875" bestFit="1" customWidth="1"/>
    <col min="42" max="42" width="10.47265625" bestFit="1" customWidth="1"/>
    <col min="43" max="44" width="8" customWidth="1"/>
    <col min="45" max="45" width="1.6171875" style="49" customWidth="1"/>
    <col min="46" max="46" width="4.140625" bestFit="1" customWidth="1"/>
    <col min="47" max="47" width="3.140625" bestFit="1" customWidth="1"/>
    <col min="48" max="48" width="7.140625" bestFit="1" customWidth="1"/>
    <col min="49" max="49" width="13.47265625" bestFit="1" customWidth="1"/>
    <col min="50" max="51" width="3.140625" customWidth="1"/>
    <col min="52" max="52" width="1.6171875" style="49" customWidth="1"/>
    <col min="53" max="53" width="8.234375" bestFit="1" customWidth="1"/>
    <col min="54" max="54" width="3.140625" bestFit="1" customWidth="1"/>
    <col min="55" max="55" width="7.140625" bestFit="1" customWidth="1"/>
    <col min="56" max="56" width="13.47265625" bestFit="1" customWidth="1"/>
    <col min="57" max="58" width="3.140625" customWidth="1"/>
    <col min="59" max="59" width="1.76171875" style="49" customWidth="1"/>
    <col min="60" max="60" width="5.234375" bestFit="1" customWidth="1"/>
    <col min="61" max="61" width="3.140625" bestFit="1" customWidth="1"/>
    <col min="62" max="62" width="7.140625" bestFit="1" customWidth="1"/>
    <col min="63" max="63" width="13.47265625" bestFit="1" customWidth="1"/>
    <col min="64" max="65" width="3.140625" customWidth="1"/>
    <col min="66" max="66" width="1.6171875" style="49" customWidth="1"/>
    <col min="67" max="67" width="7.6171875" bestFit="1" customWidth="1"/>
    <col min="68" max="68" width="3.140625" bestFit="1" customWidth="1"/>
    <col min="69" max="69" width="7.140625" bestFit="1" customWidth="1"/>
    <col min="70" max="70" width="13.47265625" bestFit="1" customWidth="1"/>
    <col min="71" max="71" width="2.76171875" customWidth="1"/>
    <col min="72" max="72" width="3.140625" customWidth="1"/>
    <col min="73" max="73" width="1.6171875" style="49" customWidth="1"/>
    <col min="74" max="74" width="8.234375" bestFit="1" customWidth="1"/>
    <col min="75" max="75" width="3.140625" bestFit="1" customWidth="1"/>
    <col min="76" max="77" width="13.47265625" bestFit="1" customWidth="1"/>
    <col min="78" max="78" width="8.76171875" bestFit="1" customWidth="1"/>
    <col min="79" max="79" width="6.37890625" bestFit="1" customWidth="1"/>
    <col min="80" max="83" width="6.37890625" customWidth="1"/>
    <col min="84" max="84" width="1.6171875" style="49" customWidth="1"/>
    <col min="85" max="85" width="10.140625" bestFit="1" customWidth="1"/>
    <col min="86" max="86" width="3.140625" bestFit="1" customWidth="1"/>
    <col min="87" max="87" width="7.140625" bestFit="1" customWidth="1"/>
    <col min="88" max="88" width="13.47265625" bestFit="1" customWidth="1"/>
    <col min="89" max="89" width="8.76171875" bestFit="1" customWidth="1"/>
    <col min="90" max="90" width="6.37890625" bestFit="1" customWidth="1"/>
    <col min="91" max="94" width="6.37890625" customWidth="1"/>
    <col min="95" max="95" width="1.6171875" style="49" customWidth="1"/>
    <col min="96" max="96" width="7.47265625" bestFit="1" customWidth="1"/>
    <col min="97" max="97" width="3.140625" bestFit="1" customWidth="1"/>
    <col min="98" max="98" width="6.47265625" bestFit="1" customWidth="1"/>
    <col min="99" max="99" width="13" bestFit="1" customWidth="1"/>
    <col min="100" max="100" width="9.76171875" bestFit="1" customWidth="1"/>
    <col min="101" max="101" width="6.37890625" bestFit="1" customWidth="1"/>
    <col min="102" max="105" width="6.37890625" customWidth="1"/>
    <col min="106" max="106" width="1.6171875" style="49" customWidth="1"/>
    <col min="107" max="107" width="7.85546875" bestFit="1" customWidth="1"/>
    <col min="108" max="108" width="3.6171875" bestFit="1" customWidth="1"/>
    <col min="109" max="109" width="6.47265625" bestFit="1" customWidth="1"/>
    <col min="110" max="110" width="13" bestFit="1" customWidth="1"/>
    <col min="111" max="111" width="8.76171875" bestFit="1" customWidth="1"/>
    <col min="112" max="114" width="7.37890625" customWidth="1"/>
    <col min="117" max="117" width="9" style="49"/>
    <col min="118" max="118" width="9" style="101"/>
    <col min="121" max="121" width="9" style="51"/>
    <col min="132" max="132" width="4.234375" customWidth="1"/>
    <col min="133" max="133" width="16" bestFit="1" customWidth="1"/>
    <col min="134" max="134" width="13.140625" customWidth="1"/>
    <col min="135" max="135" width="6" customWidth="1"/>
    <col min="136" max="136" width="16" bestFit="1" customWidth="1"/>
    <col min="137" max="137" width="13.140625" customWidth="1"/>
    <col min="141" max="141" width="10.140625" bestFit="1" customWidth="1"/>
    <col min="146" max="146" width="4.234375" customWidth="1"/>
    <col min="147" max="147" width="16" bestFit="1" customWidth="1"/>
    <col min="148" max="148" width="13.140625" customWidth="1"/>
    <col min="160" max="160" width="12.6171875" bestFit="1" customWidth="1"/>
    <col min="161" max="161" width="9.85546875" customWidth="1"/>
    <col min="164" max="164" width="11.140625" customWidth="1"/>
    <col min="165" max="165" width="11.76171875" customWidth="1"/>
    <col min="166" max="166" width="10.85546875" customWidth="1"/>
  </cols>
  <sheetData>
    <row r="1" spans="1:16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M1" s="53">
        <v>2012</v>
      </c>
      <c r="DQ1" s="51" t="s">
        <v>121</v>
      </c>
      <c r="DR1" s="167" t="s">
        <v>182</v>
      </c>
      <c r="DS1" s="167"/>
      <c r="DT1" s="167"/>
      <c r="DU1" s="167"/>
      <c r="DV1" s="165" t="s">
        <v>39</v>
      </c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I1" s="167" t="s">
        <v>124</v>
      </c>
      <c r="EJ1" s="167"/>
      <c r="EK1" s="167"/>
      <c r="EL1" s="167"/>
      <c r="EM1" s="167"/>
      <c r="EN1" s="165" t="s">
        <v>180</v>
      </c>
      <c r="EO1" s="165"/>
      <c r="EP1" s="165"/>
      <c r="EQ1" s="165"/>
      <c r="ER1" s="165"/>
    </row>
    <row r="2" spans="1:166" ht="14.25" customHeight="1">
      <c r="A2" s="162" t="s">
        <v>107</v>
      </c>
      <c r="B2" t="s">
        <v>108</v>
      </c>
      <c r="C2" t="s">
        <v>109</v>
      </c>
      <c r="D2" t="s">
        <v>231</v>
      </c>
      <c r="E2" t="s">
        <v>229</v>
      </c>
      <c r="F2" t="s">
        <v>222</v>
      </c>
      <c r="G2" t="s">
        <v>230</v>
      </c>
      <c r="H2" t="s">
        <v>237</v>
      </c>
      <c r="I2" t="s">
        <v>240</v>
      </c>
      <c r="J2" t="s">
        <v>222</v>
      </c>
      <c r="K2" t="s">
        <v>230</v>
      </c>
      <c r="M2" t="s">
        <v>110</v>
      </c>
      <c r="N2" t="s">
        <v>109</v>
      </c>
      <c r="O2" t="s">
        <v>231</v>
      </c>
      <c r="P2" t="s">
        <v>229</v>
      </c>
      <c r="Q2" t="s">
        <v>222</v>
      </c>
      <c r="R2" t="s">
        <v>230</v>
      </c>
      <c r="S2" t="s">
        <v>237</v>
      </c>
      <c r="T2" t="s">
        <v>240</v>
      </c>
      <c r="U2" t="s">
        <v>222</v>
      </c>
      <c r="V2" t="s">
        <v>230</v>
      </c>
      <c r="X2" t="s">
        <v>111</v>
      </c>
      <c r="Y2" t="s">
        <v>109</v>
      </c>
      <c r="Z2" t="s">
        <v>231</v>
      </c>
      <c r="AA2" t="s">
        <v>229</v>
      </c>
      <c r="AB2" t="s">
        <v>222</v>
      </c>
      <c r="AC2" t="s">
        <v>230</v>
      </c>
      <c r="AD2" t="s">
        <v>237</v>
      </c>
      <c r="AE2" t="s">
        <v>240</v>
      </c>
      <c r="AF2" t="s">
        <v>222</v>
      </c>
      <c r="AG2" t="s">
        <v>230</v>
      </c>
      <c r="AI2" t="s">
        <v>112</v>
      </c>
      <c r="AJ2" t="s">
        <v>109</v>
      </c>
      <c r="AK2" t="s">
        <v>231</v>
      </c>
      <c r="AL2" t="s">
        <v>229</v>
      </c>
      <c r="AM2" t="s">
        <v>222</v>
      </c>
      <c r="AN2" t="s">
        <v>230</v>
      </c>
      <c r="AO2" t="s">
        <v>237</v>
      </c>
      <c r="AP2" t="s">
        <v>240</v>
      </c>
      <c r="AQ2" t="s">
        <v>222</v>
      </c>
      <c r="AR2" t="s">
        <v>230</v>
      </c>
      <c r="AT2" t="s">
        <v>113</v>
      </c>
      <c r="AU2" t="s">
        <v>109</v>
      </c>
      <c r="BA2" t="s">
        <v>114</v>
      </c>
      <c r="BB2" t="s">
        <v>109</v>
      </c>
      <c r="BH2" t="s">
        <v>115</v>
      </c>
      <c r="BI2" t="s">
        <v>109</v>
      </c>
      <c r="BO2" t="s">
        <v>116</v>
      </c>
      <c r="BP2" t="s">
        <v>109</v>
      </c>
      <c r="BV2" t="s">
        <v>117</v>
      </c>
      <c r="BW2" t="s">
        <v>109</v>
      </c>
      <c r="BX2" t="s">
        <v>231</v>
      </c>
      <c r="BY2" t="s">
        <v>229</v>
      </c>
      <c r="BZ2" t="s">
        <v>222</v>
      </c>
      <c r="CA2" t="s">
        <v>230</v>
      </c>
      <c r="CB2" t="s">
        <v>237</v>
      </c>
      <c r="CC2" t="s">
        <v>240</v>
      </c>
      <c r="CD2" t="s">
        <v>222</v>
      </c>
      <c r="CE2" t="s">
        <v>230</v>
      </c>
      <c r="CG2" t="s">
        <v>118</v>
      </c>
      <c r="CH2" t="s">
        <v>109</v>
      </c>
      <c r="CI2" t="s">
        <v>231</v>
      </c>
      <c r="CJ2" t="s">
        <v>229</v>
      </c>
      <c r="CK2" t="s">
        <v>222</v>
      </c>
      <c r="CL2" t="s">
        <v>230</v>
      </c>
      <c r="CM2" t="s">
        <v>237</v>
      </c>
      <c r="CN2" t="s">
        <v>240</v>
      </c>
      <c r="CO2" t="s">
        <v>222</v>
      </c>
      <c r="CP2" t="s">
        <v>230</v>
      </c>
      <c r="CR2" t="s">
        <v>119</v>
      </c>
      <c r="CS2" t="s">
        <v>109</v>
      </c>
      <c r="CT2" t="s">
        <v>231</v>
      </c>
      <c r="CU2" t="s">
        <v>229</v>
      </c>
      <c r="CV2" t="s">
        <v>222</v>
      </c>
      <c r="CW2" t="s">
        <v>230</v>
      </c>
      <c r="CX2" t="s">
        <v>237</v>
      </c>
      <c r="CY2" t="s">
        <v>240</v>
      </c>
      <c r="CZ2" t="s">
        <v>222</v>
      </c>
      <c r="DA2" t="s">
        <v>230</v>
      </c>
      <c r="DC2" t="s">
        <v>120</v>
      </c>
      <c r="DD2" t="s">
        <v>109</v>
      </c>
      <c r="DE2" t="s">
        <v>231</v>
      </c>
      <c r="DF2" t="s">
        <v>229</v>
      </c>
      <c r="DG2" t="s">
        <v>222</v>
      </c>
      <c r="DH2" t="s">
        <v>230</v>
      </c>
      <c r="DI2" t="s">
        <v>237</v>
      </c>
      <c r="DJ2" t="s">
        <v>240</v>
      </c>
      <c r="DK2" t="s">
        <v>222</v>
      </c>
      <c r="DL2" t="s">
        <v>230</v>
      </c>
      <c r="DM2" s="49">
        <v>-18</v>
      </c>
      <c r="DQ2" s="51">
        <v>-18</v>
      </c>
      <c r="DR2" s="50" t="s">
        <v>122</v>
      </c>
      <c r="DS2" s="50" t="s">
        <v>123</v>
      </c>
      <c r="DT2" s="87">
        <v>55</v>
      </c>
      <c r="DU2" s="88">
        <v>35</v>
      </c>
      <c r="DV2" s="97">
        <v>55</v>
      </c>
      <c r="DW2" s="97">
        <v>55</v>
      </c>
      <c r="DX2" s="97">
        <v>55</v>
      </c>
      <c r="DY2" s="98">
        <v>35</v>
      </c>
      <c r="DZ2" s="98">
        <v>35</v>
      </c>
      <c r="EA2" s="98">
        <v>35</v>
      </c>
      <c r="EB2" s="97">
        <v>55</v>
      </c>
      <c r="EC2" s="97">
        <v>55</v>
      </c>
      <c r="ED2" s="97">
        <v>55</v>
      </c>
      <c r="EE2" s="98">
        <v>35</v>
      </c>
      <c r="EF2" s="98">
        <v>35</v>
      </c>
      <c r="EG2" s="98">
        <v>35</v>
      </c>
      <c r="EI2" s="100" t="s">
        <v>122</v>
      </c>
      <c r="EJ2" s="100"/>
      <c r="EK2" s="100" t="s">
        <v>123</v>
      </c>
      <c r="EL2" s="97">
        <v>55</v>
      </c>
      <c r="EM2" s="97">
        <v>55</v>
      </c>
      <c r="EN2" s="97">
        <v>55</v>
      </c>
      <c r="EO2" s="97">
        <v>55</v>
      </c>
      <c r="EP2" s="97">
        <v>55</v>
      </c>
      <c r="EQ2" s="97">
        <v>55</v>
      </c>
      <c r="ER2" s="97">
        <v>55</v>
      </c>
      <c r="FA2" t="s">
        <v>179</v>
      </c>
      <c r="FB2" t="s">
        <v>179</v>
      </c>
      <c r="FC2" t="s">
        <v>188</v>
      </c>
      <c r="FD2" t="s">
        <v>190</v>
      </c>
      <c r="FE2" t="s">
        <v>134</v>
      </c>
      <c r="FF2" t="s">
        <v>191</v>
      </c>
      <c r="FG2" t="s">
        <v>61</v>
      </c>
      <c r="FH2" t="s">
        <v>83</v>
      </c>
      <c r="FI2" t="s">
        <v>189</v>
      </c>
      <c r="FJ2" t="s">
        <v>192</v>
      </c>
    </row>
    <row r="3" spans="1:166" ht="14.1">
      <c r="A3" s="162"/>
      <c r="B3">
        <v>1</v>
      </c>
      <c r="C3">
        <v>1</v>
      </c>
      <c r="D3" s="84">
        <f>(C3*'Dane dla CO'!$T$53+'Dane dla CO'!$V$53)/(C3*'Dane dla CO'!$P$35+'Dane dla CO'!$Q$35)</f>
        <v>2.2523148148148144</v>
      </c>
      <c r="E3" s="84">
        <f>C3*'Dane dla CO'!$N$96+'Dane dla CO'!$N$97</f>
        <v>108.00000000000001</v>
      </c>
      <c r="F3" s="84">
        <f>IF(C3&lt;'Dane dla CO'!$R$67,0,IF(D3&gt;1,E3,D3*E3))</f>
        <v>108.00000000000001</v>
      </c>
      <c r="G3" s="84">
        <f>E3-F3</f>
        <v>0</v>
      </c>
      <c r="H3" s="84">
        <f>(C3*'Dane dla CWU'!$T$53+'Dane dla CWU'!$V$53)/(C3*'Dane dla CO'!$P$35+'Dane dla CO'!$Q$35)</f>
        <v>2.2245370370370372</v>
      </c>
      <c r="I3" s="84">
        <f>$E$42/365</f>
        <v>10.319026666666666</v>
      </c>
      <c r="J3" s="84">
        <f>IF(C3&lt;'Dane dla CWU'!$R$67,0,IF(H3&gt;1,I3,H3*I3))</f>
        <v>0</v>
      </c>
      <c r="K3" s="84">
        <f>I3-J3</f>
        <v>10.319026666666666</v>
      </c>
      <c r="M3">
        <v>1</v>
      </c>
      <c r="N3">
        <v>-14</v>
      </c>
      <c r="O3" s="84">
        <f>(N3*'Dane dla CO'!$T$53+'Dane dla CO'!$V$53)/(N3*'Dane dla CO'!$P$35+'Dane dla CO'!$Q$35)</f>
        <v>0.80131505427841609</v>
      </c>
      <c r="P3" s="84">
        <f>N3*'Dane dla CO'!$N$96+'Dane dla CO'!$N$97</f>
        <v>216.00000000000003</v>
      </c>
      <c r="Q3" s="84">
        <f>IF(N3&lt;'Dane dla CO'!$R$67,0,IF(O3&gt;1,P3,O3*P3))</f>
        <v>0</v>
      </c>
      <c r="R3" s="84">
        <f>P3-Q3</f>
        <v>216.00000000000003</v>
      </c>
      <c r="S3" s="84">
        <f>(N3*'Dane dla CWU'!$T$53+'Dane dla CWU'!$V$53)/(N3*'Dane dla CO'!$P$35+'Dane dla CO'!$Q$35)</f>
        <v>0.72818885696040847</v>
      </c>
      <c r="T3" s="84">
        <f>$E$42/365</f>
        <v>10.319026666666666</v>
      </c>
      <c r="U3" s="84">
        <f>IF(N3&lt;'Dane dla CWU'!$R$67,0,IF(S3&gt;1,T3,S3*T3))</f>
        <v>0</v>
      </c>
      <c r="V3" s="84">
        <f>T3-U3</f>
        <v>10.319026666666666</v>
      </c>
      <c r="X3">
        <v>1</v>
      </c>
      <c r="Y3">
        <v>7</v>
      </c>
      <c r="Z3" s="84">
        <f>(Y3*'Dane dla CO'!$T$53+'Dane dla CO'!$V$53)/(Y3*'Dane dla CO'!$P$35+'Dane dla CO'!$Q$35)</f>
        <v>4.3562644675925926</v>
      </c>
      <c r="AA3" s="84">
        <f>Y3*'Dane dla CO'!$N$96+'Dane dla CO'!$N$97</f>
        <v>64.800000000000011</v>
      </c>
      <c r="AB3" s="84">
        <f>IF(Y3&lt;'Dane dla CO'!$R$67,0,IF(Z3&gt;1,AA3,Z3*AA3))</f>
        <v>64.800000000000011</v>
      </c>
      <c r="AC3" s="84">
        <f>AA3-AB3</f>
        <v>0</v>
      </c>
      <c r="AD3" s="84">
        <f>(Y3*'Dane dla CWU'!$T$53+'Dane dla CWU'!$V$53)/(Y3*'Dane dla CO'!$P$35+'Dane dla CO'!$Q$35)</f>
        <v>4.3942418981481479</v>
      </c>
      <c r="AE3" s="84">
        <f>$E$42/365</f>
        <v>10.319026666666666</v>
      </c>
      <c r="AF3" s="84">
        <f>IF(Y3&lt;'Dane dla CWU'!$R$67,0,IF(AD3&gt;1,AE3,AD3*AE3))</f>
        <v>10.319026666666666</v>
      </c>
      <c r="AG3" s="84">
        <f>AE3-AF3</f>
        <v>0</v>
      </c>
      <c r="AI3">
        <v>1</v>
      </c>
      <c r="AJ3">
        <v>3</v>
      </c>
      <c r="AK3" s="84">
        <f>(AJ3*'Dane dla CO'!$T$53+'Dane dla CO'!$V$53)/(AJ3*'Dane dla CO'!$P$35+'Dane dla CO'!$Q$35)</f>
        <v>2.719859182098765</v>
      </c>
      <c r="AL3" s="84">
        <f>AJ3*'Dane dla CO'!$N$96+'Dane dla CO'!$N$97</f>
        <v>93.600000000000023</v>
      </c>
      <c r="AM3" s="84">
        <f>IF(AJ3&lt;'Dane dla CO'!$R$67,0,IF(AK3&gt;1,AL3,AK3*AL3))</f>
        <v>93.600000000000023</v>
      </c>
      <c r="AN3" s="84">
        <f>AL3-AM3</f>
        <v>0</v>
      </c>
      <c r="AO3" s="84">
        <f>(AJ3*'Dane dla CWU'!$T$53+'Dane dla CWU'!$V$53)/(AJ3*'Dane dla CO'!$P$35+'Dane dla CO'!$Q$35)</f>
        <v>2.7066936728395059</v>
      </c>
      <c r="AP3" s="84">
        <f>$E$42/365</f>
        <v>10.319026666666666</v>
      </c>
      <c r="AQ3" s="84">
        <f>IF(AJ3&lt;'Dane dla CWU'!$R$67,0,IF(AO3&gt;1,AP3,AO3*AP3))</f>
        <v>10.319026666666666</v>
      </c>
      <c r="AR3" s="84">
        <f>AP3-AQ3</f>
        <v>0</v>
      </c>
      <c r="AT3">
        <v>1</v>
      </c>
      <c r="AU3">
        <v>21</v>
      </c>
      <c r="BA3">
        <v>1</v>
      </c>
      <c r="BB3">
        <v>14</v>
      </c>
      <c r="BH3">
        <v>1</v>
      </c>
      <c r="BI3">
        <v>28</v>
      </c>
      <c r="BO3">
        <v>1</v>
      </c>
      <c r="BP3">
        <v>21</v>
      </c>
      <c r="BV3">
        <v>1</v>
      </c>
      <c r="BW3">
        <v>17</v>
      </c>
      <c r="CB3" s="84"/>
      <c r="CC3" s="84">
        <f>$E$42/365</f>
        <v>10.319026666666666</v>
      </c>
      <c r="CD3" s="84">
        <f>CC3</f>
        <v>10.319026666666666</v>
      </c>
      <c r="CE3" s="84">
        <f>CC3-CD3</f>
        <v>0</v>
      </c>
      <c r="CG3">
        <v>1</v>
      </c>
      <c r="CH3">
        <v>11</v>
      </c>
      <c r="CI3" s="84">
        <f>(CH3*'Dane dla CO'!$T$53+'Dane dla CO'!$V$53)/(CH3*'Dane dla CO'!$P$35+'Dane dla CO'!$Q$35)</f>
        <v>9.2654803240740726</v>
      </c>
      <c r="CJ3" s="84">
        <f>CH3*'Dane dla CO'!$N$96+'Dane dla CO'!$N$97</f>
        <v>36</v>
      </c>
      <c r="CK3" s="84">
        <f>IF(CH3&lt;'Dane dla CO'!$R$67,0,IF(CI3&gt;1,CJ3,CI3*CJ3))</f>
        <v>36</v>
      </c>
      <c r="CL3" s="84">
        <f t="shared" ref="CL3" si="0">CJ3-CK3</f>
        <v>0</v>
      </c>
      <c r="CM3" s="84">
        <f>(CH3*'Dane dla CWU'!$T$53+'Dane dla CWU'!$V$53)/(CH3*'Dane dla CO'!$P$35+'Dane dla CO'!$Q$35)</f>
        <v>9.4568865740740744</v>
      </c>
      <c r="CN3" s="84">
        <f t="shared" ref="CN3:CN33" si="1">$E$42/365</f>
        <v>10.319026666666666</v>
      </c>
      <c r="CO3" s="84">
        <f>IF(CH3&lt;'Dane dla CWU'!$R$67,0,IF(CM3&gt;1,CN3,CM3*CN3))</f>
        <v>10.319026666666666</v>
      </c>
      <c r="CP3" s="84">
        <f t="shared" ref="CP3" si="2">CN3-CO3</f>
        <v>0</v>
      </c>
      <c r="CR3">
        <v>1</v>
      </c>
      <c r="CS3">
        <v>3</v>
      </c>
      <c r="CT3" s="84">
        <f>(CS3*'Dane dla CO'!$T$53+'Dane dla CO'!$V$53)/(CS3*'Dane dla CO'!$P$35+'Dane dla CO'!$Q$35)</f>
        <v>2.719859182098765</v>
      </c>
      <c r="CU3" s="84">
        <f>CS3*'Dane dla CO'!$N$96+'Dane dla CO'!$N$97</f>
        <v>93.600000000000023</v>
      </c>
      <c r="CV3" s="84">
        <f>IF(CS3&lt;'Dane dla CO'!$R$67,0,IF(CT3&gt;1,CU3,CT3*CU3))</f>
        <v>93.600000000000023</v>
      </c>
      <c r="CW3" s="84">
        <f t="shared" ref="CW3" si="3">CU3-CV3</f>
        <v>0</v>
      </c>
      <c r="CX3" s="84">
        <f>(CS3*'Dane dla CWU'!$T$53+'Dane dla CWU'!$V$53)/(CS3*'Dane dla CO'!$P$35+'Dane dla CO'!$Q$35)</f>
        <v>2.7066936728395059</v>
      </c>
      <c r="CY3" s="84">
        <f t="shared" ref="CY3:CY32" si="4">$E$42/365</f>
        <v>10.319026666666666</v>
      </c>
      <c r="CZ3" s="84">
        <f>IF(CS3&lt;'Dane dla CWU'!$R$67,0,IF(CX3&gt;1,CY3,CX3*CY3))</f>
        <v>10.319026666666666</v>
      </c>
      <c r="DA3" s="84">
        <f t="shared" ref="DA3" si="5">CY3-CZ3</f>
        <v>0</v>
      </c>
      <c r="DC3">
        <v>1</v>
      </c>
      <c r="DD3">
        <v>1</v>
      </c>
      <c r="DE3" s="84">
        <f>(DD3*'Dane dla CO'!$T$53+'Dane dla CO'!$V$53)/(DD3*'Dane dla CO'!$P$35+'Dane dla CO'!$Q$35)</f>
        <v>2.2523148148148144</v>
      </c>
      <c r="DF3" s="84">
        <f>DD3*'Dane dla CO'!$N$96+'Dane dla CO'!$N$97</f>
        <v>108.00000000000001</v>
      </c>
      <c r="DG3" s="84">
        <f>IF(DD3&lt;'Dane dla CO'!$R$67,0,IF(DE3&gt;1,DF3,DE3*DF3))</f>
        <v>108.00000000000001</v>
      </c>
      <c r="DH3" s="84">
        <f t="shared" ref="DH3" si="6">DF3-DG3</f>
        <v>0</v>
      </c>
      <c r="DI3" s="84">
        <f>(DD3*'Dane dla CWU'!$T$53+'Dane dla CWU'!$V$53)/(DD3*'Dane dla CO'!$P$35+'Dane dla CO'!$Q$35)</f>
        <v>2.2245370370370372</v>
      </c>
      <c r="DJ3" s="84">
        <f t="shared" ref="DJ3:DJ33" si="7">$E$42/365</f>
        <v>10.319026666666666</v>
      </c>
      <c r="DK3" s="84">
        <f>IF(DD3&lt;'Dane dla CWU'!$R$67,0,IF(DI3&gt;1,DJ3,DI3*DJ3))</f>
        <v>0</v>
      </c>
      <c r="DL3" s="84">
        <f t="shared" ref="DL3" si="8">DJ3-DK3</f>
        <v>10.319026666666666</v>
      </c>
      <c r="DM3" s="49">
        <v>-16</v>
      </c>
      <c r="DN3" s="101" t="s">
        <v>61</v>
      </c>
      <c r="DO3" t="s">
        <v>57</v>
      </c>
      <c r="DP3" t="s">
        <v>61</v>
      </c>
      <c r="DQ3" s="51">
        <v>-16</v>
      </c>
      <c r="DR3" s="91"/>
      <c r="DS3" s="91"/>
      <c r="DT3" s="163" t="s">
        <v>156</v>
      </c>
      <c r="DU3" s="164"/>
      <c r="DV3" s="91" t="s">
        <v>177</v>
      </c>
      <c r="DW3" s="91" t="s">
        <v>178</v>
      </c>
      <c r="DX3" s="91" t="s">
        <v>155</v>
      </c>
      <c r="DY3" s="91" t="s">
        <v>177</v>
      </c>
      <c r="DZ3" s="91" t="s">
        <v>178</v>
      </c>
      <c r="EA3" s="91" t="s">
        <v>155</v>
      </c>
      <c r="EB3" s="93" t="s">
        <v>122</v>
      </c>
      <c r="EC3" s="91" t="s">
        <v>181</v>
      </c>
      <c r="ED3" s="91" t="s">
        <v>179</v>
      </c>
      <c r="EE3" s="93" t="s">
        <v>122</v>
      </c>
      <c r="EF3" s="91" t="s">
        <v>181</v>
      </c>
      <c r="EG3" s="91" t="s">
        <v>179</v>
      </c>
      <c r="EI3" s="91"/>
      <c r="EJ3" s="91"/>
      <c r="EK3" s="91"/>
      <c r="EL3" s="116" t="s">
        <v>156</v>
      </c>
      <c r="EM3" s="91" t="s">
        <v>177</v>
      </c>
      <c r="EN3" s="91" t="s">
        <v>178</v>
      </c>
      <c r="EO3" s="91" t="s">
        <v>155</v>
      </c>
      <c r="EP3" s="93" t="s">
        <v>122</v>
      </c>
      <c r="EQ3" s="91" t="s">
        <v>181</v>
      </c>
      <c r="ER3" s="91" t="s">
        <v>179</v>
      </c>
      <c r="EV3" s="166" t="s">
        <v>76</v>
      </c>
      <c r="EW3" s="66" t="s">
        <v>143</v>
      </c>
      <c r="EX3" s="1"/>
      <c r="EY3" s="1"/>
      <c r="EZ3" s="102">
        <f>ROUND('Dane dla CO'!R54,0)</f>
        <v>-10</v>
      </c>
      <c r="FA3" s="84">
        <f>FB57</f>
        <v>3.804935485604561</v>
      </c>
      <c r="FB3" s="84">
        <f>IF(Dobór!$M$18="Ogrzewanie podłogowe 35/28",FA3,FA3/1.05)</f>
        <v>3.6237480815281531</v>
      </c>
      <c r="FC3">
        <f>DT42-FF3</f>
        <v>207</v>
      </c>
      <c r="FD3">
        <f>(Dobór!P27*2000)*FC3/(FC3+FF3)+FB47</f>
        <v>20315.482309876545</v>
      </c>
      <c r="FE3">
        <f>FD3/FB3*'Dane dla CO'!C56</f>
        <v>3419.7863455780666</v>
      </c>
      <c r="FF3">
        <f>FF57</f>
        <v>18</v>
      </c>
      <c r="FG3">
        <f>Dobór!P27*2000-FD3</f>
        <v>1284.5176901234554</v>
      </c>
      <c r="FH3">
        <f>FG3*'Dane dla CO'!G54</f>
        <v>359.66495323456752</v>
      </c>
      <c r="FI3" s="103">
        <f>FH3+FE3</f>
        <v>3779.4512988126344</v>
      </c>
    </row>
    <row r="4" spans="1:166" ht="14.1">
      <c r="A4" s="162"/>
      <c r="B4">
        <v>2</v>
      </c>
      <c r="C4">
        <v>7</v>
      </c>
      <c r="D4" s="84">
        <f>(C4*'Dane dla CO'!$T$53+'Dane dla CO'!$V$53)/(C4*'Dane dla CO'!$P$35+'Dane dla CO'!$Q$35)</f>
        <v>4.3562644675925926</v>
      </c>
      <c r="E4" s="84">
        <f>C4*'Dane dla CO'!$N$96+'Dane dla CO'!$N$97</f>
        <v>64.800000000000011</v>
      </c>
      <c r="F4" s="84">
        <f>IF(C4&lt;'Dane dla CO'!$R$67,0,IF(D4&gt;1,E4,D4*E4))</f>
        <v>64.800000000000011</v>
      </c>
      <c r="G4" s="84">
        <f t="shared" ref="G4:G33" si="9">E4-F4</f>
        <v>0</v>
      </c>
      <c r="H4" s="84">
        <f>(C4*'Dane dla CWU'!$AB$53+'Dane dla CWU'!$AD$53)/(C4*'Dane dla CO'!$P$35+'Dane dla CO'!$Q$35)</f>
        <v>2.3585390946502054</v>
      </c>
      <c r="I4" s="84">
        <f t="shared" ref="I4:I33" si="10">$E$42/365</f>
        <v>10.319026666666666</v>
      </c>
      <c r="J4" s="84">
        <f>IF(C4&lt;'Dane dla CWU'!$R$67,0,IF(H4&gt;1,I4,H4*I4))</f>
        <v>10.319026666666666</v>
      </c>
      <c r="K4" s="84">
        <f t="shared" ref="K4:K33" si="11">I4-J4</f>
        <v>0</v>
      </c>
      <c r="M4">
        <v>2</v>
      </c>
      <c r="N4">
        <v>-16</v>
      </c>
      <c r="O4" s="84">
        <f>(N4*'Dane dla CO'!$T$53+'Dane dla CO'!$V$53)/(N4*'Dane dla CO'!$P$35+'Dane dla CO'!$Q$35)</f>
        <v>0.71394302568697721</v>
      </c>
      <c r="P4" s="84">
        <f>N4*'Dane dla CO'!$N$96+'Dane dla CO'!$N$97</f>
        <v>230.40000000000003</v>
      </c>
      <c r="Q4" s="84">
        <f>IF(N4&lt;'Dane dla CO'!$R$67,0,IF(O4&gt;1,P4,O4*P4))</f>
        <v>0</v>
      </c>
      <c r="R4" s="84">
        <f t="shared" ref="R4:R31" si="12">P4-Q4</f>
        <v>230.40000000000003</v>
      </c>
      <c r="S4" s="84">
        <f>(N4*'Dane dla CWU'!$T$53+'Dane dla CWU'!$V$53)/(N4*'Dane dla CO'!$P$35+'Dane dla CO'!$Q$35)</f>
        <v>0.63808617084826758</v>
      </c>
      <c r="T4" s="84">
        <f t="shared" ref="T4:T31" si="13">$E$42/365</f>
        <v>10.319026666666666</v>
      </c>
      <c r="U4" s="84">
        <f>IF(N4&lt;'Dane dla CWU'!$R$67,0,IF(S4&gt;1,T4,S4*T4))</f>
        <v>0</v>
      </c>
      <c r="V4" s="84">
        <f t="shared" ref="V4:V31" si="14">T4-U4</f>
        <v>10.319026666666666</v>
      </c>
      <c r="X4">
        <v>2</v>
      </c>
      <c r="Y4">
        <v>7</v>
      </c>
      <c r="Z4" s="84">
        <f>(Y4*'Dane dla CO'!$T$53+'Dane dla CO'!$V$53)/(Y4*'Dane dla CO'!$P$35+'Dane dla CO'!$Q$35)</f>
        <v>4.3562644675925926</v>
      </c>
      <c r="AA4" s="84">
        <f>Y4*'Dane dla CO'!$N$96+'Dane dla CO'!$N$97</f>
        <v>64.800000000000011</v>
      </c>
      <c r="AB4" s="84">
        <f>IF(Y4&lt;'Dane dla CO'!$R$67,0,IF(Z4&gt;1,AA4,Z4*AA4))</f>
        <v>64.800000000000011</v>
      </c>
      <c r="AC4" s="84">
        <f t="shared" ref="AC4:AC33" si="15">AA4-AB4</f>
        <v>0</v>
      </c>
      <c r="AD4" s="84">
        <f>(Y4*'Dane dla CWU'!$T$53+'Dane dla CWU'!$V$53)/(Y4*'Dane dla CO'!$P$35+'Dane dla CO'!$Q$35)</f>
        <v>4.3942418981481479</v>
      </c>
      <c r="AE4" s="84">
        <f t="shared" ref="AE4:AE33" si="16">$E$42/365</f>
        <v>10.319026666666666</v>
      </c>
      <c r="AF4" s="84">
        <f>IF(Y4&lt;'Dane dla CWU'!$R$67,0,IF(AD4&gt;1,AE4,AD4*AE4))</f>
        <v>10.319026666666666</v>
      </c>
      <c r="AG4" s="84">
        <f t="shared" ref="AG4:AG33" si="17">AE4-AF4</f>
        <v>0</v>
      </c>
      <c r="AI4">
        <v>2</v>
      </c>
      <c r="AJ4">
        <v>7</v>
      </c>
      <c r="AK4" s="84">
        <f>(AJ4*'Dane dla CO'!$T$53+'Dane dla CO'!$V$53)/(AJ4*'Dane dla CO'!$P$35+'Dane dla CO'!$Q$35)</f>
        <v>4.3562644675925926</v>
      </c>
      <c r="AL4" s="84">
        <f>AJ4*'Dane dla CO'!$N$96+'Dane dla CO'!$N$97</f>
        <v>64.800000000000011</v>
      </c>
      <c r="AM4" s="84">
        <f>IF(AJ4&lt;'Dane dla CO'!$R$67,0,IF(AK4&gt;1,AL4,AK4*AL4))</f>
        <v>64.800000000000011</v>
      </c>
      <c r="AN4" s="84">
        <f t="shared" ref="AN4:AN28" si="18">AL4-AM4</f>
        <v>0</v>
      </c>
      <c r="AO4" s="84">
        <f>(AJ4*'Dane dla CWU'!$T$53+'Dane dla CWU'!$V$53)/(AJ4*'Dane dla CO'!$P$35+'Dane dla CO'!$Q$35)</f>
        <v>4.3942418981481479</v>
      </c>
      <c r="AP4" s="84">
        <f t="shared" ref="AP4:AP28" si="19">$E$42/365</f>
        <v>10.319026666666666</v>
      </c>
      <c r="AQ4" s="84">
        <f>IF(AJ4&lt;'Dane dla CWU'!$R$67,0,IF(AO4&gt;1,AP4,AO4*AP4))</f>
        <v>10.319026666666666</v>
      </c>
      <c r="AR4" s="84">
        <f t="shared" ref="AR4:AR28" si="20">AP4-AQ4</f>
        <v>0</v>
      </c>
      <c r="AT4">
        <v>2</v>
      </c>
      <c r="AU4">
        <v>21</v>
      </c>
      <c r="BA4">
        <v>2</v>
      </c>
      <c r="BB4">
        <v>13</v>
      </c>
      <c r="BH4">
        <v>2</v>
      </c>
      <c r="BI4">
        <v>25</v>
      </c>
      <c r="BO4">
        <v>2</v>
      </c>
      <c r="BP4">
        <v>23</v>
      </c>
      <c r="BV4">
        <v>2</v>
      </c>
      <c r="BW4">
        <v>17</v>
      </c>
      <c r="CB4" s="84"/>
      <c r="CC4" s="84">
        <f t="shared" ref="CC4:CC14" si="21">$E$42/365</f>
        <v>10.319026666666666</v>
      </c>
      <c r="CD4" s="84">
        <f t="shared" ref="CD4:CD14" si="22">CC4</f>
        <v>10.319026666666666</v>
      </c>
      <c r="CE4" s="84">
        <f t="shared" ref="CE4:CE14" si="23">CC4-CD4</f>
        <v>0</v>
      </c>
      <c r="CG4">
        <v>2</v>
      </c>
      <c r="CH4">
        <v>14</v>
      </c>
      <c r="CI4" s="84">
        <f>(CH4*'Dane dla CO'!$T$53+'Dane dla CO'!$V$53)/(CH4*'Dane dla CO'!$P$35+'Dane dla CO'!$Q$35)</f>
        <v>38.720775462962941</v>
      </c>
      <c r="CJ4" s="84">
        <f>CH4*'Dane dla CO'!$N$96+'Dane dla CO'!$N$97</f>
        <v>14.400000000000006</v>
      </c>
      <c r="CK4" s="84">
        <f>IF(CH4&lt;'Dane dla CO'!$R$67,0,IF(CI4&gt;1,CJ4,CI4*CJ4))</f>
        <v>14.400000000000006</v>
      </c>
      <c r="CL4" s="84">
        <f t="shared" ref="CL4:CL33" si="24">CJ4-CK4</f>
        <v>0</v>
      </c>
      <c r="CM4" s="84">
        <f>(CH4*'Dane dla CWU'!$T$53+'Dane dla CWU'!$V$53)/(CH4*'Dane dla CO'!$P$35+'Dane dla CO'!$Q$35)</f>
        <v>39.832754629629619</v>
      </c>
      <c r="CN4" s="84">
        <f t="shared" si="1"/>
        <v>10.319026666666666</v>
      </c>
      <c r="CO4" s="84">
        <f>IF(CH4&lt;'Dane dla CWU'!$R$67,0,IF(CM4&gt;1,CN4,CM4*CN4))</f>
        <v>10.319026666666666</v>
      </c>
      <c r="CP4" s="84">
        <f t="shared" ref="CP4:CP33" si="25">CN4-CO4</f>
        <v>0</v>
      </c>
      <c r="CR4">
        <v>2</v>
      </c>
      <c r="CS4">
        <v>7</v>
      </c>
      <c r="CT4" s="84">
        <f>(CS4*'Dane dla CO'!$T$53+'Dane dla CO'!$V$53)/(CS4*'Dane dla CO'!$P$35+'Dane dla CO'!$Q$35)</f>
        <v>4.3562644675925926</v>
      </c>
      <c r="CU4" s="84">
        <f>CS4*'Dane dla CO'!$N$96+'Dane dla CO'!$N$97</f>
        <v>64.800000000000011</v>
      </c>
      <c r="CV4" s="84">
        <f>IF(CS4&lt;'Dane dla CO'!$R$67,0,IF(CT4&gt;1,CU4,CT4*CU4))</f>
        <v>64.800000000000011</v>
      </c>
      <c r="CW4" s="84">
        <f t="shared" ref="CW4:CW32" si="26">CU4-CV4</f>
        <v>0</v>
      </c>
      <c r="CX4" s="84">
        <f>(CS4*'Dane dla CWU'!$T$53+'Dane dla CWU'!$V$53)/(CS4*'Dane dla CO'!$P$35+'Dane dla CO'!$Q$35)</f>
        <v>4.3942418981481479</v>
      </c>
      <c r="CY4" s="84">
        <f t="shared" si="4"/>
        <v>10.319026666666666</v>
      </c>
      <c r="CZ4" s="84">
        <f>IF(CS4&lt;'Dane dla CWU'!$R$67,0,IF(CX4&gt;1,CY4,CX4*CY4))</f>
        <v>10.319026666666666</v>
      </c>
      <c r="DA4" s="84">
        <f t="shared" ref="DA4:DA32" si="27">CY4-CZ4</f>
        <v>0</v>
      </c>
      <c r="DC4">
        <v>2</v>
      </c>
      <c r="DD4">
        <v>-1</v>
      </c>
      <c r="DE4" s="84">
        <f>(DD4*'Dane dla CO'!$T$53+'Dane dla CO'!$V$53)/(DD4*'Dane dla CO'!$P$35+'Dane dla CO'!$Q$35)</f>
        <v>1.9016565393518516</v>
      </c>
      <c r="DF4" s="84">
        <f>DD4*'Dane dla CO'!$N$96+'Dane dla CO'!$N$97</f>
        <v>122.40000000000002</v>
      </c>
      <c r="DG4" s="84">
        <f>IF(DD4&lt;'Dane dla CO'!$R$67,0,IF(DE4&gt;1,DF4,DE4*DF4))</f>
        <v>122.40000000000002</v>
      </c>
      <c r="DH4" s="84">
        <f t="shared" ref="DH4:DH33" si="28">DF4-DG4</f>
        <v>0</v>
      </c>
      <c r="DI4" s="84">
        <f>(DD4*'Dane dla CWU'!$T$53+'Dane dla CWU'!$V$53)/(DD4*'Dane dla CO'!$P$35+'Dane dla CO'!$Q$35)</f>
        <v>1.8629195601851849</v>
      </c>
      <c r="DJ4" s="84">
        <f t="shared" si="7"/>
        <v>10.319026666666666</v>
      </c>
      <c r="DK4" s="84">
        <f>IF(DD4&lt;'Dane dla CWU'!$R$67,0,IF(DI4&gt;1,DJ4,DI4*DJ4))</f>
        <v>0</v>
      </c>
      <c r="DL4" s="84">
        <f t="shared" ref="DL4:DL33" si="29">DJ4-DK4</f>
        <v>10.319026666666666</v>
      </c>
      <c r="DM4" s="49">
        <v>-14</v>
      </c>
      <c r="DN4" s="124" t="s">
        <v>221</v>
      </c>
      <c r="DO4" s="125" t="s">
        <v>212</v>
      </c>
      <c r="DP4" s="125" t="s">
        <v>224</v>
      </c>
      <c r="DQ4" s="51">
        <v>-14</v>
      </c>
      <c r="DR4" s="94"/>
      <c r="DS4" s="94"/>
      <c r="DT4" s="85"/>
      <c r="DU4" s="86"/>
      <c r="DV4" s="92"/>
      <c r="DW4" s="92"/>
      <c r="DX4" s="92"/>
      <c r="DY4" s="86"/>
      <c r="DZ4" s="86"/>
      <c r="EA4" s="86"/>
      <c r="EB4" s="92"/>
      <c r="EC4" s="92"/>
      <c r="ED4" s="92"/>
      <c r="EE4" s="96"/>
      <c r="EF4" s="96"/>
      <c r="EG4" s="96"/>
      <c r="EI4" s="94"/>
      <c r="EJ4" s="94"/>
      <c r="EK4" s="94"/>
      <c r="EL4" s="85"/>
      <c r="EM4" s="92"/>
      <c r="EN4" s="92"/>
      <c r="EO4" s="92"/>
      <c r="EP4" s="92"/>
      <c r="EQ4" s="92"/>
      <c r="ER4" s="92"/>
      <c r="EV4" s="166"/>
      <c r="EW4" s="67" t="s">
        <v>144</v>
      </c>
      <c r="EX4" s="59"/>
      <c r="EY4" s="21"/>
      <c r="EZ4" s="102">
        <f>ROUND('Dane dla CO'!R67,0)</f>
        <v>-7</v>
      </c>
      <c r="FA4" s="84">
        <f>FB58</f>
        <v>3.8642446410853979</v>
      </c>
      <c r="FB4" s="84">
        <f>IF(Dobór!$M$18="Ogrzewanie podłogowe 35/28",FA4,FA4/1.05)</f>
        <v>3.6802329915099028</v>
      </c>
      <c r="FC4">
        <f>DT42-FF4</f>
        <v>205</v>
      </c>
      <c r="FD4">
        <f>IF(EZ4&gt;EZ3,(Dobór!P27*2000)*FC4/(FC4+FF4),(Dobór!P27*2000)*FC4/(FC4+FF4)-FB47)</f>
        <v>19680</v>
      </c>
      <c r="FE4">
        <f>FD4/FB4*'Dane dla CO'!C56</f>
        <v>3261.9673883948167</v>
      </c>
      <c r="FF4">
        <f>FF58</f>
        <v>20</v>
      </c>
      <c r="FG4">
        <f>IF(EZ4&gt;EZ3,Dobór!P27*2000-FD4,Dobór!P27*2000-FD4+FB47)</f>
        <v>1920</v>
      </c>
      <c r="FH4">
        <f>IF(FJ4&lt;400,FG4*'Dane dla CO'!G54,FG4*'Dane dla CO'!G55)</f>
        <v>537.6</v>
      </c>
      <c r="FI4" s="103">
        <f>FH4+FE4</f>
        <v>3799.5673883948166</v>
      </c>
      <c r="FJ4">
        <f>FG4/'Dane dla CO'!H40</f>
        <v>197.73429454170957</v>
      </c>
    </row>
    <row r="5" spans="1:166">
      <c r="A5" s="162"/>
      <c r="B5">
        <v>3</v>
      </c>
      <c r="C5">
        <v>6</v>
      </c>
      <c r="D5" s="84">
        <f>(C5*'Dane dla CO'!$T$53+'Dane dla CO'!$V$53)/(C5*'Dane dla CO'!$P$35+'Dane dla CO'!$Q$35)</f>
        <v>3.8107960390946491</v>
      </c>
      <c r="E5" s="84">
        <f>C5*'Dane dla CO'!$N$96+'Dane dla CO'!$N$97</f>
        <v>72.000000000000014</v>
      </c>
      <c r="F5" s="84">
        <f>IF(C5&lt;'Dane dla CO'!$R$67,0,IF(D5&gt;1,E5,D5*E5))</f>
        <v>72.000000000000014</v>
      </c>
      <c r="G5" s="84">
        <f t="shared" si="9"/>
        <v>0</v>
      </c>
      <c r="H5" s="84">
        <f>(C5*'Dane dla CWU'!$AB$53+'Dane dla CWU'!$AD$53)/(C5*'Dane dla CO'!$P$35+'Dane dla CO'!$Q$35)</f>
        <v>2.0444673068129853</v>
      </c>
      <c r="I5" s="84">
        <f t="shared" si="10"/>
        <v>10.319026666666666</v>
      </c>
      <c r="J5" s="84">
        <f>IF(C5&lt;'Dane dla CWU'!$R$67,0,IF(H5&gt;1,I5,H5*I5))</f>
        <v>10.319026666666666</v>
      </c>
      <c r="K5" s="84">
        <f t="shared" si="11"/>
        <v>0</v>
      </c>
      <c r="M5">
        <v>3</v>
      </c>
      <c r="N5">
        <v>-18</v>
      </c>
      <c r="O5" s="84">
        <f>(N5*'Dane dla CO'!$T$53+'Dane dla CO'!$V$53)/(N5*'Dane dla CO'!$P$35+'Dane dla CO'!$Q$35)</f>
        <v>0.6371615460157124</v>
      </c>
      <c r="P5" s="84">
        <f>N5*'Dane dla CO'!$N$96+'Dane dla CO'!$N$97</f>
        <v>244.80000000000004</v>
      </c>
      <c r="Q5" s="84">
        <f>IF(N5&lt;'Dane dla CO'!$R$67,0,IF(O5&gt;1,P5,O5*P5))</f>
        <v>0</v>
      </c>
      <c r="R5" s="84">
        <f t="shared" si="12"/>
        <v>244.80000000000004</v>
      </c>
      <c r="S5" s="84">
        <f>(N5*'Dane dla CWU'!$T$53+'Dane dla CWU'!$V$53)/(N5*'Dane dla CO'!$P$35+'Dane dla CO'!$Q$35)</f>
        <v>0.55890502244668905</v>
      </c>
      <c r="T5" s="84">
        <f t="shared" si="13"/>
        <v>10.319026666666666</v>
      </c>
      <c r="U5" s="84">
        <f>IF(N5&lt;'Dane dla CWU'!$R$67,0,IF(S5&gt;1,T5,S5*T5))</f>
        <v>0</v>
      </c>
      <c r="V5" s="84">
        <f t="shared" si="14"/>
        <v>10.319026666666666</v>
      </c>
      <c r="X5">
        <v>3</v>
      </c>
      <c r="Y5">
        <v>2</v>
      </c>
      <c r="Z5" s="84">
        <f>(Y5*'Dane dla CO'!$T$53+'Dane dla CO'!$V$53)/(Y5*'Dane dla CO'!$P$35+'Dane dla CO'!$Q$35)</f>
        <v>2.4681045227920229</v>
      </c>
      <c r="AA5" s="84">
        <f>Y5*'Dane dla CO'!$N$96+'Dane dla CO'!$N$97</f>
        <v>100.80000000000001</v>
      </c>
      <c r="AB5" s="84">
        <f>IF(Y5&lt;'Dane dla CO'!$R$67,0,IF(Z5&gt;1,AA5,Z5*AA5))</f>
        <v>100.80000000000001</v>
      </c>
      <c r="AC5" s="84">
        <f t="shared" si="15"/>
        <v>0</v>
      </c>
      <c r="AD5" s="84">
        <f>(Y5*'Dane dla CWU'!$T$53+'Dane dla CWU'!$V$53)/(Y5*'Dane dla CO'!$P$35+'Dane dla CO'!$Q$35)</f>
        <v>2.4470708689458691</v>
      </c>
      <c r="AE5" s="84">
        <f t="shared" si="16"/>
        <v>10.319026666666666</v>
      </c>
      <c r="AF5" s="84">
        <f>IF(Y5&lt;'Dane dla CWU'!$R$67,0,IF(AD5&gt;1,AE5,AD5*AE5))</f>
        <v>0</v>
      </c>
      <c r="AG5" s="84">
        <f t="shared" si="17"/>
        <v>10.319026666666666</v>
      </c>
      <c r="AI5">
        <v>3</v>
      </c>
      <c r="AJ5">
        <v>8</v>
      </c>
      <c r="AK5" s="84">
        <f>(AJ5*'Dane dla CO'!$T$53+'Dane dla CO'!$V$53)/(AJ5*'Dane dla CO'!$P$35+'Dane dla CO'!$Q$35)</f>
        <v>5.0575810185185182</v>
      </c>
      <c r="AL5" s="84">
        <f>AJ5*'Dane dla CO'!$N$96+'Dane dla CO'!$N$97</f>
        <v>57.600000000000009</v>
      </c>
      <c r="AM5" s="84">
        <f>IF(AJ5&lt;'Dane dla CO'!$R$67,0,IF(AK5&gt;1,AL5,AK5*AL5))</f>
        <v>57.600000000000009</v>
      </c>
      <c r="AN5" s="84">
        <f t="shared" si="18"/>
        <v>0</v>
      </c>
      <c r="AO5" s="84">
        <f>(AJ5*'Dane dla CWU'!$T$53+'Dane dla CWU'!$V$53)/(AJ5*'Dane dla CO'!$P$35+'Dane dla CO'!$Q$35)</f>
        <v>5.1174768518518521</v>
      </c>
      <c r="AP5" s="84">
        <f t="shared" si="19"/>
        <v>10.319026666666666</v>
      </c>
      <c r="AQ5" s="84">
        <f>IF(AJ5&lt;'Dane dla CWU'!$R$67,0,IF(AO5&gt;1,AP5,AO5*AP5))</f>
        <v>10.319026666666666</v>
      </c>
      <c r="AR5" s="84">
        <f t="shared" si="20"/>
        <v>0</v>
      </c>
      <c r="AT5">
        <v>3</v>
      </c>
      <c r="AU5">
        <v>19</v>
      </c>
      <c r="BA5">
        <v>3</v>
      </c>
      <c r="BB5">
        <v>16</v>
      </c>
      <c r="BH5">
        <v>3</v>
      </c>
      <c r="BI5">
        <v>25</v>
      </c>
      <c r="BO5">
        <v>3</v>
      </c>
      <c r="BP5">
        <v>22</v>
      </c>
      <c r="BV5">
        <v>3</v>
      </c>
      <c r="BW5">
        <v>15</v>
      </c>
      <c r="CB5" s="84"/>
      <c r="CC5" s="84">
        <f t="shared" si="21"/>
        <v>10.319026666666666</v>
      </c>
      <c r="CD5" s="84">
        <f t="shared" si="22"/>
        <v>10.319026666666666</v>
      </c>
      <c r="CE5" s="84">
        <f t="shared" si="23"/>
        <v>0</v>
      </c>
      <c r="CG5">
        <v>3</v>
      </c>
      <c r="CH5">
        <v>13</v>
      </c>
      <c r="CI5" s="84">
        <f>(CH5*'Dane dla CO'!$T$53+'Dane dla CO'!$V$53)/(CH5*'Dane dla CO'!$P$35+'Dane dla CO'!$Q$35)</f>
        <v>19.083912037037027</v>
      </c>
      <c r="CJ5" s="84">
        <f>CH5*'Dane dla CO'!$N$96+'Dane dla CO'!$N$97</f>
        <v>21.600000000000009</v>
      </c>
      <c r="CK5" s="84">
        <f>IF(CH5&lt;'Dane dla CO'!$R$67,0,IF(CI5&gt;1,CJ5,CI5*CJ5))</f>
        <v>21.600000000000009</v>
      </c>
      <c r="CL5" s="84">
        <f t="shared" si="24"/>
        <v>0</v>
      </c>
      <c r="CM5" s="84">
        <f>(CH5*'Dane dla CWU'!$T$53+'Dane dla CWU'!$V$53)/(CH5*'Dane dla CO'!$P$35+'Dane dla CO'!$Q$35)</f>
        <v>19.582175925925917</v>
      </c>
      <c r="CN5" s="84">
        <f t="shared" si="1"/>
        <v>10.319026666666666</v>
      </c>
      <c r="CO5" s="84">
        <f>IF(CH5&lt;'Dane dla CWU'!$R$67,0,IF(CM5&gt;1,CN5,CM5*CN5))</f>
        <v>10.319026666666666</v>
      </c>
      <c r="CP5" s="84">
        <f t="shared" si="25"/>
        <v>0</v>
      </c>
      <c r="CR5">
        <v>3</v>
      </c>
      <c r="CS5">
        <v>6</v>
      </c>
      <c r="CT5" s="84">
        <f>(CS5*'Dane dla CO'!$T$53+'Dane dla CO'!$V$53)/(CS5*'Dane dla CO'!$P$35+'Dane dla CO'!$Q$35)</f>
        <v>3.8107960390946491</v>
      </c>
      <c r="CU5" s="84">
        <f>CS5*'Dane dla CO'!$N$96+'Dane dla CO'!$N$97</f>
        <v>72.000000000000014</v>
      </c>
      <c r="CV5" s="84">
        <f>IF(CS5&lt;'Dane dla CO'!$R$67,0,IF(CT5&gt;1,CU5,CT5*CU5))</f>
        <v>72.000000000000014</v>
      </c>
      <c r="CW5" s="84">
        <f t="shared" si="26"/>
        <v>0</v>
      </c>
      <c r="CX5" s="84">
        <f>(CS5*'Dane dla CWU'!$T$53+'Dane dla CWU'!$V$53)/(CS5*'Dane dla CO'!$P$35+'Dane dla CO'!$Q$35)</f>
        <v>3.8317258230452675</v>
      </c>
      <c r="CY5" s="84">
        <f t="shared" si="4"/>
        <v>10.319026666666666</v>
      </c>
      <c r="CZ5" s="84">
        <f>IF(CS5&lt;'Dane dla CWU'!$R$67,0,IF(CX5&gt;1,CY5,CX5*CY5))</f>
        <v>10.319026666666666</v>
      </c>
      <c r="DA5" s="84">
        <f t="shared" si="27"/>
        <v>0</v>
      </c>
      <c r="DC5">
        <v>3</v>
      </c>
      <c r="DD5">
        <v>0</v>
      </c>
      <c r="DE5" s="84">
        <f>(DD5*'Dane dla CO'!$T$53+'Dane dla CO'!$V$53)/(DD5*'Dane dla CO'!$P$35+'Dane dla CO'!$Q$35)</f>
        <v>2.0652970679012341</v>
      </c>
      <c r="DF5" s="84">
        <f>DD5*'Dane dla CO'!$N$96+'Dane dla CO'!$N$97</f>
        <v>115.20000000000002</v>
      </c>
      <c r="DG5" s="84">
        <f>IF(DD5&lt;'Dane dla CO'!$R$67,0,IF(DE5&gt;1,DF5,DE5*DF5))</f>
        <v>115.20000000000002</v>
      </c>
      <c r="DH5" s="84">
        <f t="shared" si="28"/>
        <v>0</v>
      </c>
      <c r="DI5" s="84">
        <f>(DD5*'Dane dla CWU'!$T$53+'Dane dla CWU'!$V$53)/(DD5*'Dane dla CO'!$P$35+'Dane dla CO'!$Q$35)</f>
        <v>2.0316743827160493</v>
      </c>
      <c r="DJ5" s="84">
        <f t="shared" si="7"/>
        <v>10.319026666666666</v>
      </c>
      <c r="DK5" s="84">
        <f>IF(DD5&lt;'Dane dla CWU'!$R$67,0,IF(DI5&gt;1,DJ5,DI5*DJ5))</f>
        <v>0</v>
      </c>
      <c r="DL5" s="84">
        <f t="shared" si="29"/>
        <v>10.319026666666666</v>
      </c>
      <c r="DM5" s="49">
        <v>-14</v>
      </c>
      <c r="DN5" s="94">
        <f>DO5*'Dane dla CO'!$N$80</f>
        <v>1234.2857142857144</v>
      </c>
      <c r="DO5" s="94">
        <f>(15-DS5)/35*'Dane dla CO'!$N$75</f>
        <v>10.8</v>
      </c>
      <c r="DP5" s="94">
        <f>IF(DR5&gt;0,DN5/DR5,DN5)</f>
        <v>1234.2857142857144</v>
      </c>
      <c r="DQ5" s="51">
        <v>-14</v>
      </c>
      <c r="DR5" s="115">
        <v>0</v>
      </c>
      <c r="DS5" s="115">
        <v>-20</v>
      </c>
      <c r="DT5" s="89">
        <f>Wykresy!Y3</f>
        <v>55</v>
      </c>
      <c r="DU5" s="90">
        <f>Wykresy!AE3</f>
        <v>35</v>
      </c>
      <c r="DV5" s="117">
        <v>6</v>
      </c>
      <c r="DW5" s="117">
        <v>4.2</v>
      </c>
      <c r="DX5" s="92">
        <f t="shared" ref="DX5:DX10" si="30">DV5/DW5</f>
        <v>1.4285714285714286</v>
      </c>
      <c r="DY5" s="118">
        <v>7.04</v>
      </c>
      <c r="DZ5" s="118">
        <v>3.09</v>
      </c>
      <c r="EA5" s="96">
        <f>DY5/DZ5</f>
        <v>2.2783171521035599</v>
      </c>
      <c r="EB5" s="85">
        <f t="shared" ref="EB5:EB10" si="31">DR5</f>
        <v>0</v>
      </c>
      <c r="EC5" s="85">
        <f t="shared" ref="EC5:EC9" si="32">EB5*DX5/$DT$42</f>
        <v>0</v>
      </c>
      <c r="ED5" s="85">
        <f>(SUM(EC5:$EC$40))*$DT$42/(SUM(EB5:$EB$40))</f>
        <v>3.7085345517261197</v>
      </c>
      <c r="EE5" s="86">
        <f t="shared" ref="EE5:EE10" si="33">DR5</f>
        <v>0</v>
      </c>
      <c r="EF5" s="86">
        <f t="shared" ref="EF5:EF10" si="34">EE5*EA5/$DT$42</f>
        <v>0</v>
      </c>
      <c r="EG5" s="86">
        <f>(SUM(EF5:$EF$40))*$DT$42/(SUM(EE5:$EE$40))</f>
        <v>4.7550690810600473</v>
      </c>
      <c r="EI5" s="115">
        <v>0</v>
      </c>
      <c r="EJ5" s="115">
        <v>0</v>
      </c>
      <c r="EK5" s="115">
        <v>-20</v>
      </c>
      <c r="EL5" s="89">
        <v>55</v>
      </c>
      <c r="EM5" s="117">
        <v>6</v>
      </c>
      <c r="EN5" s="117">
        <v>4.2</v>
      </c>
      <c r="EO5" s="92">
        <f>EM5/EN5</f>
        <v>1.4285714285714286</v>
      </c>
      <c r="EP5" s="85">
        <f t="shared" ref="EP5:EP11" si="35">EI5</f>
        <v>0</v>
      </c>
      <c r="EQ5" s="85">
        <f t="shared" ref="EQ5:EQ10" si="36">EP5*EO5/$DT$42</f>
        <v>0</v>
      </c>
      <c r="ER5" s="85">
        <f>(SUM(EQ5:$EQ$53))*$EL$54/(SUM(EP5:$EP$53))</f>
        <v>4.4691756692246001</v>
      </c>
      <c r="ES5">
        <f>(EM10-EM5)/5</f>
        <v>6.1999999999999923E-2</v>
      </c>
      <c r="ET5">
        <f>(EN10-EN5)/5</f>
        <v>-2.5999999999999978E-2</v>
      </c>
      <c r="EV5" s="82"/>
      <c r="EW5" s="1"/>
      <c r="EX5" s="1"/>
      <c r="EY5" s="1"/>
      <c r="EZ5" s="1"/>
    </row>
    <row r="6" spans="1:166" ht="14.1">
      <c r="A6" s="162"/>
      <c r="B6">
        <v>4</v>
      </c>
      <c r="C6">
        <v>6</v>
      </c>
      <c r="D6" s="84">
        <f>(C6*'Dane dla CO'!$T$53+'Dane dla CO'!$V$53)/(C6*'Dane dla CO'!$P$35+'Dane dla CO'!$Q$35)</f>
        <v>3.8107960390946491</v>
      </c>
      <c r="E6" s="84">
        <f>C6*'Dane dla CO'!$N$96+'Dane dla CO'!$N$97</f>
        <v>72.000000000000014</v>
      </c>
      <c r="F6" s="84">
        <f>IF(C6&lt;'Dane dla CO'!$R$67,0,IF(D6&gt;1,E6,D6*E6))</f>
        <v>72.000000000000014</v>
      </c>
      <c r="G6" s="84">
        <f t="shared" si="9"/>
        <v>0</v>
      </c>
      <c r="H6" s="84">
        <f>(C6*'Dane dla CWU'!$AB$53+'Dane dla CWU'!$AD$53)/(C6*'Dane dla CO'!$P$35+'Dane dla CO'!$Q$35)</f>
        <v>2.0444673068129853</v>
      </c>
      <c r="I6" s="84">
        <f t="shared" si="10"/>
        <v>10.319026666666666</v>
      </c>
      <c r="J6" s="84">
        <f>IF(C6&lt;'Dane dla CWU'!$R$67,0,IF(H6&gt;1,I6,H6*I6))</f>
        <v>10.319026666666666</v>
      </c>
      <c r="K6" s="84">
        <f t="shared" si="11"/>
        <v>0</v>
      </c>
      <c r="M6">
        <v>4</v>
      </c>
      <c r="N6">
        <v>-14</v>
      </c>
      <c r="O6" s="84">
        <f>(N6*'Dane dla CO'!$T$53+'Dane dla CO'!$V$53)/(N6*'Dane dla CO'!$P$35+'Dane dla CO'!$Q$35)</f>
        <v>0.80131505427841609</v>
      </c>
      <c r="P6" s="84">
        <f>N6*'Dane dla CO'!$N$96+'Dane dla CO'!$N$97</f>
        <v>216.00000000000003</v>
      </c>
      <c r="Q6" s="84">
        <f>IF(N6&lt;'Dane dla CO'!$R$67,0,IF(O6&gt;1,P6,O6*P6))</f>
        <v>0</v>
      </c>
      <c r="R6" s="84">
        <f t="shared" si="12"/>
        <v>216.00000000000003</v>
      </c>
      <c r="S6" s="84">
        <f>(N6*'Dane dla CWU'!$T$53+'Dane dla CWU'!$V$53)/(N6*'Dane dla CO'!$P$35+'Dane dla CO'!$Q$35)</f>
        <v>0.72818885696040847</v>
      </c>
      <c r="T6" s="84">
        <f t="shared" si="13"/>
        <v>10.319026666666666</v>
      </c>
      <c r="U6" s="84">
        <f>IF(N6&lt;'Dane dla CWU'!$R$67,0,IF(S6&gt;1,T6,S6*T6))</f>
        <v>0</v>
      </c>
      <c r="V6" s="84">
        <f t="shared" si="14"/>
        <v>10.319026666666666</v>
      </c>
      <c r="X6">
        <v>4</v>
      </c>
      <c r="Y6">
        <v>0</v>
      </c>
      <c r="Z6" s="84">
        <f>(Y6*'Dane dla CO'!$T$53+'Dane dla CO'!$V$53)/(Y6*'Dane dla CO'!$P$35+'Dane dla CO'!$Q$35)</f>
        <v>2.0652970679012341</v>
      </c>
      <c r="AA6" s="84">
        <f>Y6*'Dane dla CO'!$N$96+'Dane dla CO'!$N$97</f>
        <v>115.20000000000002</v>
      </c>
      <c r="AB6" s="84">
        <f>IF(Y6&lt;'Dane dla CO'!$R$67,0,IF(Z6&gt;1,AA6,Z6*AA6))</f>
        <v>115.20000000000002</v>
      </c>
      <c r="AC6" s="84">
        <f t="shared" si="15"/>
        <v>0</v>
      </c>
      <c r="AD6" s="84">
        <f>(Y6*'Dane dla CWU'!$T$53+'Dane dla CWU'!$V$53)/(Y6*'Dane dla CO'!$P$35+'Dane dla CO'!$Q$35)</f>
        <v>2.0316743827160493</v>
      </c>
      <c r="AE6" s="84">
        <f t="shared" si="16"/>
        <v>10.319026666666666</v>
      </c>
      <c r="AF6" s="84">
        <f>IF(Y6&lt;'Dane dla CWU'!$R$67,0,IF(AD6&gt;1,AE6,AD6*AE6))</f>
        <v>0</v>
      </c>
      <c r="AG6" s="84">
        <f t="shared" si="17"/>
        <v>10.319026666666666</v>
      </c>
      <c r="AI6">
        <v>4</v>
      </c>
      <c r="AJ6">
        <v>12</v>
      </c>
      <c r="AK6" s="84">
        <f>(AJ6*'Dane dla CO'!$T$53+'Dane dla CO'!$V$53)/(AJ6*'Dane dla CO'!$P$35+'Dane dla CO'!$Q$35)</f>
        <v>12.538290895061728</v>
      </c>
      <c r="AL6" s="84">
        <f>AJ6*'Dane dla CO'!$N$96+'Dane dla CO'!$N$97</f>
        <v>28.800000000000011</v>
      </c>
      <c r="AM6" s="84">
        <f>IF(AJ6&lt;'Dane dla CO'!$R$67,0,IF(AK6&gt;1,AL6,AK6*AL6))</f>
        <v>28.800000000000011</v>
      </c>
      <c r="AN6" s="84">
        <f t="shared" si="18"/>
        <v>0</v>
      </c>
      <c r="AO6" s="84">
        <f>(AJ6*'Dane dla CWU'!$T$53+'Dane dla CWU'!$V$53)/(AJ6*'Dane dla CO'!$P$35+'Dane dla CO'!$Q$35)</f>
        <v>12.831983024691358</v>
      </c>
      <c r="AP6" s="84">
        <f t="shared" si="19"/>
        <v>10.319026666666666</v>
      </c>
      <c r="AQ6" s="84">
        <f>IF(AJ6&lt;'Dane dla CWU'!$R$67,0,IF(AO6&gt;1,AP6,AO6*AP6))</f>
        <v>10.319026666666666</v>
      </c>
      <c r="AR6" s="84">
        <f t="shared" si="20"/>
        <v>0</v>
      </c>
      <c r="AT6">
        <v>4</v>
      </c>
      <c r="AU6">
        <v>16</v>
      </c>
      <c r="BA6">
        <v>4</v>
      </c>
      <c r="BB6">
        <v>17</v>
      </c>
      <c r="BH6">
        <v>4</v>
      </c>
      <c r="BI6">
        <v>22</v>
      </c>
      <c r="BO6">
        <v>4</v>
      </c>
      <c r="BP6">
        <v>22</v>
      </c>
      <c r="BV6">
        <v>4</v>
      </c>
      <c r="BW6">
        <v>19</v>
      </c>
      <c r="CB6" s="84"/>
      <c r="CC6" s="84">
        <f t="shared" si="21"/>
        <v>10.319026666666666</v>
      </c>
      <c r="CD6" s="84">
        <f t="shared" si="22"/>
        <v>10.319026666666666</v>
      </c>
      <c r="CE6" s="84">
        <f t="shared" si="23"/>
        <v>0</v>
      </c>
      <c r="CG6">
        <v>4</v>
      </c>
      <c r="CH6">
        <v>13</v>
      </c>
      <c r="CI6" s="84">
        <f>(CH6*'Dane dla CO'!$T$53+'Dane dla CO'!$V$53)/(CH6*'Dane dla CO'!$P$35+'Dane dla CO'!$Q$35)</f>
        <v>19.083912037037027</v>
      </c>
      <c r="CJ6" s="84">
        <f>CH6*'Dane dla CO'!$N$96+'Dane dla CO'!$N$97</f>
        <v>21.600000000000009</v>
      </c>
      <c r="CK6" s="84">
        <f>IF(CH6&lt;'Dane dla CO'!$R$67,0,IF(CI6&gt;1,CJ6,CI6*CJ6))</f>
        <v>21.600000000000009</v>
      </c>
      <c r="CL6" s="84">
        <f t="shared" si="24"/>
        <v>0</v>
      </c>
      <c r="CM6" s="84">
        <f>(CH6*'Dane dla CWU'!$T$53+'Dane dla CWU'!$V$53)/(CH6*'Dane dla CO'!$P$35+'Dane dla CO'!$Q$35)</f>
        <v>19.582175925925917</v>
      </c>
      <c r="CN6" s="84">
        <f t="shared" si="1"/>
        <v>10.319026666666666</v>
      </c>
      <c r="CO6" s="84">
        <f>IF(CH6&lt;'Dane dla CWU'!$R$67,0,IF(CM6&gt;1,CN6,CM6*CN6))</f>
        <v>10.319026666666666</v>
      </c>
      <c r="CP6" s="84">
        <f t="shared" si="25"/>
        <v>0</v>
      </c>
      <c r="CR6">
        <v>4</v>
      </c>
      <c r="CS6">
        <v>7</v>
      </c>
      <c r="CT6" s="84">
        <f>(CS6*'Dane dla CO'!$T$53+'Dane dla CO'!$V$53)/(CS6*'Dane dla CO'!$P$35+'Dane dla CO'!$Q$35)</f>
        <v>4.3562644675925926</v>
      </c>
      <c r="CU6" s="84">
        <f>CS6*'Dane dla CO'!$N$96+'Dane dla CO'!$N$97</f>
        <v>64.800000000000011</v>
      </c>
      <c r="CV6" s="84">
        <f>IF(CS6&lt;'Dane dla CO'!$R$67,0,IF(CT6&gt;1,CU6,CT6*CU6))</f>
        <v>64.800000000000011</v>
      </c>
      <c r="CW6" s="84">
        <f t="shared" si="26"/>
        <v>0</v>
      </c>
      <c r="CX6" s="84">
        <f>(CS6*'Dane dla CWU'!$T$53+'Dane dla CWU'!$V$53)/(CS6*'Dane dla CO'!$P$35+'Dane dla CO'!$Q$35)</f>
        <v>4.3942418981481479</v>
      </c>
      <c r="CY6" s="84">
        <f t="shared" si="4"/>
        <v>10.319026666666666</v>
      </c>
      <c r="CZ6" s="84">
        <f>IF(CS6&lt;'Dane dla CWU'!$R$67,0,IF(CX6&gt;1,CY6,CX6*CY6))</f>
        <v>10.319026666666666</v>
      </c>
      <c r="DA6" s="84">
        <f t="shared" si="27"/>
        <v>0</v>
      </c>
      <c r="DC6">
        <v>4</v>
      </c>
      <c r="DD6">
        <v>0</v>
      </c>
      <c r="DE6" s="84">
        <f>(DD6*'Dane dla CO'!$T$53+'Dane dla CO'!$V$53)/(DD6*'Dane dla CO'!$P$35+'Dane dla CO'!$Q$35)</f>
        <v>2.0652970679012341</v>
      </c>
      <c r="DF6" s="84">
        <f>DD6*'Dane dla CO'!$N$96+'Dane dla CO'!$N$97</f>
        <v>115.20000000000002</v>
      </c>
      <c r="DG6" s="84">
        <f>IF(DD6&lt;'Dane dla CO'!$R$67,0,IF(DE6&gt;1,DF6,DE6*DF6))</f>
        <v>115.20000000000002</v>
      </c>
      <c r="DH6" s="84">
        <f t="shared" si="28"/>
        <v>0</v>
      </c>
      <c r="DI6" s="84">
        <f>(DD6*'Dane dla CWU'!$T$53+'Dane dla CWU'!$V$53)/(DD6*'Dane dla CO'!$P$35+'Dane dla CO'!$Q$35)</f>
        <v>2.0316743827160493</v>
      </c>
      <c r="DJ6" s="84">
        <f t="shared" si="7"/>
        <v>10.319026666666666</v>
      </c>
      <c r="DK6" s="84">
        <f>IF(DD6&lt;'Dane dla CWU'!$R$67,0,IF(DI6&gt;1,DJ6,DI6*DJ6))</f>
        <v>0</v>
      </c>
      <c r="DL6" s="84">
        <f t="shared" si="29"/>
        <v>10.319026666666666</v>
      </c>
      <c r="DM6" s="49">
        <v>-14</v>
      </c>
      <c r="DN6" s="94">
        <f>DO6*'Dane dla CO'!$N$80</f>
        <v>1199.0204081632655</v>
      </c>
      <c r="DO6" s="94">
        <f>(15-DS6)/35*'Dane dla CO'!$N$75</f>
        <v>10.491428571428573</v>
      </c>
      <c r="DP6" s="94">
        <f t="shared" ref="DP6:DP40" si="37">IF(DR6&gt;0,DN6/DR6,DN6)</f>
        <v>1199.0204081632655</v>
      </c>
      <c r="DQ6" s="51">
        <v>-14</v>
      </c>
      <c r="DR6" s="115">
        <v>0</v>
      </c>
      <c r="DS6" s="115">
        <v>-19</v>
      </c>
      <c r="DT6" s="89">
        <f>Wykresy!Y4</f>
        <v>54.4</v>
      </c>
      <c r="DU6" s="90">
        <f>Wykresy!AE4</f>
        <v>34.633333333333333</v>
      </c>
      <c r="DV6" s="92">
        <f>(($DV$10-$DV$5)/5)*1+$DV$5</f>
        <v>6.2</v>
      </c>
      <c r="DW6" s="92">
        <f>(($DW$10-$DW$5)/5)*1+$DW$5</f>
        <v>4.1740000000000004</v>
      </c>
      <c r="DX6" s="92">
        <f t="shared" si="30"/>
        <v>1.4853857211308097</v>
      </c>
      <c r="DY6" s="86">
        <f>(($DY$10-$DY$5)/5)*1+$DY$5</f>
        <v>7.234</v>
      </c>
      <c r="DZ6" s="86">
        <f>(($DZ$10-$DZ$5)/5)*1+$DZ$5</f>
        <v>3.0920000000000001</v>
      </c>
      <c r="EA6" s="96">
        <f t="shared" ref="EA6:EA9" si="38">DY6/DZ6</f>
        <v>2.3395860284605434</v>
      </c>
      <c r="EB6" s="85">
        <f t="shared" si="31"/>
        <v>0</v>
      </c>
      <c r="EC6" s="85">
        <f t="shared" si="32"/>
        <v>0</v>
      </c>
      <c r="ED6" s="85">
        <f>(SUM(EC6:$EC$40))*$DT$42/(SUM(EB6:$EB$40))</f>
        <v>3.7085345517261197</v>
      </c>
      <c r="EE6" s="86">
        <f t="shared" si="33"/>
        <v>0</v>
      </c>
      <c r="EF6" s="86">
        <f t="shared" si="34"/>
        <v>0</v>
      </c>
      <c r="EG6" s="86">
        <f>(SUM(EF6:$EF$40))*$DT$42/(SUM(EE6:$EE$40))</f>
        <v>4.7550690810600473</v>
      </c>
      <c r="EI6" s="115">
        <v>0</v>
      </c>
      <c r="EJ6" s="115">
        <f>EJ5+EI6</f>
        <v>0</v>
      </c>
      <c r="EK6" s="115">
        <v>-19</v>
      </c>
      <c r="EL6" s="89">
        <v>55</v>
      </c>
      <c r="EM6" s="92">
        <f>EM5+ES5</f>
        <v>6.0620000000000003</v>
      </c>
      <c r="EN6" s="92">
        <f>EN5+ET5</f>
        <v>4.1740000000000004</v>
      </c>
      <c r="EO6" s="92">
        <f t="shared" ref="EO6:EO8" si="39">EM6/EN6</f>
        <v>1.4523239099185432</v>
      </c>
      <c r="EP6" s="85">
        <f t="shared" si="35"/>
        <v>0</v>
      </c>
      <c r="EQ6" s="85">
        <f t="shared" si="36"/>
        <v>0</v>
      </c>
      <c r="ER6" s="85">
        <f>(SUM(EQ6:$EQ$53))*$EL$54/(SUM(EP6:$EP$53))</f>
        <v>4.4691756692246001</v>
      </c>
      <c r="EV6" s="166" t="s">
        <v>184</v>
      </c>
      <c r="EW6" s="66" t="s">
        <v>143</v>
      </c>
      <c r="EX6" s="1"/>
      <c r="EY6" s="1"/>
      <c r="EZ6" s="102">
        <f>ROUND('Dane dla CWU'!R54,0)</f>
        <v>-9</v>
      </c>
      <c r="FA6" s="84">
        <f>IF(EZ6=EK5,ER5,IF(EZ6=EK6,ER6,IF(EZ6=EK7,ER7,IF(EZ6=EK8,ER8,IF(EZ6=EK9,ER9,IF(EZ6=EK10,ER10,IF(EZ6=EK11,ER11,IF(EZ6=EK12,ER12,IF(EZ6=EK13,ER13,IF(EZ6=EK14,ER14,IF(EZ6=EK15,ER15,IF(EZ6=EK16,ER16,IF(EZ6=EK17,ER17,IF(EZ6=EK18,ER18,IF(EZ6=EK19,ER19,IF(EZ6=EK20,ER20,IF(EZ6=EK21,ER21,IF(EZ6=EK22,ER22,IF(EZ6=EK23,ER23,IF(EZ6=EK24,ER24,IF(EZ6=EK25,ER25,IF(EZ6=EK26,ER26,IF(EZ6=EK27,ER27,IF(EZ6=EK28,ER28,IF(EZ6=EK29,ER29,IF(EZ6=EK30,ER30,IF(EZ6=EK31,ER31,IF(EZ6=EK32,ER32,IF(EZ6=EK33,ER33,IF(EZ6=EK34,ER34,IF(EZ6=EK35,ER35,IF(EZ6=EK36,ER36,IF(EZ6=EK37,ER37,IF(EZ6=EK38,ER38,IF(EZ6=EK39,ER39,IF(EZ6=EK40,ER40,IF(EZ6=EK41,ER41,IF(EZ6=EK42,ER42,IF(EZ6=EK43,ER43,IF(EZ6=EK44,ER44,IF(EZ6=EK45,ER45,IF(EZ6=EK46,ER46,IF(EZ6=EK47,ER47,IF(EZ6=EK48,ER48,IF(EZ6=EK49,ER49,IF(EZ6=EK50,ER50,IF(EZ6=EK51,ER51,ER52)))))))))))))))))))))))))))))))))))))))))))))))</f>
        <v>4.5563505607455133</v>
      </c>
      <c r="FB6" s="84">
        <f>IF(EZ6=EK5,ER5,IF(EZ6=EK6,ER6,IF(EZ6=EK7,ER7,IF(EZ6=EK8,ER8,IF(EZ6=EK9,ER9,IF(EZ6=EK10,ER10,IF(EZ6=EK11,ER11,IF(EZ6=EK12,ER12,IF(EZ6=EK13,ER13,IF(EZ6=EK14,ER14,IF(EZ6=EK15,ER15,IF(EZ6=EK16,ER16,IF(EZ6=EK17,ER17,IF(EZ6=EK18,ER18,IF(EZ6=EK19,ER19,IF(EZ6=EK20,ER20,IF(EZ6=EK21,ER21,IF(EZ6=EK22,ER22,IF(EZ6=EK23,ER23,IF(EZ6=EK24,ER24,IF(EZ6=EK25,ER25,IF(EZ6=EK26,ER26,IF(EZ6=EK27,ER27,IF(EZ6=EK28,ER28,IF(EZ6=EK29,ER29,IF(EZ6=EK30,ER30,IF(EZ6=EK31,ER31,IF(EZ6=EK32,ER32,IF(EZ6=EK33,ER33,IF(EZ6=EK34,ER34,IF(EZ6=EK35,ER35,IF(EZ6=EK36,ER36,IF(EZ6=EK37,ER37,IF(EZ6=EK38,ER38,IF(EZ6=EK39,ER39,IF(EZ6=EK40,ER40,IF(EZ6=EK41,ER41,IF(EZ6=EK42,ER42,IF(EZ6=EK43,ER43,IF(EZ6=EK44,ER44,IF(EZ6=EK45,ER45,IF(EZ6=EK46,ER46,IF(EZ6=EK47,ER47,IF(EZ6=EK48,ER48,IF(EZ6=EK49,ER49,IF(EZ6=EK50,ER50,IF(EZ6=EK51,ER51,ER52)))))))))))))))))))))))))))))))))))))))))))))))</f>
        <v>4.5563505607455133</v>
      </c>
      <c r="FC6">
        <f>EL54-FF6</f>
        <v>347</v>
      </c>
      <c r="FD6">
        <f>('Dane dla CWU'!H43)*FC6/(FC6+FF6)</f>
        <v>3570.9189138433512</v>
      </c>
      <c r="FE6" s="103">
        <f>FD6/FB6*'Dane dla CWU'!C56</f>
        <v>478.07132230142446</v>
      </c>
      <c r="FF6">
        <f>IF(EZ6=EK9,EJ9,IF(EZ6=EK10,EJ10,IF(EZ6=EK11,EJ11,IF(EZ6=EK12,EJ12,IF(EZ6=EK13,EJ13,IF(EZ6=EK14,EJ14,IF(EZ6=EK15,EJ15,IF(EZ6=EK16,EJ16,IF(EZ6=EK17,EJ17,IF(EZ6=EK18,EJ18,IF(EZ6=EK19,EJ19,IF(EZ6=EK20,EJ20,IF(EZ6=EK21,EJ21,IF(EZ6=EK22,EJ22,IF(EZ6=EK23,EJ23,IF(EZ6=EK24,EJ24,IF(EZ6=EK25,EJ25,IF(EZ6=EK26,EJ26,IF(EZ6=EK27,EJ27,IF(EZ6=EK28,EJ28,IF(EZ6=EK29,EJ29,IF(EZ6=EK30,EJ30,IF(EZ6=EK31,EJ31,IF(EZ6=EK32,EJ32,IF(EZ6=EK33,EJ33,IF(EZ6=EK34,EJ34,IF(EZ6=EK35,EJ35,IF(EZ6=EK36,EJ36,IF(EZ6=EK37,EJ37,IF(EZ6=EK38,EJ38,IF(EZ6=EK39,EJ39,IF(EZ6=EK40,EJ40,IF(EZ6=EK41,EJ41,IF(EZ6=EK42,EJ42,IF(EZ6=EK43,EJ43,IF(EZ6=EK44,EJ44,IF(EZ6=EK45,EJ45,IF(EZ6=EK46,EJ46,IF(EZ6=EK47,EJ47,IF(EZ6=EK48,EJ48,IF(EZ6=EK49,EJ49,IF(EZ6=EK50,EJ50,IF(EZ6=EK51,BSK1,EJ52)))))))))))))))))))))))))))))))))))))))))))</f>
        <v>19</v>
      </c>
      <c r="FG6">
        <f>'Dane dla CWU'!H43-FD6</f>
        <v>195.52581948998204</v>
      </c>
      <c r="FH6" s="103">
        <f>FG6*'Dane dla CWU'!G54</f>
        <v>54.747229457194976</v>
      </c>
      <c r="FI6" s="103">
        <f>FH6+FE6</f>
        <v>532.81855175861938</v>
      </c>
    </row>
    <row r="7" spans="1:166" ht="14.1">
      <c r="A7" s="162"/>
      <c r="B7">
        <v>5</v>
      </c>
      <c r="C7">
        <v>5</v>
      </c>
      <c r="D7" s="84">
        <f>(C7*'Dane dla CO'!$T$53+'Dane dla CO'!$V$53)/(C7*'Dane dla CO'!$P$35+'Dane dla CO'!$Q$35)</f>
        <v>3.3744212962962958</v>
      </c>
      <c r="E7" s="84">
        <f>C7*'Dane dla CO'!$N$96+'Dane dla CO'!$N$97</f>
        <v>79.200000000000017</v>
      </c>
      <c r="F7" s="84">
        <f>IF(C7&lt;'Dane dla CO'!$R$67,0,IF(D7&gt;1,E7,D7*E7))</f>
        <v>79.200000000000017</v>
      </c>
      <c r="G7" s="84">
        <f t="shared" si="9"/>
        <v>0</v>
      </c>
      <c r="H7" s="84">
        <f>(C7*'Dane dla CWU'!$AB$53+'Dane dla CWU'!$AD$53)/(C7*'Dane dla CO'!$P$35+'Dane dla CO'!$Q$35)</f>
        <v>1.7932098765432098</v>
      </c>
      <c r="I7" s="84">
        <f t="shared" si="10"/>
        <v>10.319026666666666</v>
      </c>
      <c r="J7" s="84">
        <f>IF(C7&lt;'Dane dla CWU'!$R$67,0,IF(H7&gt;1,I7,H7*I7))</f>
        <v>10.319026666666666</v>
      </c>
      <c r="K7" s="84">
        <f t="shared" si="11"/>
        <v>0</v>
      </c>
      <c r="M7">
        <v>5</v>
      </c>
      <c r="N7">
        <v>-11</v>
      </c>
      <c r="O7" s="84">
        <f>(N7*'Dane dla CO'!$T$53+'Dane dla CO'!$V$53)/(N7*'Dane dla CO'!$P$35+'Dane dla CO'!$Q$35)</f>
        <v>0.95757656695156679</v>
      </c>
      <c r="P7" s="84">
        <f>N7*'Dane dla CO'!$N$96+'Dane dla CO'!$N$97</f>
        <v>194.40000000000003</v>
      </c>
      <c r="Q7" s="84">
        <f>IF(N7&lt;'Dane dla CO'!$R$67,0,IF(O7&gt;1,P7,O7*P7))</f>
        <v>0</v>
      </c>
      <c r="R7" s="84">
        <f t="shared" si="12"/>
        <v>194.40000000000003</v>
      </c>
      <c r="S7" s="84">
        <f>(N7*'Dane dla CWU'!$T$53+'Dane dla CWU'!$V$53)/(N7*'Dane dla CO'!$P$35+'Dane dla CO'!$Q$35)</f>
        <v>0.8893340455840455</v>
      </c>
      <c r="T7" s="84">
        <f t="shared" si="13"/>
        <v>10.319026666666666</v>
      </c>
      <c r="U7" s="84">
        <f>IF(N7&lt;'Dane dla CWU'!$R$67,0,IF(S7&gt;1,T7,S7*T7))</f>
        <v>0</v>
      </c>
      <c r="V7" s="84">
        <f t="shared" si="14"/>
        <v>10.319026666666666</v>
      </c>
      <c r="X7">
        <v>5</v>
      </c>
      <c r="Y7">
        <v>-2</v>
      </c>
      <c r="Z7" s="84">
        <f>(Y7*'Dane dla CO'!$T$53+'Dane dla CO'!$V$53)/(Y7*'Dane dla CO'!$P$35+'Dane dla CO'!$Q$35)</f>
        <v>1.7572678376906314</v>
      </c>
      <c r="AA7" s="84">
        <f>Y7*'Dane dla CO'!$N$96+'Dane dla CO'!$N$97</f>
        <v>129.60000000000002</v>
      </c>
      <c r="AB7" s="84">
        <f>IF(Y7&lt;'Dane dla CO'!$R$67,0,IF(Z7&gt;1,AA7,Z7*AA7))</f>
        <v>129.60000000000002</v>
      </c>
      <c r="AC7" s="84">
        <f t="shared" si="15"/>
        <v>0</v>
      </c>
      <c r="AD7" s="84">
        <f>(Y7*'Dane dla CWU'!$T$53+'Dane dla CWU'!$V$53)/(Y7*'Dane dla CO'!$P$35+'Dane dla CO'!$Q$35)</f>
        <v>1.7140182461873639</v>
      </c>
      <c r="AE7" s="84">
        <f t="shared" si="16"/>
        <v>10.319026666666666</v>
      </c>
      <c r="AF7" s="84">
        <f>IF(Y7&lt;'Dane dla CWU'!$R$67,0,IF(AD7&gt;1,AE7,AD7*AE7))</f>
        <v>0</v>
      </c>
      <c r="AG7" s="84">
        <f t="shared" si="17"/>
        <v>10.319026666666666</v>
      </c>
      <c r="AI7">
        <v>5</v>
      </c>
      <c r="AJ7">
        <v>7</v>
      </c>
      <c r="AK7" s="84">
        <f>(AJ7*'Dane dla CO'!$T$53+'Dane dla CO'!$V$53)/(AJ7*'Dane dla CO'!$P$35+'Dane dla CO'!$Q$35)</f>
        <v>4.3562644675925926</v>
      </c>
      <c r="AL7" s="84">
        <f>AJ7*'Dane dla CO'!$N$96+'Dane dla CO'!$N$97</f>
        <v>64.800000000000011</v>
      </c>
      <c r="AM7" s="84">
        <f>IF(AJ7&lt;'Dane dla CO'!$R$67,0,IF(AK7&gt;1,AL7,AK7*AL7))</f>
        <v>64.800000000000011</v>
      </c>
      <c r="AN7" s="84">
        <f t="shared" si="18"/>
        <v>0</v>
      </c>
      <c r="AO7" s="84">
        <f>(AJ7*'Dane dla CWU'!$T$53+'Dane dla CWU'!$V$53)/(AJ7*'Dane dla CO'!$P$35+'Dane dla CO'!$Q$35)</f>
        <v>4.3942418981481479</v>
      </c>
      <c r="AP7" s="84">
        <f t="shared" si="19"/>
        <v>10.319026666666666</v>
      </c>
      <c r="AQ7" s="84">
        <f>IF(AJ7&lt;'Dane dla CWU'!$R$67,0,IF(AO7&gt;1,AP7,AO7*AP7))</f>
        <v>10.319026666666666</v>
      </c>
      <c r="AR7" s="84">
        <f t="shared" si="20"/>
        <v>0</v>
      </c>
      <c r="AT7">
        <v>5</v>
      </c>
      <c r="AU7">
        <v>18</v>
      </c>
      <c r="BA7">
        <v>5</v>
      </c>
      <c r="BB7">
        <v>14</v>
      </c>
      <c r="BH7">
        <v>5</v>
      </c>
      <c r="BI7">
        <v>25</v>
      </c>
      <c r="BO7">
        <v>5</v>
      </c>
      <c r="BP7">
        <v>26</v>
      </c>
      <c r="BV7">
        <v>5</v>
      </c>
      <c r="BW7">
        <v>17</v>
      </c>
      <c r="CB7" s="84"/>
      <c r="CC7" s="84">
        <f t="shared" si="21"/>
        <v>10.319026666666666</v>
      </c>
      <c r="CD7" s="84">
        <f t="shared" si="22"/>
        <v>10.319026666666666</v>
      </c>
      <c r="CE7" s="84">
        <f t="shared" si="23"/>
        <v>0</v>
      </c>
      <c r="CG7">
        <v>5</v>
      </c>
      <c r="CH7">
        <v>12</v>
      </c>
      <c r="CI7" s="84">
        <f>(CH7*'Dane dla CO'!$T$53+'Dane dla CO'!$V$53)/(CH7*'Dane dla CO'!$P$35+'Dane dla CO'!$Q$35)</f>
        <v>12.538290895061728</v>
      </c>
      <c r="CJ7" s="84">
        <f>CH7*'Dane dla CO'!$N$96+'Dane dla CO'!$N$97</f>
        <v>28.800000000000011</v>
      </c>
      <c r="CK7" s="84">
        <f>IF(CH7&lt;'Dane dla CO'!$R$67,0,IF(CI7&gt;1,CJ7,CI7*CJ7))</f>
        <v>28.800000000000011</v>
      </c>
      <c r="CL7" s="84">
        <f t="shared" si="24"/>
        <v>0</v>
      </c>
      <c r="CM7" s="84">
        <f>(CH7*'Dane dla CWU'!$T$53+'Dane dla CWU'!$V$53)/(CH7*'Dane dla CO'!$P$35+'Dane dla CO'!$Q$35)</f>
        <v>12.831983024691358</v>
      </c>
      <c r="CN7" s="84">
        <f t="shared" si="1"/>
        <v>10.319026666666666</v>
      </c>
      <c r="CO7" s="84">
        <f>IF(CH7&lt;'Dane dla CWU'!$R$67,0,IF(CM7&gt;1,CN7,CM7*CN7))</f>
        <v>10.319026666666666</v>
      </c>
      <c r="CP7" s="84">
        <f t="shared" si="25"/>
        <v>0</v>
      </c>
      <c r="CR7">
        <v>5</v>
      </c>
      <c r="CS7">
        <v>8</v>
      </c>
      <c r="CT7" s="84">
        <f>(CS7*'Dane dla CO'!$T$53+'Dane dla CO'!$V$53)/(CS7*'Dane dla CO'!$P$35+'Dane dla CO'!$Q$35)</f>
        <v>5.0575810185185182</v>
      </c>
      <c r="CU7" s="84">
        <f>CS7*'Dane dla CO'!$N$96+'Dane dla CO'!$N$97</f>
        <v>57.600000000000009</v>
      </c>
      <c r="CV7" s="84">
        <f>IF(CS7&lt;'Dane dla CO'!$R$67,0,IF(CT7&gt;1,CU7,CT7*CU7))</f>
        <v>57.600000000000009</v>
      </c>
      <c r="CW7" s="84">
        <f t="shared" si="26"/>
        <v>0</v>
      </c>
      <c r="CX7" s="84">
        <f>(CS7*'Dane dla CWU'!$T$53+'Dane dla CWU'!$V$53)/(CS7*'Dane dla CO'!$P$35+'Dane dla CO'!$Q$35)</f>
        <v>5.1174768518518521</v>
      </c>
      <c r="CY7" s="84">
        <f t="shared" si="4"/>
        <v>10.319026666666666</v>
      </c>
      <c r="CZ7" s="84">
        <f>IF(CS7&lt;'Dane dla CWU'!$R$67,0,IF(CX7&gt;1,CY7,CX7*CY7))</f>
        <v>10.319026666666666</v>
      </c>
      <c r="DA7" s="84">
        <f t="shared" si="27"/>
        <v>0</v>
      </c>
      <c r="DC7">
        <v>5</v>
      </c>
      <c r="DD7">
        <v>0</v>
      </c>
      <c r="DE7" s="84">
        <f>(DD7*'Dane dla CO'!$T$53+'Dane dla CO'!$V$53)/(DD7*'Dane dla CO'!$P$35+'Dane dla CO'!$Q$35)</f>
        <v>2.0652970679012341</v>
      </c>
      <c r="DF7" s="84">
        <f>DD7*'Dane dla CO'!$N$96+'Dane dla CO'!$N$97</f>
        <v>115.20000000000002</v>
      </c>
      <c r="DG7" s="84">
        <f>IF(DD7&lt;'Dane dla CO'!$R$67,0,IF(DE7&gt;1,DF7,DE7*DF7))</f>
        <v>115.20000000000002</v>
      </c>
      <c r="DH7" s="84">
        <f t="shared" si="28"/>
        <v>0</v>
      </c>
      <c r="DI7" s="84">
        <f>(DD7*'Dane dla CWU'!$T$53+'Dane dla CWU'!$V$53)/(DD7*'Dane dla CO'!$P$35+'Dane dla CO'!$Q$35)</f>
        <v>2.0316743827160493</v>
      </c>
      <c r="DJ7" s="84">
        <f t="shared" si="7"/>
        <v>10.319026666666666</v>
      </c>
      <c r="DK7" s="84">
        <f>IF(DD7&lt;'Dane dla CWU'!$R$67,0,IF(DI7&gt;1,DJ7,DI7*DJ7))</f>
        <v>0</v>
      </c>
      <c r="DL7" s="84">
        <f t="shared" si="29"/>
        <v>10.319026666666666</v>
      </c>
      <c r="DM7" s="49">
        <v>-13</v>
      </c>
      <c r="DN7" s="94">
        <f>DO7*'Dane dla CO'!$N$80</f>
        <v>1163.7551020408164</v>
      </c>
      <c r="DO7" s="94">
        <f>(15-DS7)/35*'Dane dla CO'!$N$75</f>
        <v>10.182857142857143</v>
      </c>
      <c r="DP7" s="94">
        <f t="shared" si="37"/>
        <v>1163.7551020408164</v>
      </c>
      <c r="DQ7" s="51">
        <v>-13</v>
      </c>
      <c r="DR7" s="115">
        <v>1</v>
      </c>
      <c r="DS7" s="115">
        <v>-18</v>
      </c>
      <c r="DT7" s="89">
        <f>Wykresy!Y5</f>
        <v>53.8</v>
      </c>
      <c r="DU7" s="90">
        <f>Wykresy!AE5</f>
        <v>34.266666666666666</v>
      </c>
      <c r="DV7" s="92">
        <f>(($DV$10-$DV$5)/5)*2+$DV$5</f>
        <v>6.4</v>
      </c>
      <c r="DW7" s="92">
        <f>(($DW$10-$DW$5)/5)*2+$DW$5</f>
        <v>4.1480000000000006</v>
      </c>
      <c r="DX7" s="92">
        <f t="shared" si="30"/>
        <v>1.5429122468659593</v>
      </c>
      <c r="DY7" s="86">
        <f>(($DY$10-$DY$5)/5)*2+$DY$5</f>
        <v>7.4279999999999999</v>
      </c>
      <c r="DZ7" s="86">
        <f>(($DZ$10-$DZ$5)/5)*2+$DZ$5</f>
        <v>3.0939999999999999</v>
      </c>
      <c r="EA7" s="96">
        <f t="shared" si="38"/>
        <v>2.4007756948933419</v>
      </c>
      <c r="EB7" s="85">
        <f t="shared" si="31"/>
        <v>1</v>
      </c>
      <c r="EC7" s="85">
        <f t="shared" si="32"/>
        <v>6.8573877638487078E-3</v>
      </c>
      <c r="ED7" s="85">
        <f>(SUM(EC7:$EC$40))*$DT$42/(SUM(EB7:$EB$40))</f>
        <v>3.7085345517261197</v>
      </c>
      <c r="EE7" s="86">
        <f t="shared" si="33"/>
        <v>1</v>
      </c>
      <c r="EF7" s="86">
        <f t="shared" si="34"/>
        <v>1.0670114199525963E-2</v>
      </c>
      <c r="EG7" s="86">
        <f>(SUM(EF7:$EF$40))*$DT$42/(SUM(EE7:$EE$40))</f>
        <v>4.7550690810600473</v>
      </c>
      <c r="EI7" s="115">
        <v>1</v>
      </c>
      <c r="EJ7" s="115">
        <f t="shared" ref="EJ7:EJ53" si="40">EJ6+EI7</f>
        <v>1</v>
      </c>
      <c r="EK7" s="115">
        <v>-18</v>
      </c>
      <c r="EL7" s="89">
        <v>55</v>
      </c>
      <c r="EM7" s="92">
        <f>EM6+$ES$5</f>
        <v>6.1240000000000006</v>
      </c>
      <c r="EN7" s="92">
        <f>EN6+$ET$5</f>
        <v>4.1480000000000006</v>
      </c>
      <c r="EO7" s="92">
        <f t="shared" si="39"/>
        <v>1.4763741562198649</v>
      </c>
      <c r="EP7" s="85">
        <f t="shared" si="35"/>
        <v>1</v>
      </c>
      <c r="EQ7" s="85">
        <f t="shared" si="36"/>
        <v>6.5616629165327327E-3</v>
      </c>
      <c r="ER7" s="85">
        <f>(SUM(EQ7:$EQ$53))*$EL$54/(SUM(EP7:$EP$53))</f>
        <v>4.4691756692246001</v>
      </c>
      <c r="EV7" s="166"/>
      <c r="EW7" s="67" t="s">
        <v>144</v>
      </c>
      <c r="EX7" s="59"/>
      <c r="EY7" s="21"/>
      <c r="EZ7" s="102">
        <f>ROUND('Dane dla CWU'!R67,0)</f>
        <v>3</v>
      </c>
      <c r="FA7" s="84">
        <f>IF(EZ7=EK5,ER5,IF(EZ7=EK6,ER6,IF(EZ7=EK7,ER7,IF(EZ7=EK8,ER8,IF(EZ7=EK9,ER9,IF(EZ7=EK10,ER10,IF(EZ7=EK11,ER11,IF(EZ7=EK12,ER12,IF(EZ7=EK13,ER13,IF(EZ7=EK14,ER14,IF(EZ7=EK15,ER15,IF(EZ7=EK16,ER16,IF(EZ7=EK17,ER17,IF(EZ7=EK18,ER18,IF(EZ7=EK19,ER19,IF(EZ7=EK20,ER20,IF(EZ7=EK21,ER21,IF(EZ7=EK22,ER22,IF(EZ7=EK23,ER23,IF(EZ7=EK24,ER24,IF(EZ7=EK25,ER25,IF(EZ7=EK26,ER26,IF(EZ7=EK27,ER27,IF(EZ7=EK28,ER28,IF(EZ7=EK29,ER29,IF(EZ7=EK30,ER30,IF(EZ7=EK31,ER31,IF(EZ7=EK32,ER32,IF(EZ7=EK33,ER33,IF(EZ7=EK34,ER34,IF(EZ7=EK35,ER35,IF(EZ7=EK36,ER36,IF(EZ7=EK37,ER37,IF(EZ7=EK38,ER38,IF(EZ7=EK39,ER39,IF(EZ7=EK40,ER40,IF(EZ7=EK41,ER41,IF(EZ7=EK42,ER42,IF(EZ7=EK43,ER43,IF(EZ7=EK44,ER44,IF(EZ7=EK45,ER45,IF(EZ7=EK46,ER46,IF(EZ7=EK47,ER47,IF(EZ7=EK48,ER48,IF(EZ7=EK49,ER49,IF(EZ7=EK50,ER50,IF(EZ7=EK51,ER51,IF(EZ7=EK52,ER52,ER53))))))))))))))))))))))))))))))))))))))))))))))))</f>
        <v>4.8158157596365347</v>
      </c>
      <c r="FB7" s="84">
        <f>IF(EZ7=EK5,ER5,IF(EZ7=EK6,ER6,IF(EZ7=EK7,ER7,IF(EZ7=EK8,ER8,IF(EZ7=EK9,ER9,IF(EZ7=EK10,ER10,IF(EZ7=EK11,ER11,IF(EZ7=EK12,ER12,IF(EZ7=EK13,ER13,IF(EZ7=EK14,ER14,IF(EZ7=EK15,ER15,IF(EZ7=EK16,ER16,IF(EZ7=EK17,ER17,IF(EZ7=EK18,ER18,IF(EZ7=EK19,ER19,IF(EZ7=EK20,ER20,IF(EZ7=EK21,ER21,IF(EZ7=EK22,ER22,IF(EZ7=EK23,ER23,IF(EZ7=EK24,ER24,IF(EZ7=EK25,ER25,IF(EZ7=EK26,ER26,IF(EZ7=EK27,ER27,IF(EZ7=EK28,ER28,IF(EZ7=EK29,ER29,IF(EZ7=EK30,ER30,IF(EZ7=EK31,ER31,IF(EZ7=EK32,ER32,IF(EZ7=EK33,ER33,IF(EZ7=EK34,ER34,IF(EZ7=EK35,ER35,IF(EZ7=EK36,ER36,IF(EZ7=EK37,ER37,IF(EZ7=EK38,ER38,IF(EZ7=EK39,ER39,IF(EZ7=EK40,ER40,IF(EZ7=EK41,ER41,IF(EZ7=EK42,ER42,IF(EZ7=EK43,ER43,IF(EZ7=EK44,ER44,IF(EZ7=EK45,ER45,IF(EZ7=EK46,ER46,IF(EZ7=EK47,ER47,IF(EZ7=EK48,ER48,IF(EZ7=EK49,ER49,IF(EZ7=EK50,ER50,IF(EZ7=EK51,ER51,IF(EZ7=EK52,ER52,ER53))))))))))))))))))))))))))))))))))))))))))))))))</f>
        <v>4.8158157596365347</v>
      </c>
      <c r="FC7">
        <f>EL54-FF7</f>
        <v>270</v>
      </c>
      <c r="FD7">
        <f>('Dane dla CWU'!H43)*FC7/(FC7+FF7)</f>
        <v>2778.5248032786885</v>
      </c>
      <c r="FE7" s="103">
        <f>FD7/FB7*'Dane dla CWU'!C56</f>
        <v>351.94455406822283</v>
      </c>
      <c r="FF7">
        <f>IF(EZ7=EK5,EJ5,IF(EZ7=EK6,EJ6,IF(EZ7=EK7,EJ7,IF(EZ7=EK8,EJ8,IF(EZ7=EK9,EJ9,IF(EZ7=EK10,EJ10,IF(EZ7=EK11,EJ11,IF(EZ7=EK12,EJ12,IF(EZ7=EK13,EJ13,IF(EZ7=EK14,EJ14,IF(EZ7=EK15,EJ15,IF(EZ7=EK16,EJ16,IF(EZ7=EK17,EJ17,IF(EZ7=EK18,EJ18,IF(EZ7=EK19,EJ19,IF(EZ7=EK20,EJ20,IF(EZ7=EK21,EJ21,IF(EZ7=EK22,EJ22,IF(EZ7=EK23,EJ23,IF(EZ7=EK24,EJ24,IF(EZ7=EK25,EJ25,IF(EZ7=EK26,EJ26,IF(EZ7=EK27,EJ27,IF(EZ7=EK28,EJ28,IF(EZ7=EK29,EJ29,IF(EZ7=EK30,EJ30,IF(EZ7=EK31,EJ31,IF(EZ7=EK32,EJ32,IF(EZ7=EK33,EJ33,IF(EZ7=EK34,EJ34,IF(EZ7=EK35,EJ35,IF(EZ7=EK36,EJ36,IF(EZ7=EK37,EJ37,IF(EZ7=EK38,EJ38,IF(EZ7=EK39,EJ39,IF(EZ7=EK40,EJ40,IF(EZ7=EK41,EJ41,IF(EZ7=EK42,EJ42,IF(EZ7=EK43,EJ43,IF(EZ7=EK44,EJ44,IF(EZ7=EK45,EJ45,IF(EZ7=EK46,EJ46,IF(EZ7=EK47,EJ47,IF(EZ7=EK48,EJ48,IF(EZ7=EK49,EJ49,IF(EZ7=EK50,EJ50,IF(EZ7=EK51,EJ51,IF(EZ7=EK52,BSK2,EJ53))))))))))))))))))))))))))))))))))))))))))))))))</f>
        <v>96</v>
      </c>
      <c r="FG7">
        <f>'Dane dla CWU'!H43-FD7</f>
        <v>987.91993005464474</v>
      </c>
      <c r="FH7" s="103">
        <f>IF(FJ7&lt;400,FG7*'Dane dla CO'!G54,FG7*'Dane dla CO'!G55)</f>
        <v>276.61758041530055</v>
      </c>
      <c r="FI7" s="103">
        <f>FH7+FE7</f>
        <v>628.56213448352332</v>
      </c>
      <c r="FJ7">
        <f>FG7/'Dane dla CWU'!H40</f>
        <v>101.74252626721366</v>
      </c>
    </row>
    <row r="8" spans="1:166">
      <c r="A8" s="162"/>
      <c r="B8">
        <v>6</v>
      </c>
      <c r="C8">
        <v>4</v>
      </c>
      <c r="D8" s="84">
        <f>(C8*'Dane dla CO'!$T$53+'Dane dla CO'!$V$53)/(C8*'Dane dla CO'!$P$35+'Dane dla CO'!$Q$35)</f>
        <v>3.0173874158249157</v>
      </c>
      <c r="E8" s="84">
        <f>C8*'Dane dla CO'!$N$96+'Dane dla CO'!$N$97</f>
        <v>86.4</v>
      </c>
      <c r="F8" s="84">
        <f>IF(C8&lt;'Dane dla CO'!$R$67,0,IF(D8&gt;1,E8,D8*E8))</f>
        <v>86.4</v>
      </c>
      <c r="G8" s="84">
        <f t="shared" si="9"/>
        <v>0</v>
      </c>
      <c r="H8" s="84">
        <f>(C8*'Dane dla CWU'!$AB$53+'Dane dla CWU'!$AD$53)/(C8*'Dane dla CO'!$P$35+'Dane dla CO'!$Q$35)</f>
        <v>1.5876356154133928</v>
      </c>
      <c r="I8" s="84">
        <f t="shared" si="10"/>
        <v>10.319026666666666</v>
      </c>
      <c r="J8" s="84">
        <f>IF(C8&lt;'Dane dla CWU'!$R$67,0,IF(H8&gt;1,I8,H8*I8))</f>
        <v>10.319026666666666</v>
      </c>
      <c r="K8" s="84">
        <f t="shared" si="11"/>
        <v>0</v>
      </c>
      <c r="M8">
        <v>6</v>
      </c>
      <c r="N8">
        <v>-11</v>
      </c>
      <c r="O8" s="84">
        <f>(N8*'Dane dla CO'!$T$53+'Dane dla CO'!$V$53)/(N8*'Dane dla CO'!$P$35+'Dane dla CO'!$Q$35)</f>
        <v>0.95757656695156679</v>
      </c>
      <c r="P8" s="84">
        <f>N8*'Dane dla CO'!$N$96+'Dane dla CO'!$N$97</f>
        <v>194.40000000000003</v>
      </c>
      <c r="Q8" s="84">
        <f>IF(N8&lt;'Dane dla CO'!$R$67,0,IF(O8&gt;1,P8,O8*P8))</f>
        <v>0</v>
      </c>
      <c r="R8" s="84">
        <f t="shared" si="12"/>
        <v>194.40000000000003</v>
      </c>
      <c r="S8" s="84">
        <f>(N8*'Dane dla CWU'!$T$53+'Dane dla CWU'!$V$53)/(N8*'Dane dla CO'!$P$35+'Dane dla CO'!$Q$35)</f>
        <v>0.8893340455840455</v>
      </c>
      <c r="T8" s="84">
        <f t="shared" si="13"/>
        <v>10.319026666666666</v>
      </c>
      <c r="U8" s="84">
        <f>IF(N8&lt;'Dane dla CWU'!$R$67,0,IF(S8&gt;1,T8,S8*T8))</f>
        <v>0</v>
      </c>
      <c r="V8" s="84">
        <f t="shared" si="14"/>
        <v>10.319026666666666</v>
      </c>
      <c r="X8">
        <v>6</v>
      </c>
      <c r="Y8">
        <v>-1</v>
      </c>
      <c r="Z8" s="84">
        <f>(Y8*'Dane dla CO'!$T$53+'Dane dla CO'!$V$53)/(Y8*'Dane dla CO'!$P$35+'Dane dla CO'!$Q$35)</f>
        <v>1.9016565393518516</v>
      </c>
      <c r="AA8" s="84">
        <f>Y8*'Dane dla CO'!$N$96+'Dane dla CO'!$N$97</f>
        <v>122.40000000000002</v>
      </c>
      <c r="AB8" s="84">
        <f>IF(Y8&lt;'Dane dla CO'!$R$67,0,IF(Z8&gt;1,AA8,Z8*AA8))</f>
        <v>122.40000000000002</v>
      </c>
      <c r="AC8" s="84">
        <f t="shared" si="15"/>
        <v>0</v>
      </c>
      <c r="AD8" s="84">
        <f>(Y8*'Dane dla CWU'!$T$53+'Dane dla CWU'!$V$53)/(Y8*'Dane dla CO'!$P$35+'Dane dla CO'!$Q$35)</f>
        <v>1.8629195601851849</v>
      </c>
      <c r="AE8" s="84">
        <f t="shared" si="16"/>
        <v>10.319026666666666</v>
      </c>
      <c r="AF8" s="84">
        <f>IF(Y8&lt;'Dane dla CWU'!$R$67,0,IF(AD8&gt;1,AE8,AD8*AE8))</f>
        <v>0</v>
      </c>
      <c r="AG8" s="84">
        <f t="shared" si="17"/>
        <v>10.319026666666666</v>
      </c>
      <c r="AI8">
        <v>6</v>
      </c>
      <c r="AJ8">
        <v>6</v>
      </c>
      <c r="AK8" s="84">
        <f>(AJ8*'Dane dla CO'!$T$53+'Dane dla CO'!$V$53)/(AJ8*'Dane dla CO'!$P$35+'Dane dla CO'!$Q$35)</f>
        <v>3.8107960390946491</v>
      </c>
      <c r="AL8" s="84">
        <f>AJ8*'Dane dla CO'!$N$96+'Dane dla CO'!$N$97</f>
        <v>72.000000000000014</v>
      </c>
      <c r="AM8" s="84">
        <f>IF(AJ8&lt;'Dane dla CO'!$R$67,0,IF(AK8&gt;1,AL8,AK8*AL8))</f>
        <v>72.000000000000014</v>
      </c>
      <c r="AN8" s="84">
        <f t="shared" si="18"/>
        <v>0</v>
      </c>
      <c r="AO8" s="84">
        <f>(AJ8*'Dane dla CWU'!$T$53+'Dane dla CWU'!$V$53)/(AJ8*'Dane dla CO'!$P$35+'Dane dla CO'!$Q$35)</f>
        <v>3.8317258230452675</v>
      </c>
      <c r="AP8" s="84">
        <f t="shared" si="19"/>
        <v>10.319026666666666</v>
      </c>
      <c r="AQ8" s="84">
        <f>IF(AJ8&lt;'Dane dla CWU'!$R$67,0,IF(AO8&gt;1,AP8,AO8*AP8))</f>
        <v>10.319026666666666</v>
      </c>
      <c r="AR8" s="84">
        <f t="shared" si="20"/>
        <v>0</v>
      </c>
      <c r="AT8">
        <v>6</v>
      </c>
      <c r="AU8">
        <v>17</v>
      </c>
      <c r="BA8">
        <v>6</v>
      </c>
      <c r="BB8">
        <v>14</v>
      </c>
      <c r="BH8">
        <v>6</v>
      </c>
      <c r="BI8">
        <v>26</v>
      </c>
      <c r="BO8">
        <v>6</v>
      </c>
      <c r="BP8">
        <v>22</v>
      </c>
      <c r="BV8">
        <v>6</v>
      </c>
      <c r="BW8">
        <v>16</v>
      </c>
      <c r="CB8" s="84"/>
      <c r="CC8" s="84">
        <f t="shared" si="21"/>
        <v>10.319026666666666</v>
      </c>
      <c r="CD8" s="84">
        <f t="shared" si="22"/>
        <v>10.319026666666666</v>
      </c>
      <c r="CE8" s="84">
        <f t="shared" si="23"/>
        <v>0</v>
      </c>
      <c r="CG8">
        <v>6</v>
      </c>
      <c r="CI8" s="84"/>
      <c r="CJ8" s="84"/>
      <c r="CK8" s="84"/>
      <c r="CL8" s="84"/>
      <c r="CM8" s="84"/>
      <c r="CN8" s="84">
        <f t="shared" si="1"/>
        <v>10.319026666666666</v>
      </c>
      <c r="CO8" s="84">
        <f>IF(CH8&lt;'Dane dla CWU'!$R$67,0,IF(CM8&gt;1,CN8,CM8*CN8))</f>
        <v>0</v>
      </c>
      <c r="CP8" s="84">
        <f t="shared" si="25"/>
        <v>10.319026666666666</v>
      </c>
      <c r="CR8">
        <v>6</v>
      </c>
      <c r="CS8">
        <v>5</v>
      </c>
      <c r="CT8" s="84">
        <f>(CS8*'Dane dla CO'!$T$53+'Dane dla CO'!$V$53)/(CS8*'Dane dla CO'!$P$35+'Dane dla CO'!$Q$35)</f>
        <v>3.3744212962962958</v>
      </c>
      <c r="CU8" s="84">
        <f>CS8*'Dane dla CO'!$N$96+'Dane dla CO'!$N$97</f>
        <v>79.200000000000017</v>
      </c>
      <c r="CV8" s="84">
        <f>IF(CS8&lt;'Dane dla CO'!$R$67,0,IF(CT8&gt;1,CU8,CT8*CU8))</f>
        <v>79.200000000000017</v>
      </c>
      <c r="CW8" s="84">
        <f t="shared" si="26"/>
        <v>0</v>
      </c>
      <c r="CX8" s="84">
        <f>(CS8*'Dane dla CWU'!$T$53+'Dane dla CWU'!$V$53)/(CS8*'Dane dla CO'!$P$35+'Dane dla CO'!$Q$35)</f>
        <v>3.381712962962963</v>
      </c>
      <c r="CY8" s="84">
        <f t="shared" si="4"/>
        <v>10.319026666666666</v>
      </c>
      <c r="CZ8" s="84">
        <f>IF(CS8&lt;'Dane dla CWU'!$R$67,0,IF(CX8&gt;1,CY8,CX8*CY8))</f>
        <v>10.319026666666666</v>
      </c>
      <c r="DA8" s="84">
        <f t="shared" si="27"/>
        <v>0</v>
      </c>
      <c r="DC8">
        <v>6</v>
      </c>
      <c r="DD8">
        <v>-3</v>
      </c>
      <c r="DE8" s="84">
        <f>(DD8*'Dane dla CO'!$T$53+'Dane dla CO'!$V$53)/(DD8*'Dane dla CO'!$P$35+'Dane dla CO'!$Q$35)</f>
        <v>1.6289223251028804</v>
      </c>
      <c r="DF8" s="84">
        <f>DD8*'Dane dla CO'!$N$96+'Dane dla CO'!$N$97</f>
        <v>136.80000000000001</v>
      </c>
      <c r="DG8" s="84">
        <f>IF(DD8&lt;'Dane dla CO'!$R$67,0,IF(DE8&gt;1,DF8,DE8*DF8))</f>
        <v>136.80000000000001</v>
      </c>
      <c r="DH8" s="84">
        <f t="shared" si="28"/>
        <v>0</v>
      </c>
      <c r="DI8" s="84">
        <f>(DD8*'Dane dla CWU'!$T$53+'Dane dla CWU'!$V$53)/(DD8*'Dane dla CO'!$P$35+'Dane dla CO'!$Q$35)</f>
        <v>1.5816615226337447</v>
      </c>
      <c r="DJ8" s="84">
        <f t="shared" si="7"/>
        <v>10.319026666666666</v>
      </c>
      <c r="DK8" s="84">
        <f>IF(DD8&lt;'Dane dla CWU'!$R$67,0,IF(DI8&gt;1,DJ8,DI8*DJ8))</f>
        <v>0</v>
      </c>
      <c r="DL8" s="84">
        <f t="shared" si="29"/>
        <v>10.319026666666666</v>
      </c>
      <c r="DM8" s="49">
        <v>-12</v>
      </c>
      <c r="DN8" s="94">
        <f>DO8*'Dane dla CO'!$N$80</f>
        <v>1128.4897959183675</v>
      </c>
      <c r="DO8" s="94">
        <f>(15-DS8)/35*'Dane dla CO'!$N$75</f>
        <v>9.8742857142857154</v>
      </c>
      <c r="DP8" s="94">
        <f t="shared" si="37"/>
        <v>1128.4897959183675</v>
      </c>
      <c r="DQ8" s="51">
        <v>-12</v>
      </c>
      <c r="DR8" s="115">
        <v>0</v>
      </c>
      <c r="DS8" s="115">
        <v>-17</v>
      </c>
      <c r="DT8" s="89">
        <f>Wykresy!Y6</f>
        <v>53.2</v>
      </c>
      <c r="DU8" s="90">
        <f>Wykresy!AE6</f>
        <v>33.9</v>
      </c>
      <c r="DV8" s="92">
        <f>(($DV$10-$DV$5)/5)*3+$DV$5</f>
        <v>6.6</v>
      </c>
      <c r="DW8" s="92">
        <f>(($DW$10-$DW$5)/5)*3+$DW$5</f>
        <v>4.1219999999999999</v>
      </c>
      <c r="DX8" s="92">
        <f t="shared" si="30"/>
        <v>1.6011644832605532</v>
      </c>
      <c r="DY8" s="86">
        <f>(($DY$10-$DY$5)/5)*3+$DY$5</f>
        <v>7.6219999999999999</v>
      </c>
      <c r="DZ8" s="86">
        <f>(($DZ$10-$DZ$5)/5)*3+$DZ$5</f>
        <v>3.0960000000000001</v>
      </c>
      <c r="EA8" s="96">
        <f t="shared" si="38"/>
        <v>2.4618863049095605</v>
      </c>
      <c r="EB8" s="85">
        <f t="shared" si="31"/>
        <v>0</v>
      </c>
      <c r="EC8" s="85">
        <f t="shared" si="32"/>
        <v>0</v>
      </c>
      <c r="ED8" s="85">
        <f>(SUM(EC8:$EC$40))*$DT$42/(SUM(EB8:$EB$40))</f>
        <v>3.7182025084442456</v>
      </c>
      <c r="EE8" s="86">
        <f t="shared" si="33"/>
        <v>0</v>
      </c>
      <c r="EF8" s="86">
        <f t="shared" si="34"/>
        <v>0</v>
      </c>
      <c r="EG8" s="86">
        <f>(SUM(EF8:$EF$40))*$DT$42/(SUM(EE8:$EE$40))</f>
        <v>4.7655793193911489</v>
      </c>
      <c r="EI8" s="115">
        <v>0</v>
      </c>
      <c r="EJ8" s="115">
        <f t="shared" si="40"/>
        <v>1</v>
      </c>
      <c r="EK8" s="115">
        <v>-17</v>
      </c>
      <c r="EL8" s="89">
        <v>55</v>
      </c>
      <c r="EM8" s="92">
        <f t="shared" ref="EM8:EM9" si="41">EM7+$ES$5</f>
        <v>6.1860000000000008</v>
      </c>
      <c r="EN8" s="92">
        <f t="shared" ref="EN8:EN9" si="42">EN7+$ET$5</f>
        <v>4.1220000000000008</v>
      </c>
      <c r="EO8" s="92">
        <f t="shared" si="39"/>
        <v>1.5007278020378456</v>
      </c>
      <c r="EP8" s="85">
        <f t="shared" si="35"/>
        <v>0</v>
      </c>
      <c r="EQ8" s="85">
        <f t="shared" si="36"/>
        <v>0</v>
      </c>
      <c r="ER8" s="85">
        <f>(SUM(EQ8:$EQ$53))*$EL$54/(SUM(EP8:$EP$53))</f>
        <v>4.4748403460513781</v>
      </c>
    </row>
    <row r="9" spans="1:166">
      <c r="A9" s="162"/>
      <c r="B9">
        <v>7</v>
      </c>
      <c r="C9">
        <v>3</v>
      </c>
      <c r="D9" s="84">
        <f>(C9*'Dane dla CO'!$T$53+'Dane dla CO'!$V$53)/(C9*'Dane dla CO'!$P$35+'Dane dla CO'!$Q$35)</f>
        <v>2.719859182098765</v>
      </c>
      <c r="E9" s="84">
        <f>C9*'Dane dla CO'!$N$96+'Dane dla CO'!$N$97</f>
        <v>93.600000000000023</v>
      </c>
      <c r="F9" s="84">
        <f>IF(C9&lt;'Dane dla CO'!$R$67,0,IF(D9&gt;1,E9,D9*E9))</f>
        <v>93.600000000000023</v>
      </c>
      <c r="G9" s="84">
        <f t="shared" si="9"/>
        <v>0</v>
      </c>
      <c r="H9" s="84">
        <f>(C9*'Dane dla CWU'!$AB$53+'Dane dla CWU'!$AD$53)/(C9*'Dane dla CO'!$P$35+'Dane dla CO'!$Q$35)</f>
        <v>1.4163237311385457</v>
      </c>
      <c r="I9" s="84">
        <f t="shared" si="10"/>
        <v>10.319026666666666</v>
      </c>
      <c r="J9" s="84">
        <f>IF(C9&lt;'Dane dla CWU'!$R$67,0,IF(H9&gt;1,I9,H9*I9))</f>
        <v>10.319026666666666</v>
      </c>
      <c r="K9" s="84">
        <f t="shared" si="11"/>
        <v>0</v>
      </c>
      <c r="M9">
        <v>7</v>
      </c>
      <c r="N9">
        <v>-9</v>
      </c>
      <c r="O9" s="84">
        <f>(N9*'Dane dla CO'!$T$53+'Dane dla CO'!$V$53)/(N9*'Dane dla CO'!$P$35+'Dane dla CO'!$Q$35)</f>
        <v>1.0834538966049381</v>
      </c>
      <c r="P9" s="84">
        <f>N9*'Dane dla CO'!$N$96+'Dane dla CO'!$N$97</f>
        <v>180.00000000000003</v>
      </c>
      <c r="Q9" s="84">
        <f>IF(N9&lt;'Dane dla CO'!$R$67,0,IF(O9&gt;1,P9,O9*P9))</f>
        <v>0</v>
      </c>
      <c r="R9" s="84">
        <f t="shared" si="12"/>
        <v>180.00000000000003</v>
      </c>
      <c r="S9" s="84">
        <f>(N9*'Dane dla CWU'!$T$53+'Dane dla CWU'!$V$53)/(N9*'Dane dla CO'!$P$35+'Dane dla CO'!$Q$35)</f>
        <v>1.0191454475308641</v>
      </c>
      <c r="T9" s="84">
        <f t="shared" si="13"/>
        <v>10.319026666666666</v>
      </c>
      <c r="U9" s="84">
        <f>IF(N9&lt;'Dane dla CWU'!$R$67,0,IF(S9&gt;1,T9,S9*T9))</f>
        <v>0</v>
      </c>
      <c r="V9" s="84">
        <f t="shared" si="14"/>
        <v>10.319026666666666</v>
      </c>
      <c r="X9">
        <v>7</v>
      </c>
      <c r="Y9">
        <v>-2</v>
      </c>
      <c r="Z9" s="84">
        <f>(Y9*'Dane dla CO'!$T$53+'Dane dla CO'!$V$53)/(Y9*'Dane dla CO'!$P$35+'Dane dla CO'!$Q$35)</f>
        <v>1.7572678376906314</v>
      </c>
      <c r="AA9" s="84">
        <f>Y9*'Dane dla CO'!$N$96+'Dane dla CO'!$N$97</f>
        <v>129.60000000000002</v>
      </c>
      <c r="AB9" s="84">
        <f>IF(Y9&lt;'Dane dla CO'!$R$67,0,IF(Z9&gt;1,AA9,Z9*AA9))</f>
        <v>129.60000000000002</v>
      </c>
      <c r="AC9" s="84">
        <f t="shared" si="15"/>
        <v>0</v>
      </c>
      <c r="AD9" s="84">
        <f>(Y9*'Dane dla CWU'!$T$53+'Dane dla CWU'!$V$53)/(Y9*'Dane dla CO'!$P$35+'Dane dla CO'!$Q$35)</f>
        <v>1.7140182461873639</v>
      </c>
      <c r="AE9" s="84">
        <f t="shared" si="16"/>
        <v>10.319026666666666</v>
      </c>
      <c r="AF9" s="84">
        <f>IF(Y9&lt;'Dane dla CWU'!$R$67,0,IF(AD9&gt;1,AE9,AD9*AE9))</f>
        <v>0</v>
      </c>
      <c r="AG9" s="84">
        <f t="shared" si="17"/>
        <v>10.319026666666666</v>
      </c>
      <c r="AI9">
        <v>7</v>
      </c>
      <c r="AJ9">
        <v>8</v>
      </c>
      <c r="AK9" s="84">
        <f>(AJ9*'Dane dla CO'!$T$53+'Dane dla CO'!$V$53)/(AJ9*'Dane dla CO'!$P$35+'Dane dla CO'!$Q$35)</f>
        <v>5.0575810185185182</v>
      </c>
      <c r="AL9" s="84">
        <f>AJ9*'Dane dla CO'!$N$96+'Dane dla CO'!$N$97</f>
        <v>57.600000000000009</v>
      </c>
      <c r="AM9" s="84">
        <f>IF(AJ9&lt;'Dane dla CO'!$R$67,0,IF(AK9&gt;1,AL9,AK9*AL9))</f>
        <v>57.600000000000009</v>
      </c>
      <c r="AN9" s="84">
        <f t="shared" si="18"/>
        <v>0</v>
      </c>
      <c r="AO9" s="84">
        <f>(AJ9*'Dane dla CWU'!$T$53+'Dane dla CWU'!$V$53)/(AJ9*'Dane dla CO'!$P$35+'Dane dla CO'!$Q$35)</f>
        <v>5.1174768518518521</v>
      </c>
      <c r="AP9" s="84">
        <f t="shared" si="19"/>
        <v>10.319026666666666</v>
      </c>
      <c r="AQ9" s="84">
        <f>IF(AJ9&lt;'Dane dla CWU'!$R$67,0,IF(AO9&gt;1,AP9,AO9*AP9))</f>
        <v>10.319026666666666</v>
      </c>
      <c r="AR9" s="84">
        <f t="shared" si="20"/>
        <v>0</v>
      </c>
      <c r="AT9">
        <v>7</v>
      </c>
      <c r="AU9">
        <v>11</v>
      </c>
      <c r="BA9">
        <v>7</v>
      </c>
      <c r="BB9">
        <v>18</v>
      </c>
      <c r="BH9">
        <v>7</v>
      </c>
      <c r="BI9">
        <v>26</v>
      </c>
      <c r="BO9">
        <v>7</v>
      </c>
      <c r="BP9">
        <v>21</v>
      </c>
      <c r="BV9">
        <v>7</v>
      </c>
      <c r="BW9">
        <v>14</v>
      </c>
      <c r="CB9" s="84"/>
      <c r="CC9" s="84">
        <f t="shared" si="21"/>
        <v>10.319026666666666</v>
      </c>
      <c r="CD9" s="84">
        <f t="shared" si="22"/>
        <v>10.319026666666666</v>
      </c>
      <c r="CE9" s="84">
        <f t="shared" si="23"/>
        <v>0</v>
      </c>
      <c r="CG9">
        <v>7</v>
      </c>
      <c r="CH9">
        <v>11</v>
      </c>
      <c r="CI9" s="84">
        <f>(CH9*'Dane dla CO'!$T$53+'Dane dla CO'!$V$53)/(CH9*'Dane dla CO'!$P$35+'Dane dla CO'!$Q$35)</f>
        <v>9.2654803240740726</v>
      </c>
      <c r="CJ9" s="84">
        <f>CH9*'Dane dla CO'!$N$96+'Dane dla CO'!$N$97</f>
        <v>36</v>
      </c>
      <c r="CK9" s="84">
        <f>IF(CH9&lt;'Dane dla CO'!$R$67,0,IF(CI9&gt;1,CJ9,CI9*CJ9))</f>
        <v>36</v>
      </c>
      <c r="CL9" s="84">
        <f t="shared" si="24"/>
        <v>0</v>
      </c>
      <c r="CM9" s="84">
        <f>(CH9*'Dane dla CWU'!$T$53+'Dane dla CWU'!$V$53)/(CH9*'Dane dla CO'!$P$35+'Dane dla CO'!$Q$35)</f>
        <v>9.4568865740740744</v>
      </c>
      <c r="CN9" s="84">
        <f t="shared" si="1"/>
        <v>10.319026666666666</v>
      </c>
      <c r="CO9" s="84">
        <f>IF(CH9&lt;'Dane dla CWU'!$R$67,0,IF(CM9&gt;1,CN9,CM9*CN9))</f>
        <v>10.319026666666666</v>
      </c>
      <c r="CP9" s="84">
        <f t="shared" si="25"/>
        <v>0</v>
      </c>
      <c r="CR9">
        <v>7</v>
      </c>
      <c r="CS9">
        <v>5</v>
      </c>
      <c r="CT9" s="84">
        <f>(CS9*'Dane dla CO'!$T$53+'Dane dla CO'!$V$53)/(CS9*'Dane dla CO'!$P$35+'Dane dla CO'!$Q$35)</f>
        <v>3.3744212962962958</v>
      </c>
      <c r="CU9" s="84">
        <f>CS9*'Dane dla CO'!$N$96+'Dane dla CO'!$N$97</f>
        <v>79.200000000000017</v>
      </c>
      <c r="CV9" s="84">
        <f>IF(CS9&lt;'Dane dla CO'!$R$67,0,IF(CT9&gt;1,CU9,CT9*CU9))</f>
        <v>79.200000000000017</v>
      </c>
      <c r="CW9" s="84">
        <f t="shared" si="26"/>
        <v>0</v>
      </c>
      <c r="CX9" s="84">
        <f>(CS9*'Dane dla CWU'!$T$53+'Dane dla CWU'!$V$53)/(CS9*'Dane dla CO'!$P$35+'Dane dla CO'!$Q$35)</f>
        <v>3.381712962962963</v>
      </c>
      <c r="CY9" s="84">
        <f t="shared" si="4"/>
        <v>10.319026666666666</v>
      </c>
      <c r="CZ9" s="84">
        <f>IF(CS9&lt;'Dane dla CWU'!$R$67,0,IF(CX9&gt;1,CY9,CX9*CY9))</f>
        <v>10.319026666666666</v>
      </c>
      <c r="DA9" s="84">
        <f t="shared" si="27"/>
        <v>0</v>
      </c>
      <c r="DC9">
        <v>7</v>
      </c>
      <c r="DD9">
        <v>-4</v>
      </c>
      <c r="DE9" s="84">
        <f>(DD9*'Dane dla CO'!$T$53+'Dane dla CO'!$V$53)/(DD9*'Dane dla CO'!$P$35+'Dane dla CO'!$Q$35)</f>
        <v>1.5140868664717346</v>
      </c>
      <c r="DF9" s="84">
        <f>DD9*'Dane dla CO'!$N$96+'Dane dla CO'!$N$97</f>
        <v>144.00000000000003</v>
      </c>
      <c r="DG9" s="84">
        <f>IF(DD9&lt;'Dane dla CO'!$R$67,0,IF(DE9&gt;1,DF9,DE9*DF9))</f>
        <v>144.00000000000003</v>
      </c>
      <c r="DH9" s="84">
        <f t="shared" si="28"/>
        <v>0</v>
      </c>
      <c r="DI9" s="84">
        <f>(DD9*'Dane dla CWU'!$T$53+'Dane dla CWU'!$V$53)/(DD9*'Dane dla CO'!$P$35+'Dane dla CO'!$Q$35)</f>
        <v>1.4632370857699804</v>
      </c>
      <c r="DJ9" s="84">
        <f t="shared" si="7"/>
        <v>10.319026666666666</v>
      </c>
      <c r="DK9" s="84">
        <f>IF(DD9&lt;'Dane dla CWU'!$R$67,0,IF(DI9&gt;1,DJ9,DI9*DJ9))</f>
        <v>0</v>
      </c>
      <c r="DL9" s="84">
        <f t="shared" si="29"/>
        <v>10.319026666666666</v>
      </c>
      <c r="DM9" s="49">
        <v>-12</v>
      </c>
      <c r="DN9" s="94">
        <f>DO9*'Dane dla CO'!$N$80</f>
        <v>1093.2244897959185</v>
      </c>
      <c r="DO9" s="94">
        <f>(15-DS9)/35*'Dane dla CO'!$N$75</f>
        <v>9.5657142857142858</v>
      </c>
      <c r="DP9" s="94">
        <f t="shared" si="37"/>
        <v>1093.2244897959185</v>
      </c>
      <c r="DQ9" s="51">
        <v>-12</v>
      </c>
      <c r="DR9" s="115">
        <v>1</v>
      </c>
      <c r="DS9" s="115">
        <v>-16</v>
      </c>
      <c r="DT9" s="89">
        <f>Wykresy!Y7</f>
        <v>52.6</v>
      </c>
      <c r="DU9" s="90">
        <f>Wykresy!AE7</f>
        <v>33.533333333333331</v>
      </c>
      <c r="DV9" s="92">
        <f>(($DV$10-$DV$5)/5)*4+$DV$5</f>
        <v>6.8</v>
      </c>
      <c r="DW9" s="92">
        <f>(($DW$10-$DW$5)/5)*4+$DW$5</f>
        <v>4.0960000000000001</v>
      </c>
      <c r="DX9" s="92">
        <f t="shared" si="30"/>
        <v>1.66015625</v>
      </c>
      <c r="DY9" s="86">
        <f>(($DY$10-$DY$5)/5)*4+$DY$5</f>
        <v>7.8159999999999998</v>
      </c>
      <c r="DZ9" s="86">
        <f>(($DZ$10-$DZ$5)/5)*4+$DZ$5</f>
        <v>3.0979999999999999</v>
      </c>
      <c r="EA9" s="96">
        <f t="shared" si="38"/>
        <v>2.5229180116204004</v>
      </c>
      <c r="EB9" s="85">
        <f t="shared" si="31"/>
        <v>1</v>
      </c>
      <c r="EC9" s="85">
        <f t="shared" si="32"/>
        <v>7.378472222222222E-3</v>
      </c>
      <c r="ED9" s="85">
        <f>(SUM(EC9:$EC$40))*$DT$42/(SUM(EB9:$EB$40))</f>
        <v>3.7182025084442456</v>
      </c>
      <c r="EE9" s="86">
        <f t="shared" si="33"/>
        <v>1</v>
      </c>
      <c r="EF9" s="86">
        <f t="shared" si="34"/>
        <v>1.1212968940535114E-2</v>
      </c>
      <c r="EG9" s="86">
        <f>(SUM(EF9:$EF$40))*$DT$42/(SUM(EE9:$EE$40))</f>
        <v>4.7655793193911489</v>
      </c>
      <c r="EI9" s="115">
        <v>1</v>
      </c>
      <c r="EJ9" s="115">
        <f t="shared" si="40"/>
        <v>2</v>
      </c>
      <c r="EK9" s="115">
        <v>-16</v>
      </c>
      <c r="EL9" s="89">
        <v>55</v>
      </c>
      <c r="EM9" s="92">
        <f t="shared" si="41"/>
        <v>6.2480000000000011</v>
      </c>
      <c r="EN9" s="92">
        <f t="shared" si="42"/>
        <v>4.096000000000001</v>
      </c>
      <c r="EO9" s="92">
        <f>EM9/EN9</f>
        <v>1.525390625</v>
      </c>
      <c r="EP9" s="85">
        <f t="shared" si="35"/>
        <v>1</v>
      </c>
      <c r="EQ9" s="85">
        <f t="shared" si="36"/>
        <v>6.7795138888888887E-3</v>
      </c>
      <c r="ER9" s="85">
        <f>(SUM(EQ9:$EQ$53))*$EL$54/(SUM(EP9:$EP$53))</f>
        <v>4.4748403460513781</v>
      </c>
      <c r="FF9" t="s">
        <v>195</v>
      </c>
      <c r="FI9" s="103">
        <f>FI3+FI6</f>
        <v>4312.2698505712542</v>
      </c>
    </row>
    <row r="10" spans="1:166">
      <c r="A10" s="162"/>
      <c r="B10">
        <v>8</v>
      </c>
      <c r="C10">
        <v>4</v>
      </c>
      <c r="D10" s="84">
        <f>(C10*'Dane dla CO'!$T$53+'Dane dla CO'!$V$53)/(C10*'Dane dla CO'!$P$35+'Dane dla CO'!$Q$35)</f>
        <v>3.0173874158249157</v>
      </c>
      <c r="E10" s="84">
        <f>C10*'Dane dla CO'!$N$96+'Dane dla CO'!$N$97</f>
        <v>86.4</v>
      </c>
      <c r="F10" s="84">
        <f>IF(C10&lt;'Dane dla CO'!$R$67,0,IF(D10&gt;1,E10,D10*E10))</f>
        <v>86.4</v>
      </c>
      <c r="G10" s="84">
        <f t="shared" si="9"/>
        <v>0</v>
      </c>
      <c r="H10" s="84">
        <f>(C10*'Dane dla CWU'!$AB$53+'Dane dla CWU'!$AD$53)/(C10*'Dane dla CO'!$P$35+'Dane dla CO'!$Q$35)</f>
        <v>1.5876356154133928</v>
      </c>
      <c r="I10" s="84">
        <f t="shared" si="10"/>
        <v>10.319026666666666</v>
      </c>
      <c r="J10" s="84">
        <f>IF(C10&lt;'Dane dla CWU'!$R$67,0,IF(H10&gt;1,I10,H10*I10))</f>
        <v>10.319026666666666</v>
      </c>
      <c r="K10" s="84">
        <f t="shared" si="11"/>
        <v>0</v>
      </c>
      <c r="M10">
        <v>8</v>
      </c>
      <c r="N10">
        <v>-11</v>
      </c>
      <c r="O10" s="84">
        <f>(N10*'Dane dla CO'!$T$53+'Dane dla CO'!$V$53)/(N10*'Dane dla CO'!$P$35+'Dane dla CO'!$Q$35)</f>
        <v>0.95757656695156679</v>
      </c>
      <c r="P10" s="84">
        <f>N10*'Dane dla CO'!$N$96+'Dane dla CO'!$N$97</f>
        <v>194.40000000000003</v>
      </c>
      <c r="Q10" s="84">
        <f>IF(N10&lt;'Dane dla CO'!$R$67,0,IF(O10&gt;1,P10,O10*P10))</f>
        <v>0</v>
      </c>
      <c r="R10" s="84">
        <f t="shared" si="12"/>
        <v>194.40000000000003</v>
      </c>
      <c r="S10" s="84">
        <f>(N10*'Dane dla CWU'!$T$53+'Dane dla CWU'!$V$53)/(N10*'Dane dla CO'!$P$35+'Dane dla CO'!$Q$35)</f>
        <v>0.8893340455840455</v>
      </c>
      <c r="T10" s="84">
        <f t="shared" si="13"/>
        <v>10.319026666666666</v>
      </c>
      <c r="U10" s="84">
        <f>IF(N10&lt;'Dane dla CWU'!$R$67,0,IF(S10&gt;1,T10,S10*T10))</f>
        <v>0</v>
      </c>
      <c r="V10" s="84">
        <f t="shared" si="14"/>
        <v>10.319026666666666</v>
      </c>
      <c r="X10">
        <v>8</v>
      </c>
      <c r="Y10">
        <v>0</v>
      </c>
      <c r="Z10" s="84">
        <f>(Y10*'Dane dla CO'!$T$53+'Dane dla CO'!$V$53)/(Y10*'Dane dla CO'!$P$35+'Dane dla CO'!$Q$35)</f>
        <v>2.0652970679012341</v>
      </c>
      <c r="AA10" s="84">
        <f>Y10*'Dane dla CO'!$N$96+'Dane dla CO'!$N$97</f>
        <v>115.20000000000002</v>
      </c>
      <c r="AB10" s="84">
        <f>IF(Y10&lt;'Dane dla CO'!$R$67,0,IF(Z10&gt;1,AA10,Z10*AA10))</f>
        <v>115.20000000000002</v>
      </c>
      <c r="AC10" s="84">
        <f t="shared" si="15"/>
        <v>0</v>
      </c>
      <c r="AD10" s="84">
        <f>(Y10*'Dane dla CWU'!$T$53+'Dane dla CWU'!$V$53)/(Y10*'Dane dla CO'!$P$35+'Dane dla CO'!$Q$35)</f>
        <v>2.0316743827160493</v>
      </c>
      <c r="AE10" s="84">
        <f t="shared" si="16"/>
        <v>10.319026666666666</v>
      </c>
      <c r="AF10" s="84">
        <f>IF(Y10&lt;'Dane dla CWU'!$R$67,0,IF(AD10&gt;1,AE10,AD10*AE10))</f>
        <v>0</v>
      </c>
      <c r="AG10" s="84">
        <f t="shared" si="17"/>
        <v>10.319026666666666</v>
      </c>
      <c r="AI10">
        <v>8</v>
      </c>
      <c r="AJ10">
        <v>2</v>
      </c>
      <c r="AK10" s="84">
        <f>(AJ10*'Dane dla CO'!$T$53+'Dane dla CO'!$V$53)/(AJ10*'Dane dla CO'!$P$35+'Dane dla CO'!$Q$35)</f>
        <v>2.4681045227920229</v>
      </c>
      <c r="AL10" s="84">
        <f>AJ10*'Dane dla CO'!$N$96+'Dane dla CO'!$N$97</f>
        <v>100.80000000000001</v>
      </c>
      <c r="AM10" s="84">
        <f>IF(AJ10&lt;'Dane dla CO'!$R$67,0,IF(AK10&gt;1,AL10,AK10*AL10))</f>
        <v>100.80000000000001</v>
      </c>
      <c r="AN10" s="84">
        <f t="shared" si="18"/>
        <v>0</v>
      </c>
      <c r="AO10" s="84">
        <f>(AJ10*'Dane dla CWU'!$T$53+'Dane dla CWU'!$V$53)/(AJ10*'Dane dla CO'!$P$35+'Dane dla CO'!$Q$35)</f>
        <v>2.4470708689458691</v>
      </c>
      <c r="AP10" s="84">
        <f t="shared" si="19"/>
        <v>10.319026666666666</v>
      </c>
      <c r="AQ10" s="84">
        <f>IF(AJ10&lt;'Dane dla CWU'!$R$67,0,IF(AO10&gt;1,AP10,AO10*AP10))</f>
        <v>0</v>
      </c>
      <c r="AR10" s="84">
        <f t="shared" si="20"/>
        <v>10.319026666666666</v>
      </c>
      <c r="AT10">
        <v>8</v>
      </c>
      <c r="AU10">
        <v>10</v>
      </c>
      <c r="BA10">
        <v>8</v>
      </c>
      <c r="BB10">
        <v>21</v>
      </c>
      <c r="BH10">
        <v>8</v>
      </c>
      <c r="BI10">
        <v>24</v>
      </c>
      <c r="BO10">
        <v>8</v>
      </c>
      <c r="BP10">
        <v>18</v>
      </c>
      <c r="BV10">
        <v>8</v>
      </c>
      <c r="BW10">
        <v>17</v>
      </c>
      <c r="CB10" s="84"/>
      <c r="CC10" s="84">
        <f t="shared" si="21"/>
        <v>10.319026666666666</v>
      </c>
      <c r="CD10" s="84">
        <f t="shared" si="22"/>
        <v>10.319026666666666</v>
      </c>
      <c r="CE10" s="84">
        <f t="shared" si="23"/>
        <v>0</v>
      </c>
      <c r="CG10">
        <v>8</v>
      </c>
      <c r="CH10">
        <v>8</v>
      </c>
      <c r="CI10" s="84">
        <f>(CH10*'Dane dla CO'!$T$53+'Dane dla CO'!$V$53)/(CH10*'Dane dla CO'!$P$35+'Dane dla CO'!$Q$35)</f>
        <v>5.0575810185185182</v>
      </c>
      <c r="CJ10" s="84">
        <f>CH10*'Dane dla CO'!$N$96+'Dane dla CO'!$N$97</f>
        <v>57.600000000000009</v>
      </c>
      <c r="CK10" s="84">
        <f>IF(CH10&lt;'Dane dla CO'!$R$67,0,IF(CI10&gt;1,CJ10,CI10*CJ10))</f>
        <v>57.600000000000009</v>
      </c>
      <c r="CL10" s="84">
        <f t="shared" si="24"/>
        <v>0</v>
      </c>
      <c r="CM10" s="84">
        <f>(CH10*'Dane dla CWU'!$T$53+'Dane dla CWU'!$V$53)/(CH10*'Dane dla CO'!$P$35+'Dane dla CO'!$Q$35)</f>
        <v>5.1174768518518521</v>
      </c>
      <c r="CN10" s="84">
        <f t="shared" si="1"/>
        <v>10.319026666666666</v>
      </c>
      <c r="CO10" s="84">
        <f>IF(CH10&lt;'Dane dla CWU'!$R$67,0,IF(CM10&gt;1,CN10,CM10*CN10))</f>
        <v>10.319026666666666</v>
      </c>
      <c r="CP10" s="84">
        <f t="shared" si="25"/>
        <v>0</v>
      </c>
      <c r="CR10">
        <v>8</v>
      </c>
      <c r="CS10">
        <v>8</v>
      </c>
      <c r="CT10" s="84">
        <f>(CS10*'Dane dla CO'!$T$53+'Dane dla CO'!$V$53)/(CS10*'Dane dla CO'!$P$35+'Dane dla CO'!$Q$35)</f>
        <v>5.0575810185185182</v>
      </c>
      <c r="CU10" s="84">
        <f>CS10*'Dane dla CO'!$N$96+'Dane dla CO'!$N$97</f>
        <v>57.600000000000009</v>
      </c>
      <c r="CV10" s="84">
        <f>IF(CS10&lt;'Dane dla CO'!$R$67,0,IF(CT10&gt;1,CU10,CT10*CU10))</f>
        <v>57.600000000000009</v>
      </c>
      <c r="CW10" s="84">
        <f t="shared" si="26"/>
        <v>0</v>
      </c>
      <c r="CX10" s="84">
        <f>(CS10*'Dane dla CWU'!$T$53+'Dane dla CWU'!$V$53)/(CS10*'Dane dla CO'!$P$35+'Dane dla CO'!$Q$35)</f>
        <v>5.1174768518518521</v>
      </c>
      <c r="CY10" s="84">
        <f t="shared" si="4"/>
        <v>10.319026666666666</v>
      </c>
      <c r="CZ10" s="84">
        <f>IF(CS10&lt;'Dane dla CWU'!$R$67,0,IF(CX10&gt;1,CY10,CX10*CY10))</f>
        <v>10.319026666666666</v>
      </c>
      <c r="DA10" s="84">
        <f t="shared" si="27"/>
        <v>0</v>
      </c>
      <c r="DC10">
        <v>8</v>
      </c>
      <c r="DD10">
        <v>-10</v>
      </c>
      <c r="DE10" s="84">
        <f>(DD10*'Dane dla CO'!$T$53+'Dane dla CO'!$V$53)/(DD10*'Dane dla CO'!$P$35+'Dane dla CO'!$Q$35)</f>
        <v>1.0179976851851849</v>
      </c>
      <c r="DF10" s="84">
        <f>DD10*'Dane dla CO'!$N$96+'Dane dla CO'!$N$97</f>
        <v>187.20000000000005</v>
      </c>
      <c r="DG10" s="84">
        <f>IF(DD10&lt;'Dane dla CO'!$R$67,0,IF(DE10&gt;1,DF10,DE10*DF10))</f>
        <v>0</v>
      </c>
      <c r="DH10" s="84">
        <f t="shared" si="28"/>
        <v>187.20000000000005</v>
      </c>
      <c r="DI10" s="84">
        <f>(DD10*'Dane dla CWU'!$T$53+'Dane dla CWU'!$V$53)/(DD10*'Dane dla CO'!$P$35+'Dane dla CO'!$Q$35)</f>
        <v>0.95164351851851847</v>
      </c>
      <c r="DJ10" s="84">
        <f t="shared" si="7"/>
        <v>10.319026666666666</v>
      </c>
      <c r="DK10" s="84">
        <f>IF(DD10&lt;'Dane dla CWU'!$R$67,0,IF(DI10&gt;1,DJ10,DI10*DJ10))</f>
        <v>0</v>
      </c>
      <c r="DL10" s="84">
        <f t="shared" si="29"/>
        <v>10.319026666666666</v>
      </c>
      <c r="DM10" s="49">
        <v>-12</v>
      </c>
      <c r="DN10" s="94">
        <f>DO10*'Dane dla CO'!$N$80</f>
        <v>1057.9591836734696</v>
      </c>
      <c r="DO10" s="94">
        <f>(15-DS10)/35*'Dane dla CO'!$N$75</f>
        <v>9.257142857142858</v>
      </c>
      <c r="DP10" s="94">
        <f t="shared" si="37"/>
        <v>1057.9591836734696</v>
      </c>
      <c r="DQ10" s="51">
        <v>-12</v>
      </c>
      <c r="DR10" s="115">
        <v>0</v>
      </c>
      <c r="DS10" s="115">
        <v>-15</v>
      </c>
      <c r="DT10" s="89">
        <f>Wykresy!Y8</f>
        <v>52</v>
      </c>
      <c r="DU10" s="90">
        <f>Wykresy!AE8</f>
        <v>33.166666666666671</v>
      </c>
      <c r="DV10" s="117">
        <v>7</v>
      </c>
      <c r="DW10" s="117">
        <v>4.07</v>
      </c>
      <c r="DX10" s="92">
        <f t="shared" si="30"/>
        <v>1.7199017199017197</v>
      </c>
      <c r="DY10" s="118">
        <v>8.01</v>
      </c>
      <c r="DZ10" s="118">
        <v>3.1</v>
      </c>
      <c r="EA10" s="96">
        <f>DY10/DZ10</f>
        <v>2.5838709677419351</v>
      </c>
      <c r="EB10" s="85">
        <f t="shared" si="31"/>
        <v>0</v>
      </c>
      <c r="EC10" s="85">
        <f t="shared" ref="EC10:EC40" si="43">EB10*DX10/$DT$42</f>
        <v>0</v>
      </c>
      <c r="ED10" s="85">
        <f>(SUM(EC10:$EC$40))*$DT$42/(SUM(EB10:$EB$40))</f>
        <v>3.7274314154327848</v>
      </c>
      <c r="EE10" s="86">
        <f t="shared" si="33"/>
        <v>0</v>
      </c>
      <c r="EF10" s="86">
        <f t="shared" si="34"/>
        <v>0</v>
      </c>
      <c r="EG10" s="86">
        <f>(SUM(EF10:$EF$40))*$DT$42/(SUM(EE10:$EE$40))</f>
        <v>4.77563609655604</v>
      </c>
      <c r="EI10" s="115">
        <v>0</v>
      </c>
      <c r="EJ10" s="115">
        <f t="shared" si="40"/>
        <v>2</v>
      </c>
      <c r="EK10" s="115">
        <v>-15</v>
      </c>
      <c r="EL10" s="89">
        <v>55</v>
      </c>
      <c r="EM10" s="117">
        <v>6.31</v>
      </c>
      <c r="EN10" s="117">
        <v>4.07</v>
      </c>
      <c r="EO10" s="92">
        <f>EM10/EN10</f>
        <v>1.5503685503685503</v>
      </c>
      <c r="EP10" s="85">
        <f t="shared" si="35"/>
        <v>0</v>
      </c>
      <c r="EQ10" s="85">
        <f t="shared" si="36"/>
        <v>0</v>
      </c>
      <c r="ER10" s="85">
        <f>(SUM(EQ10:$EQ$53))*$EL$54/(SUM(EP10:$EP$53))</f>
        <v>4.4803170995203825</v>
      </c>
      <c r="ES10">
        <f>(EM18-EM10)/8</f>
        <v>0.20625000000000004</v>
      </c>
      <c r="ET10">
        <f>(EN18-EN10)/8</f>
        <v>-8.7500000000000355E-3</v>
      </c>
      <c r="FF10" t="s">
        <v>194</v>
      </c>
      <c r="FG10" t="s">
        <v>193</v>
      </c>
      <c r="FI10" s="103">
        <f>FI4+FI7</f>
        <v>4428.1295228783401</v>
      </c>
    </row>
    <row r="11" spans="1:166">
      <c r="A11" s="162"/>
      <c r="B11">
        <v>9</v>
      </c>
      <c r="C11">
        <v>3</v>
      </c>
      <c r="D11" s="84">
        <f>(C11*'Dane dla CO'!$T$53+'Dane dla CO'!$V$53)/(C11*'Dane dla CO'!$P$35+'Dane dla CO'!$Q$35)</f>
        <v>2.719859182098765</v>
      </c>
      <c r="E11" s="84">
        <f>C11*'Dane dla CO'!$N$96+'Dane dla CO'!$N$97</f>
        <v>93.600000000000023</v>
      </c>
      <c r="F11" s="84">
        <f>IF(C11&lt;'Dane dla CO'!$R$67,0,IF(D11&gt;1,E11,D11*E11))</f>
        <v>93.600000000000023</v>
      </c>
      <c r="G11" s="84">
        <f t="shared" si="9"/>
        <v>0</v>
      </c>
      <c r="H11" s="84">
        <f>(C11*'Dane dla CWU'!$AB$53+'Dane dla CWU'!$AD$53)/(C11*'Dane dla CO'!$P$35+'Dane dla CO'!$Q$35)</f>
        <v>1.4163237311385457</v>
      </c>
      <c r="I11" s="84">
        <f t="shared" si="10"/>
        <v>10.319026666666666</v>
      </c>
      <c r="J11" s="84">
        <f>IF(C11&lt;'Dane dla CWU'!$R$67,0,IF(H11&gt;1,I11,H11*I11))</f>
        <v>10.319026666666666</v>
      </c>
      <c r="K11" s="84">
        <f t="shared" si="11"/>
        <v>0</v>
      </c>
      <c r="M11">
        <v>9</v>
      </c>
      <c r="N11">
        <v>-10</v>
      </c>
      <c r="O11" s="84">
        <f>(N11*'Dane dla CO'!$T$53+'Dane dla CO'!$V$53)/(N11*'Dane dla CO'!$P$35+'Dane dla CO'!$Q$35)</f>
        <v>1.0179976851851849</v>
      </c>
      <c r="P11" s="84">
        <f>N11*'Dane dla CO'!$N$96+'Dane dla CO'!$N$97</f>
        <v>187.20000000000005</v>
      </c>
      <c r="Q11" s="84">
        <f>IF(N11&lt;'Dane dla CO'!$R$67,0,IF(O11&gt;1,P11,O11*P11))</f>
        <v>0</v>
      </c>
      <c r="R11" s="84">
        <f t="shared" si="12"/>
        <v>187.20000000000005</v>
      </c>
      <c r="S11" s="84">
        <f>(N11*'Dane dla CWU'!$T$53+'Dane dla CWU'!$V$53)/(N11*'Dane dla CO'!$P$35+'Dane dla CO'!$Q$35)</f>
        <v>0.95164351851851847</v>
      </c>
      <c r="T11" s="84">
        <f t="shared" si="13"/>
        <v>10.319026666666666</v>
      </c>
      <c r="U11" s="84">
        <f>IF(N11&lt;'Dane dla CWU'!$R$67,0,IF(S11&gt;1,T11,S11*T11))</f>
        <v>0</v>
      </c>
      <c r="V11" s="84">
        <f t="shared" si="14"/>
        <v>10.319026666666666</v>
      </c>
      <c r="X11">
        <v>9</v>
      </c>
      <c r="Y11">
        <v>3</v>
      </c>
      <c r="Z11" s="84">
        <f>(Y11*'Dane dla CO'!$T$53+'Dane dla CO'!$V$53)/(Y11*'Dane dla CO'!$P$35+'Dane dla CO'!$Q$35)</f>
        <v>2.719859182098765</v>
      </c>
      <c r="AA11" s="84">
        <f>Y11*'Dane dla CO'!$N$96+'Dane dla CO'!$N$97</f>
        <v>93.600000000000023</v>
      </c>
      <c r="AB11" s="84">
        <f>IF(Y11&lt;'Dane dla CO'!$R$67,0,IF(Z11&gt;1,AA11,Z11*AA11))</f>
        <v>93.600000000000023</v>
      </c>
      <c r="AC11" s="84">
        <f t="shared" si="15"/>
        <v>0</v>
      </c>
      <c r="AD11" s="84">
        <f>(Y11*'Dane dla CWU'!$T$53+'Dane dla CWU'!$V$53)/(Y11*'Dane dla CO'!$P$35+'Dane dla CO'!$Q$35)</f>
        <v>2.7066936728395059</v>
      </c>
      <c r="AE11" s="84">
        <f t="shared" si="16"/>
        <v>10.319026666666666</v>
      </c>
      <c r="AF11" s="84">
        <f>IF(Y11&lt;'Dane dla CWU'!$R$67,0,IF(AD11&gt;1,AE11,AD11*AE11))</f>
        <v>10.319026666666666</v>
      </c>
      <c r="AG11" s="84">
        <f t="shared" si="17"/>
        <v>0</v>
      </c>
      <c r="AI11">
        <v>9</v>
      </c>
      <c r="AJ11">
        <v>2</v>
      </c>
      <c r="AK11" s="84">
        <f>(AJ11*'Dane dla CO'!$T$53+'Dane dla CO'!$V$53)/(AJ11*'Dane dla CO'!$P$35+'Dane dla CO'!$Q$35)</f>
        <v>2.4681045227920229</v>
      </c>
      <c r="AL11" s="84">
        <f>AJ11*'Dane dla CO'!$N$96+'Dane dla CO'!$N$97</f>
        <v>100.80000000000001</v>
      </c>
      <c r="AM11" s="84">
        <f>IF(AJ11&lt;'Dane dla CO'!$R$67,0,IF(AK11&gt;1,AL11,AK11*AL11))</f>
        <v>100.80000000000001</v>
      </c>
      <c r="AN11" s="84">
        <f t="shared" si="18"/>
        <v>0</v>
      </c>
      <c r="AO11" s="84">
        <f>(AJ11*'Dane dla CWU'!$T$53+'Dane dla CWU'!$V$53)/(AJ11*'Dane dla CO'!$P$35+'Dane dla CO'!$Q$35)</f>
        <v>2.4470708689458691</v>
      </c>
      <c r="AP11" s="84">
        <f t="shared" si="19"/>
        <v>10.319026666666666</v>
      </c>
      <c r="AQ11" s="84">
        <f>IF(AJ11&lt;'Dane dla CWU'!$R$67,0,IF(AO11&gt;1,AP11,AO11*AP11))</f>
        <v>0</v>
      </c>
      <c r="AR11" s="84">
        <f t="shared" si="20"/>
        <v>10.319026666666666</v>
      </c>
      <c r="AT11">
        <v>9</v>
      </c>
      <c r="AU11">
        <v>12</v>
      </c>
      <c r="BA11">
        <v>9</v>
      </c>
      <c r="BB11">
        <v>20</v>
      </c>
      <c r="BH11">
        <v>9</v>
      </c>
      <c r="BI11">
        <v>23</v>
      </c>
      <c r="BO11">
        <v>9</v>
      </c>
      <c r="BP11">
        <v>19</v>
      </c>
      <c r="BV11">
        <v>9</v>
      </c>
      <c r="BW11">
        <v>17</v>
      </c>
      <c r="CB11" s="84"/>
      <c r="CC11" s="84">
        <f t="shared" si="21"/>
        <v>10.319026666666666</v>
      </c>
      <c r="CD11" s="84">
        <f t="shared" si="22"/>
        <v>10.319026666666666</v>
      </c>
      <c r="CE11" s="84">
        <f t="shared" si="23"/>
        <v>0</v>
      </c>
      <c r="CG11">
        <v>9</v>
      </c>
      <c r="CH11">
        <v>8</v>
      </c>
      <c r="CI11" s="84">
        <f>(CH11*'Dane dla CO'!$T$53+'Dane dla CO'!$V$53)/(CH11*'Dane dla CO'!$P$35+'Dane dla CO'!$Q$35)</f>
        <v>5.0575810185185182</v>
      </c>
      <c r="CJ11" s="84">
        <f>CH11*'Dane dla CO'!$N$96+'Dane dla CO'!$N$97</f>
        <v>57.600000000000009</v>
      </c>
      <c r="CK11" s="84">
        <f>IF(CH11&lt;'Dane dla CO'!$R$67,0,IF(CI11&gt;1,CJ11,CI11*CJ11))</f>
        <v>57.600000000000009</v>
      </c>
      <c r="CL11" s="84">
        <f t="shared" si="24"/>
        <v>0</v>
      </c>
      <c r="CM11" s="84">
        <f>(CH11*'Dane dla CWU'!$T$53+'Dane dla CWU'!$V$53)/(CH11*'Dane dla CO'!$P$35+'Dane dla CO'!$Q$35)</f>
        <v>5.1174768518518521</v>
      </c>
      <c r="CN11" s="84">
        <f t="shared" si="1"/>
        <v>10.319026666666666</v>
      </c>
      <c r="CO11" s="84">
        <f>IF(CH11&lt;'Dane dla CWU'!$R$67,0,IF(CM11&gt;1,CN11,CM11*CN11))</f>
        <v>10.319026666666666</v>
      </c>
      <c r="CP11" s="84">
        <f t="shared" si="25"/>
        <v>0</v>
      </c>
      <c r="CR11">
        <v>9</v>
      </c>
      <c r="CS11">
        <v>6</v>
      </c>
      <c r="CT11" s="84">
        <f>(CS11*'Dane dla CO'!$T$53+'Dane dla CO'!$V$53)/(CS11*'Dane dla CO'!$P$35+'Dane dla CO'!$Q$35)</f>
        <v>3.8107960390946491</v>
      </c>
      <c r="CU11" s="84">
        <f>CS11*'Dane dla CO'!$N$96+'Dane dla CO'!$N$97</f>
        <v>72.000000000000014</v>
      </c>
      <c r="CV11" s="84">
        <f>IF(CS11&lt;'Dane dla CO'!$R$67,0,IF(CT11&gt;1,CU11,CT11*CU11))</f>
        <v>72.000000000000014</v>
      </c>
      <c r="CW11" s="84">
        <f t="shared" si="26"/>
        <v>0</v>
      </c>
      <c r="CX11" s="84">
        <f>(CS11*'Dane dla CWU'!$T$53+'Dane dla CWU'!$V$53)/(CS11*'Dane dla CO'!$P$35+'Dane dla CO'!$Q$35)</f>
        <v>3.8317258230452675</v>
      </c>
      <c r="CY11" s="84">
        <f t="shared" si="4"/>
        <v>10.319026666666666</v>
      </c>
      <c r="CZ11" s="84">
        <f>IF(CS11&lt;'Dane dla CWU'!$R$67,0,IF(CX11&gt;1,CY11,CX11*CY11))</f>
        <v>10.319026666666666</v>
      </c>
      <c r="DA11" s="84">
        <f t="shared" si="27"/>
        <v>0</v>
      </c>
      <c r="DC11">
        <v>9</v>
      </c>
      <c r="DD11">
        <v>-11</v>
      </c>
      <c r="DE11" s="84">
        <f>(DD11*'Dane dla CO'!$T$53+'Dane dla CO'!$V$53)/(DD11*'Dane dla CO'!$P$35+'Dane dla CO'!$Q$35)</f>
        <v>0.95757656695156679</v>
      </c>
      <c r="DF11" s="84">
        <f>DD11*'Dane dla CO'!$N$96+'Dane dla CO'!$N$97</f>
        <v>194.40000000000003</v>
      </c>
      <c r="DG11" s="84">
        <f>IF(DD11&lt;'Dane dla CO'!$R$67,0,IF(DE11&gt;1,DF11,DE11*DF11))</f>
        <v>0</v>
      </c>
      <c r="DH11" s="84">
        <f t="shared" si="28"/>
        <v>194.40000000000003</v>
      </c>
      <c r="DI11" s="84">
        <f>(DD11*'Dane dla CWU'!$T$53+'Dane dla CWU'!$V$53)/(DD11*'Dane dla CO'!$P$35+'Dane dla CO'!$Q$35)</f>
        <v>0.8893340455840455</v>
      </c>
      <c r="DJ11" s="84">
        <f t="shared" si="7"/>
        <v>10.319026666666666</v>
      </c>
      <c r="DK11" s="84">
        <f>IF(DD11&lt;'Dane dla CWU'!$R$67,0,IF(DI11&gt;1,DJ11,DI11*DJ11))</f>
        <v>0</v>
      </c>
      <c r="DL11" s="84">
        <f t="shared" si="29"/>
        <v>10.319026666666666</v>
      </c>
      <c r="DM11" s="49">
        <v>-11</v>
      </c>
      <c r="DN11" s="94">
        <f>DO11*'Dane dla CO'!$N$80</f>
        <v>1022.6938775510206</v>
      </c>
      <c r="DO11" s="94">
        <f>(15-DS11)/35*'Dane dla CO'!$N$75</f>
        <v>8.9485714285714302</v>
      </c>
      <c r="DP11" s="94">
        <f t="shared" si="37"/>
        <v>340.89795918367355</v>
      </c>
      <c r="DQ11" s="51">
        <v>-11</v>
      </c>
      <c r="DR11" s="115">
        <v>3</v>
      </c>
      <c r="DS11" s="115">
        <v>-14</v>
      </c>
      <c r="DT11" s="89">
        <f>Wykresy!Y9</f>
        <v>51.4</v>
      </c>
      <c r="DU11" s="90">
        <f>Wykresy!AE9</f>
        <v>32.799999999999997</v>
      </c>
      <c r="DV11" s="92">
        <f>($DV$15-$DV$10)/5+$DV$10</f>
        <v>6.42</v>
      </c>
      <c r="DW11" s="92">
        <v>2.41</v>
      </c>
      <c r="DX11" s="92">
        <f t="shared" ref="DX11:DX40" si="44">DV11/DW11</f>
        <v>2.6639004149377592</v>
      </c>
      <c r="DY11" s="86">
        <f>($DY$15-$DY$10)/5+$DY$10</f>
        <v>7.6079999999999997</v>
      </c>
      <c r="DZ11" s="86">
        <v>2.5299999999999998</v>
      </c>
      <c r="EA11" s="96">
        <f t="shared" ref="EA11:EA40" si="45">DY11/DZ11</f>
        <v>3.0071146245059288</v>
      </c>
      <c r="EB11" s="85">
        <f>DR11</f>
        <v>3</v>
      </c>
      <c r="EC11" s="85">
        <f t="shared" si="43"/>
        <v>3.5518672199170126E-2</v>
      </c>
      <c r="ED11" s="85">
        <f>(SUM(EC11:$EC$40))*$DT$42/(SUM(EB11:$EB$40))</f>
        <v>3.7274314154327848</v>
      </c>
      <c r="EE11" s="86">
        <f>DR11</f>
        <v>3</v>
      </c>
      <c r="EF11" s="86">
        <f t="shared" ref="EF11:EF40" si="46">EE11*EA11/$DT$42</f>
        <v>4.0094861660079049E-2</v>
      </c>
      <c r="EG11" s="86">
        <f>(SUM(EF11:$EF$40))*$DT$42/(SUM(EE11:$EE$40))</f>
        <v>4.77563609655604</v>
      </c>
      <c r="EI11" s="115">
        <v>3</v>
      </c>
      <c r="EJ11" s="115">
        <f t="shared" si="40"/>
        <v>5</v>
      </c>
      <c r="EK11" s="115">
        <v>-14</v>
      </c>
      <c r="EL11" s="89">
        <v>55</v>
      </c>
      <c r="EM11" s="92">
        <f>EM10+ES10</f>
        <v>6.5162499999999994</v>
      </c>
      <c r="EN11" s="92">
        <f>EN10+ET10</f>
        <v>4.0612500000000002</v>
      </c>
      <c r="EO11" s="92">
        <f t="shared" ref="EO11:EO53" si="47">EM11/EN11</f>
        <v>1.6044936903662663</v>
      </c>
      <c r="EP11" s="85">
        <f t="shared" si="35"/>
        <v>3</v>
      </c>
      <c r="EQ11" s="85">
        <f t="shared" ref="EQ11:EQ53" si="48">EP11*EO11/$DT$42</f>
        <v>2.1393249204883551E-2</v>
      </c>
      <c r="ER11" s="85">
        <f>(SUM(EQ11:$EQ$53))*$EL$54/(SUM(EP11:$EP$53))</f>
        <v>4.4803170995203825</v>
      </c>
      <c r="FF11" t="s">
        <v>207</v>
      </c>
      <c r="FI11" s="103">
        <f>IF(FI10&lt;FI18,IF(FI10&lt;FI9,FI9-FI10,0),0)</f>
        <v>0</v>
      </c>
    </row>
    <row r="12" spans="1:166">
      <c r="A12" s="162"/>
      <c r="B12">
        <v>10</v>
      </c>
      <c r="C12">
        <v>3</v>
      </c>
      <c r="D12" s="84">
        <f>(C12*'Dane dla CO'!$T$53+'Dane dla CO'!$V$53)/(C12*'Dane dla CO'!$P$35+'Dane dla CO'!$Q$35)</f>
        <v>2.719859182098765</v>
      </c>
      <c r="E12" s="84">
        <f>C12*'Dane dla CO'!$N$96+'Dane dla CO'!$N$97</f>
        <v>93.600000000000023</v>
      </c>
      <c r="F12" s="84">
        <f>IF(C12&lt;'Dane dla CO'!$R$67,0,IF(D12&gt;1,E12,D12*E12))</f>
        <v>93.600000000000023</v>
      </c>
      <c r="G12" s="84">
        <f t="shared" si="9"/>
        <v>0</v>
      </c>
      <c r="H12" s="84">
        <f>(C12*'Dane dla CWU'!$AB$53+'Dane dla CWU'!$AD$53)/(C12*'Dane dla CO'!$P$35+'Dane dla CO'!$Q$35)</f>
        <v>1.4163237311385457</v>
      </c>
      <c r="I12" s="84">
        <f t="shared" si="10"/>
        <v>10.319026666666666</v>
      </c>
      <c r="J12" s="84">
        <f>IF(C12&lt;'Dane dla CWU'!$R$67,0,IF(H12&gt;1,I12,H12*I12))</f>
        <v>10.319026666666666</v>
      </c>
      <c r="K12" s="84">
        <f t="shared" si="11"/>
        <v>0</v>
      </c>
      <c r="M12">
        <v>10</v>
      </c>
      <c r="N12">
        <v>-12</v>
      </c>
      <c r="O12" s="84">
        <f>(N12*'Dane dla CO'!$T$53+'Dane dla CO'!$V$53)/(N12*'Dane dla CO'!$P$35+'Dane dla CO'!$Q$35)</f>
        <v>0.9016310871056239</v>
      </c>
      <c r="P12" s="84">
        <f>N12*'Dane dla CO'!$N$96+'Dane dla CO'!$N$97</f>
        <v>201.60000000000002</v>
      </c>
      <c r="Q12" s="84">
        <f>IF(N12&lt;'Dane dla CO'!$R$67,0,IF(O12&gt;1,P12,O12*P12))</f>
        <v>0</v>
      </c>
      <c r="R12" s="84">
        <f t="shared" si="12"/>
        <v>201.60000000000002</v>
      </c>
      <c r="S12" s="84">
        <f>(N12*'Dane dla CWU'!$T$53+'Dane dla CWU'!$V$53)/(N12*'Dane dla CO'!$P$35+'Dane dla CO'!$Q$35)</f>
        <v>0.83164008916323717</v>
      </c>
      <c r="T12" s="84">
        <f t="shared" si="13"/>
        <v>10.319026666666666</v>
      </c>
      <c r="U12" s="84">
        <f>IF(N12&lt;'Dane dla CWU'!$R$67,0,IF(S12&gt;1,T12,S12*T12))</f>
        <v>0</v>
      </c>
      <c r="V12" s="84">
        <f t="shared" si="14"/>
        <v>10.319026666666666</v>
      </c>
      <c r="X12">
        <v>10</v>
      </c>
      <c r="Y12">
        <v>4</v>
      </c>
      <c r="Z12" s="84">
        <f>(Y12*'Dane dla CO'!$T$53+'Dane dla CO'!$V$53)/(Y12*'Dane dla CO'!$P$35+'Dane dla CO'!$Q$35)</f>
        <v>3.0173874158249157</v>
      </c>
      <c r="AA12" s="84">
        <f>Y12*'Dane dla CO'!$N$96+'Dane dla CO'!$N$97</f>
        <v>86.4</v>
      </c>
      <c r="AB12" s="84">
        <f>IF(Y12&lt;'Dane dla CO'!$R$67,0,IF(Z12&gt;1,AA12,Z12*AA12))</f>
        <v>86.4</v>
      </c>
      <c r="AC12" s="84">
        <f t="shared" si="15"/>
        <v>0</v>
      </c>
      <c r="AD12" s="84">
        <f>(Y12*'Dane dla CWU'!$T$53+'Dane dla CWU'!$V$53)/(Y12*'Dane dla CO'!$P$35+'Dane dla CO'!$Q$35)</f>
        <v>3.0135206228956233</v>
      </c>
      <c r="AE12" s="84">
        <f t="shared" si="16"/>
        <v>10.319026666666666</v>
      </c>
      <c r="AF12" s="84">
        <f>IF(Y12&lt;'Dane dla CWU'!$R$67,0,IF(AD12&gt;1,AE12,AD12*AE12))</f>
        <v>10.319026666666666</v>
      </c>
      <c r="AG12" s="84">
        <f t="shared" si="17"/>
        <v>0</v>
      </c>
      <c r="AI12">
        <v>10</v>
      </c>
      <c r="AJ12">
        <v>6</v>
      </c>
      <c r="AK12" s="84">
        <f>(AJ12*'Dane dla CO'!$T$53+'Dane dla CO'!$V$53)/(AJ12*'Dane dla CO'!$P$35+'Dane dla CO'!$Q$35)</f>
        <v>3.8107960390946491</v>
      </c>
      <c r="AL12" s="84">
        <f>AJ12*'Dane dla CO'!$N$96+'Dane dla CO'!$N$97</f>
        <v>72.000000000000014</v>
      </c>
      <c r="AM12" s="84">
        <f>IF(AJ12&lt;'Dane dla CO'!$R$67,0,IF(AK12&gt;1,AL12,AK12*AL12))</f>
        <v>72.000000000000014</v>
      </c>
      <c r="AN12" s="84">
        <f t="shared" si="18"/>
        <v>0</v>
      </c>
      <c r="AO12" s="84">
        <f>(AJ12*'Dane dla CWU'!$T$53+'Dane dla CWU'!$V$53)/(AJ12*'Dane dla CO'!$P$35+'Dane dla CO'!$Q$35)</f>
        <v>3.8317258230452675</v>
      </c>
      <c r="AP12" s="84">
        <f t="shared" si="19"/>
        <v>10.319026666666666</v>
      </c>
      <c r="AQ12" s="84">
        <f>IF(AJ12&lt;'Dane dla CWU'!$R$67,0,IF(AO12&gt;1,AP12,AO12*AP12))</f>
        <v>10.319026666666666</v>
      </c>
      <c r="AR12" s="84">
        <f t="shared" si="20"/>
        <v>0</v>
      </c>
      <c r="AT12">
        <v>10</v>
      </c>
      <c r="AU12">
        <v>18</v>
      </c>
      <c r="BA12">
        <v>10</v>
      </c>
      <c r="BB12">
        <v>20</v>
      </c>
      <c r="BH12">
        <v>10</v>
      </c>
      <c r="BI12">
        <v>23</v>
      </c>
      <c r="BO12">
        <v>10</v>
      </c>
      <c r="BP12">
        <v>17</v>
      </c>
      <c r="BV12">
        <v>10</v>
      </c>
      <c r="BW12">
        <v>17</v>
      </c>
      <c r="CB12" s="84"/>
      <c r="CC12" s="84">
        <f t="shared" si="21"/>
        <v>10.319026666666666</v>
      </c>
      <c r="CD12" s="84">
        <f t="shared" si="22"/>
        <v>10.319026666666666</v>
      </c>
      <c r="CE12" s="84">
        <f t="shared" si="23"/>
        <v>0</v>
      </c>
      <c r="CG12">
        <v>10</v>
      </c>
      <c r="CH12">
        <v>8</v>
      </c>
      <c r="CI12" s="84">
        <f>(CH12*'Dane dla CO'!$T$53+'Dane dla CO'!$V$53)/(CH12*'Dane dla CO'!$P$35+'Dane dla CO'!$Q$35)</f>
        <v>5.0575810185185182</v>
      </c>
      <c r="CJ12" s="84">
        <f>CH12*'Dane dla CO'!$N$96+'Dane dla CO'!$N$97</f>
        <v>57.600000000000009</v>
      </c>
      <c r="CK12" s="84">
        <f>IF(CH12&lt;'Dane dla CO'!$R$67,0,IF(CI12&gt;1,CJ12,CI12*CJ12))</f>
        <v>57.600000000000009</v>
      </c>
      <c r="CL12" s="84">
        <f t="shared" si="24"/>
        <v>0</v>
      </c>
      <c r="CM12" s="84">
        <f>(CH12*'Dane dla CWU'!$T$53+'Dane dla CWU'!$V$53)/(CH12*'Dane dla CO'!$P$35+'Dane dla CO'!$Q$35)</f>
        <v>5.1174768518518521</v>
      </c>
      <c r="CN12" s="84">
        <f t="shared" si="1"/>
        <v>10.319026666666666</v>
      </c>
      <c r="CO12" s="84">
        <f>IF(CH12&lt;'Dane dla CWU'!$R$67,0,IF(CM12&gt;1,CN12,CM12*CN12))</f>
        <v>10.319026666666666</v>
      </c>
      <c r="CP12" s="84">
        <f t="shared" si="25"/>
        <v>0</v>
      </c>
      <c r="CR12">
        <v>10</v>
      </c>
      <c r="CS12">
        <v>5</v>
      </c>
      <c r="CT12" s="84">
        <f>(CS12*'Dane dla CO'!$T$53+'Dane dla CO'!$V$53)/(CS12*'Dane dla CO'!$P$35+'Dane dla CO'!$Q$35)</f>
        <v>3.3744212962962958</v>
      </c>
      <c r="CU12" s="84">
        <f>CS12*'Dane dla CO'!$N$96+'Dane dla CO'!$N$97</f>
        <v>79.200000000000017</v>
      </c>
      <c r="CV12" s="84">
        <f>IF(CS12&lt;'Dane dla CO'!$R$67,0,IF(CT12&gt;1,CU12,CT12*CU12))</f>
        <v>79.200000000000017</v>
      </c>
      <c r="CW12" s="84">
        <f t="shared" si="26"/>
        <v>0</v>
      </c>
      <c r="CX12" s="84">
        <f>(CS12*'Dane dla CWU'!$T$53+'Dane dla CWU'!$V$53)/(CS12*'Dane dla CO'!$P$35+'Dane dla CO'!$Q$35)</f>
        <v>3.381712962962963</v>
      </c>
      <c r="CY12" s="84">
        <f t="shared" si="4"/>
        <v>10.319026666666666</v>
      </c>
      <c r="CZ12" s="84">
        <f>IF(CS12&lt;'Dane dla CWU'!$R$67,0,IF(CX12&gt;1,CY12,CX12*CY12))</f>
        <v>10.319026666666666</v>
      </c>
      <c r="DA12" s="84">
        <f t="shared" si="27"/>
        <v>0</v>
      </c>
      <c r="DC12">
        <v>10</v>
      </c>
      <c r="DD12">
        <v>-6</v>
      </c>
      <c r="DE12" s="84">
        <f>(DD12*'Dane dla CO'!$T$53+'Dane dla CO'!$V$53)/(DD12*'Dane dla CO'!$P$35+'Dane dla CO'!$Q$35)</f>
        <v>1.3172260802469133</v>
      </c>
      <c r="DF12" s="84">
        <f>DD12*'Dane dla CO'!$N$96+'Dane dla CO'!$N$97</f>
        <v>158.40000000000003</v>
      </c>
      <c r="DG12" s="84">
        <f>IF(DD12&lt;'Dane dla CO'!$R$67,0,IF(DE12&gt;1,DF12,DE12*DF12))</f>
        <v>158.40000000000003</v>
      </c>
      <c r="DH12" s="84">
        <f t="shared" si="28"/>
        <v>0</v>
      </c>
      <c r="DI12" s="84">
        <f>(DD12*'Dane dla CWU'!$T$53+'Dane dla CWU'!$V$53)/(DD12*'Dane dla CO'!$P$35+'Dane dla CO'!$Q$35)</f>
        <v>1.2602237654320987</v>
      </c>
      <c r="DJ12" s="84">
        <f t="shared" si="7"/>
        <v>10.319026666666666</v>
      </c>
      <c r="DK12" s="84">
        <f>IF(DD12&lt;'Dane dla CWU'!$R$67,0,IF(DI12&gt;1,DJ12,DI12*DJ12))</f>
        <v>0</v>
      </c>
      <c r="DL12" s="84">
        <f t="shared" si="29"/>
        <v>10.319026666666666</v>
      </c>
      <c r="DM12" s="49">
        <v>-11</v>
      </c>
      <c r="DN12" s="94">
        <f>DO12*'Dane dla CO'!$N$80</f>
        <v>987.42857142857156</v>
      </c>
      <c r="DO12" s="94">
        <f>(15-DS12)/35*'Dane dla CO'!$N$75</f>
        <v>8.64</v>
      </c>
      <c r="DP12" s="94">
        <f t="shared" si="37"/>
        <v>987.42857142857156</v>
      </c>
      <c r="DQ12" s="51">
        <v>-11</v>
      </c>
      <c r="DR12" s="115">
        <v>1</v>
      </c>
      <c r="DS12" s="115">
        <v>-13</v>
      </c>
      <c r="DT12" s="89">
        <f>Wykresy!Y10</f>
        <v>50.8</v>
      </c>
      <c r="DU12" s="90">
        <f>Wykresy!AE10</f>
        <v>32.433333333333337</v>
      </c>
      <c r="DV12" s="92">
        <f>(($DV$15-$DV$10)/5)*2+$DV$10</f>
        <v>5.84</v>
      </c>
      <c r="DW12" s="92">
        <v>2.42</v>
      </c>
      <c r="DX12" s="92">
        <f t="shared" si="44"/>
        <v>2.4132231404958677</v>
      </c>
      <c r="DY12" s="86">
        <f>(($DY$15-$DY$10)/5)*2+$DY$10</f>
        <v>7.2059999999999995</v>
      </c>
      <c r="DZ12" s="86">
        <v>2.5299999999999998</v>
      </c>
      <c r="EA12" s="96">
        <f t="shared" si="45"/>
        <v>2.8482213438735178</v>
      </c>
      <c r="EB12" s="85">
        <f t="shared" ref="EB12:EB40" si="49">DR12</f>
        <v>1</v>
      </c>
      <c r="EC12" s="85">
        <f t="shared" si="43"/>
        <v>1.0725436179981635E-2</v>
      </c>
      <c r="ED12" s="85">
        <f>(SUM(EC12:$EC$40))*$DT$42/(SUM(EB12:$EB$40))</f>
        <v>3.7419341108940798</v>
      </c>
      <c r="EE12" s="86">
        <f t="shared" ref="EE12:EE40" si="50">DR12</f>
        <v>1</v>
      </c>
      <c r="EF12" s="86">
        <f t="shared" si="46"/>
        <v>1.2658761528326746E-2</v>
      </c>
      <c r="EG12" s="86">
        <f>(SUM(EF12:$EF$40))*$DT$42/(SUM(EE12:$EE$40))</f>
        <v>4.7997522984476317</v>
      </c>
      <c r="EI12" s="115">
        <v>1</v>
      </c>
      <c r="EJ12" s="115">
        <f t="shared" si="40"/>
        <v>6</v>
      </c>
      <c r="EK12" s="115">
        <v>-13</v>
      </c>
      <c r="EL12" s="89">
        <v>55</v>
      </c>
      <c r="EM12" s="92">
        <f t="shared" ref="EM12:EM17" si="51">EM11+$ES$10</f>
        <v>6.7224999999999993</v>
      </c>
      <c r="EN12" s="92">
        <f t="shared" ref="EN12:EN17" si="52">EN11+$ET$10</f>
        <v>4.0525000000000002</v>
      </c>
      <c r="EO12" s="92">
        <f t="shared" si="47"/>
        <v>1.6588525601480564</v>
      </c>
      <c r="EP12" s="85">
        <f t="shared" ref="EP12:EP53" si="53">EI12</f>
        <v>1</v>
      </c>
      <c r="EQ12" s="85">
        <f t="shared" si="48"/>
        <v>7.3726780451024727E-3</v>
      </c>
      <c r="ER12" s="85">
        <f>(SUM(EQ12:$EQ$53))*$EL$54/(SUM(EP12:$EP$53))</f>
        <v>4.4958600969984275</v>
      </c>
    </row>
    <row r="13" spans="1:166">
      <c r="A13" s="162"/>
      <c r="B13">
        <v>11</v>
      </c>
      <c r="C13">
        <v>4</v>
      </c>
      <c r="D13" s="84">
        <f>(C13*'Dane dla CO'!$T$53+'Dane dla CO'!$V$53)/(C13*'Dane dla CO'!$P$35+'Dane dla CO'!$Q$35)</f>
        <v>3.0173874158249157</v>
      </c>
      <c r="E13" s="84">
        <f>C13*'Dane dla CO'!$N$96+'Dane dla CO'!$N$97</f>
        <v>86.4</v>
      </c>
      <c r="F13" s="84">
        <f>IF(C13&lt;'Dane dla CO'!$R$67,0,IF(D13&gt;1,E13,D13*E13))</f>
        <v>86.4</v>
      </c>
      <c r="G13" s="84">
        <f t="shared" si="9"/>
        <v>0</v>
      </c>
      <c r="H13" s="84">
        <f>(C13*'Dane dla CWU'!$AB$53+'Dane dla CWU'!$AD$53)/(C13*'Dane dla CO'!$P$35+'Dane dla CO'!$Q$35)</f>
        <v>1.5876356154133928</v>
      </c>
      <c r="I13" s="84">
        <f t="shared" si="10"/>
        <v>10.319026666666666</v>
      </c>
      <c r="J13" s="84">
        <f>IF(C13&lt;'Dane dla CWU'!$R$67,0,IF(H13&gt;1,I13,H13*I13))</f>
        <v>10.319026666666666</v>
      </c>
      <c r="K13" s="84">
        <f t="shared" si="11"/>
        <v>0</v>
      </c>
      <c r="M13">
        <v>11</v>
      </c>
      <c r="N13">
        <v>-14</v>
      </c>
      <c r="O13" s="84">
        <f>(N13*'Dane dla CO'!$T$53+'Dane dla CO'!$V$53)/(N13*'Dane dla CO'!$P$35+'Dane dla CO'!$Q$35)</f>
        <v>0.80131505427841609</v>
      </c>
      <c r="P13" s="84">
        <f>N13*'Dane dla CO'!$N$96+'Dane dla CO'!$N$97</f>
        <v>216.00000000000003</v>
      </c>
      <c r="Q13" s="84">
        <f>IF(N13&lt;'Dane dla CO'!$R$67,0,IF(O13&gt;1,P13,O13*P13))</f>
        <v>0</v>
      </c>
      <c r="R13" s="84">
        <f t="shared" si="12"/>
        <v>216.00000000000003</v>
      </c>
      <c r="S13" s="84">
        <f>(N13*'Dane dla CWU'!$T$53+'Dane dla CWU'!$V$53)/(N13*'Dane dla CO'!$P$35+'Dane dla CO'!$Q$35)</f>
        <v>0.72818885696040847</v>
      </c>
      <c r="T13" s="84">
        <f t="shared" si="13"/>
        <v>10.319026666666666</v>
      </c>
      <c r="U13" s="84">
        <f>IF(N13&lt;'Dane dla CWU'!$R$67,0,IF(S13&gt;1,T13,S13*T13))</f>
        <v>0</v>
      </c>
      <c r="V13" s="84">
        <f t="shared" si="14"/>
        <v>10.319026666666666</v>
      </c>
      <c r="X13">
        <v>11</v>
      </c>
      <c r="Y13">
        <v>6</v>
      </c>
      <c r="Z13" s="84">
        <f>(Y13*'Dane dla CO'!$T$53+'Dane dla CO'!$V$53)/(Y13*'Dane dla CO'!$P$35+'Dane dla CO'!$Q$35)</f>
        <v>3.8107960390946491</v>
      </c>
      <c r="AA13" s="84">
        <f>Y13*'Dane dla CO'!$N$96+'Dane dla CO'!$N$97</f>
        <v>72.000000000000014</v>
      </c>
      <c r="AB13" s="84">
        <f>IF(Y13&lt;'Dane dla CO'!$R$67,0,IF(Z13&gt;1,AA13,Z13*AA13))</f>
        <v>72.000000000000014</v>
      </c>
      <c r="AC13" s="84">
        <f t="shared" si="15"/>
        <v>0</v>
      </c>
      <c r="AD13" s="84">
        <f>(Y13*'Dane dla CWU'!$T$53+'Dane dla CWU'!$V$53)/(Y13*'Dane dla CO'!$P$35+'Dane dla CO'!$Q$35)</f>
        <v>3.8317258230452675</v>
      </c>
      <c r="AE13" s="84">
        <f t="shared" si="16"/>
        <v>10.319026666666666</v>
      </c>
      <c r="AF13" s="84">
        <f>IF(Y13&lt;'Dane dla CWU'!$R$67,0,IF(AD13&gt;1,AE13,AD13*AE13))</f>
        <v>10.319026666666666</v>
      </c>
      <c r="AG13" s="84">
        <f t="shared" si="17"/>
        <v>0</v>
      </c>
      <c r="AI13">
        <v>11</v>
      </c>
      <c r="AJ13">
        <v>11</v>
      </c>
      <c r="AK13" s="84">
        <f>(AJ13*'Dane dla CO'!$T$53+'Dane dla CO'!$V$53)/(AJ13*'Dane dla CO'!$P$35+'Dane dla CO'!$Q$35)</f>
        <v>9.2654803240740726</v>
      </c>
      <c r="AL13" s="84">
        <f>AJ13*'Dane dla CO'!$N$96+'Dane dla CO'!$N$97</f>
        <v>36</v>
      </c>
      <c r="AM13" s="84">
        <f>IF(AJ13&lt;'Dane dla CO'!$R$67,0,IF(AK13&gt;1,AL13,AK13*AL13))</f>
        <v>36</v>
      </c>
      <c r="AN13" s="84">
        <f t="shared" si="18"/>
        <v>0</v>
      </c>
      <c r="AO13" s="84">
        <f>(AJ13*'Dane dla CWU'!$T$53+'Dane dla CWU'!$V$53)/(AJ13*'Dane dla CO'!$P$35+'Dane dla CO'!$Q$35)</f>
        <v>9.4568865740740744</v>
      </c>
      <c r="AP13" s="84">
        <f t="shared" si="19"/>
        <v>10.319026666666666</v>
      </c>
      <c r="AQ13" s="84">
        <f>IF(AJ13&lt;'Dane dla CWU'!$R$67,0,IF(AO13&gt;1,AP13,AO13*AP13))</f>
        <v>10.319026666666666</v>
      </c>
      <c r="AR13" s="84">
        <f t="shared" si="20"/>
        <v>0</v>
      </c>
      <c r="AT13">
        <v>11</v>
      </c>
      <c r="AU13">
        <v>21</v>
      </c>
      <c r="BA13">
        <v>11</v>
      </c>
      <c r="BB13">
        <v>16</v>
      </c>
      <c r="BH13">
        <v>11</v>
      </c>
      <c r="BI13">
        <v>21</v>
      </c>
      <c r="BO13">
        <v>11</v>
      </c>
      <c r="BP13">
        <v>13</v>
      </c>
      <c r="BV13">
        <v>11</v>
      </c>
      <c r="BW13">
        <v>19</v>
      </c>
      <c r="CB13" s="84"/>
      <c r="CC13" s="84">
        <f t="shared" si="21"/>
        <v>10.319026666666666</v>
      </c>
      <c r="CD13" s="84">
        <f t="shared" si="22"/>
        <v>10.319026666666666</v>
      </c>
      <c r="CE13" s="84">
        <f t="shared" si="23"/>
        <v>0</v>
      </c>
      <c r="CG13">
        <v>11</v>
      </c>
      <c r="CH13">
        <v>7</v>
      </c>
      <c r="CI13" s="84">
        <f>(CH13*'Dane dla CO'!$T$53+'Dane dla CO'!$V$53)/(CH13*'Dane dla CO'!$P$35+'Dane dla CO'!$Q$35)</f>
        <v>4.3562644675925926</v>
      </c>
      <c r="CJ13" s="84">
        <f>CH13*'Dane dla CO'!$N$96+'Dane dla CO'!$N$97</f>
        <v>64.800000000000011</v>
      </c>
      <c r="CK13" s="84">
        <f>IF(CH13&lt;'Dane dla CO'!$R$67,0,IF(CI13&gt;1,CJ13,CI13*CJ13))</f>
        <v>64.800000000000011</v>
      </c>
      <c r="CL13" s="84">
        <f t="shared" si="24"/>
        <v>0</v>
      </c>
      <c r="CM13" s="84">
        <f>(CH13*'Dane dla CWU'!$T$53+'Dane dla CWU'!$V$53)/(CH13*'Dane dla CO'!$P$35+'Dane dla CO'!$Q$35)</f>
        <v>4.3942418981481479</v>
      </c>
      <c r="CN13" s="84">
        <f t="shared" si="1"/>
        <v>10.319026666666666</v>
      </c>
      <c r="CO13" s="84">
        <f>IF(CH13&lt;'Dane dla CWU'!$R$67,0,IF(CM13&gt;1,CN13,CM13*CN13))</f>
        <v>10.319026666666666</v>
      </c>
      <c r="CP13" s="84">
        <f t="shared" si="25"/>
        <v>0</v>
      </c>
      <c r="CR13">
        <v>11</v>
      </c>
      <c r="CS13">
        <v>11</v>
      </c>
      <c r="CT13" s="84">
        <f>(CS13*'Dane dla CO'!$T$53+'Dane dla CO'!$V$53)/(CS13*'Dane dla CO'!$P$35+'Dane dla CO'!$Q$35)</f>
        <v>9.2654803240740726</v>
      </c>
      <c r="CU13" s="84">
        <f>CS13*'Dane dla CO'!$N$96+'Dane dla CO'!$N$97</f>
        <v>36</v>
      </c>
      <c r="CV13" s="84">
        <f>IF(CS13&lt;'Dane dla CO'!$R$67,0,IF(CT13&gt;1,CU13,CT13*CU13))</f>
        <v>36</v>
      </c>
      <c r="CW13" s="84">
        <f t="shared" si="26"/>
        <v>0</v>
      </c>
      <c r="CX13" s="84">
        <f>(CS13*'Dane dla CWU'!$T$53+'Dane dla CWU'!$V$53)/(CS13*'Dane dla CO'!$P$35+'Dane dla CO'!$Q$35)</f>
        <v>9.4568865740740744</v>
      </c>
      <c r="CY13" s="84">
        <f t="shared" si="4"/>
        <v>10.319026666666666</v>
      </c>
      <c r="CZ13" s="84">
        <f>IF(CS13&lt;'Dane dla CWU'!$R$67,0,IF(CX13&gt;1,CY13,CX13*CY13))</f>
        <v>10.319026666666666</v>
      </c>
      <c r="DA13" s="84">
        <f t="shared" si="27"/>
        <v>0</v>
      </c>
      <c r="DC13">
        <v>11</v>
      </c>
      <c r="DD13">
        <v>-3</v>
      </c>
      <c r="DE13" s="84">
        <f>(DD13*'Dane dla CO'!$T$53+'Dane dla CO'!$V$53)/(DD13*'Dane dla CO'!$P$35+'Dane dla CO'!$Q$35)</f>
        <v>1.6289223251028804</v>
      </c>
      <c r="DF13" s="84">
        <f>DD13*'Dane dla CO'!$N$96+'Dane dla CO'!$N$97</f>
        <v>136.80000000000001</v>
      </c>
      <c r="DG13" s="84">
        <f>IF(DD13&lt;'Dane dla CO'!$R$67,0,IF(DE13&gt;1,DF13,DE13*DF13))</f>
        <v>136.80000000000001</v>
      </c>
      <c r="DH13" s="84">
        <f t="shared" si="28"/>
        <v>0</v>
      </c>
      <c r="DI13" s="84">
        <f>(DD13*'Dane dla CWU'!$T$53+'Dane dla CWU'!$V$53)/(DD13*'Dane dla CO'!$P$35+'Dane dla CO'!$Q$35)</f>
        <v>1.5816615226337447</v>
      </c>
      <c r="DJ13" s="84">
        <f t="shared" si="7"/>
        <v>10.319026666666666</v>
      </c>
      <c r="DK13" s="84">
        <f>IF(DD13&lt;'Dane dla CWU'!$R$67,0,IF(DI13&gt;1,DJ13,DI13*DJ13))</f>
        <v>0</v>
      </c>
      <c r="DL13" s="84">
        <f t="shared" si="29"/>
        <v>10.319026666666666</v>
      </c>
      <c r="DM13" s="49">
        <v>-11</v>
      </c>
      <c r="DN13" s="94">
        <f>DO13*'Dane dla CO'!$N$80</f>
        <v>952.16326530612264</v>
      </c>
      <c r="DO13" s="94">
        <f>(15-DS13)/35*'Dane dla CO'!$N$75</f>
        <v>8.3314285714285727</v>
      </c>
      <c r="DP13" s="94">
        <f t="shared" si="37"/>
        <v>317.3877551020409</v>
      </c>
      <c r="DQ13" s="51">
        <v>-11</v>
      </c>
      <c r="DR13" s="115">
        <v>3</v>
      </c>
      <c r="DS13" s="115">
        <v>-12</v>
      </c>
      <c r="DT13" s="89">
        <f>Wykresy!Y11</f>
        <v>50.2</v>
      </c>
      <c r="DU13" s="90">
        <f>Wykresy!AE11</f>
        <v>32.06666666666667</v>
      </c>
      <c r="DV13" s="92">
        <f>(($DV$15-$DV$10)/5)*3+$DV$10</f>
        <v>5.26</v>
      </c>
      <c r="DW13" s="92">
        <v>2.4300000000000002</v>
      </c>
      <c r="DX13" s="92">
        <f t="shared" si="44"/>
        <v>2.1646090534979421</v>
      </c>
      <c r="DY13" s="86">
        <f>(($DY$15-$DY$10)/5)*3+$DY$10</f>
        <v>6.8040000000000003</v>
      </c>
      <c r="DZ13" s="86">
        <v>2.5299999999999998</v>
      </c>
      <c r="EA13" s="96">
        <f t="shared" si="45"/>
        <v>2.6893280632411072</v>
      </c>
      <c r="EB13" s="85">
        <f t="shared" si="49"/>
        <v>3</v>
      </c>
      <c r="EC13" s="85">
        <f t="shared" si="43"/>
        <v>2.8861454046639225E-2</v>
      </c>
      <c r="ED13" s="85">
        <f>(SUM(EC13:$EC$40))*$DT$42/(SUM(EB13:$EB$40))</f>
        <v>3.7480012842748938</v>
      </c>
      <c r="EE13" s="86">
        <f t="shared" si="50"/>
        <v>3</v>
      </c>
      <c r="EF13" s="86">
        <f t="shared" si="46"/>
        <v>3.5857707509881431E-2</v>
      </c>
      <c r="EG13" s="86">
        <f>(SUM(EF13:$EF$40))*$DT$42/(SUM(EE13:$EE$40))</f>
        <v>4.8086633986968286</v>
      </c>
      <c r="EI13" s="115">
        <v>3</v>
      </c>
      <c r="EJ13" s="115">
        <f t="shared" si="40"/>
        <v>9</v>
      </c>
      <c r="EK13" s="115">
        <v>-12</v>
      </c>
      <c r="EL13" s="89">
        <v>55</v>
      </c>
      <c r="EM13" s="92">
        <f t="shared" si="51"/>
        <v>6.9287499999999991</v>
      </c>
      <c r="EN13" s="92">
        <f t="shared" si="52"/>
        <v>4.0437500000000002</v>
      </c>
      <c r="EO13" s="92">
        <f t="shared" si="47"/>
        <v>1.7134466769706334</v>
      </c>
      <c r="EP13" s="85">
        <f t="shared" si="53"/>
        <v>3</v>
      </c>
      <c r="EQ13" s="85">
        <f t="shared" si="48"/>
        <v>2.2845955692941778E-2</v>
      </c>
      <c r="ER13" s="85">
        <f>(SUM(EQ13:$EQ$53))*$EL$54/(SUM(EP13:$EP$53))</f>
        <v>4.5008530412553451</v>
      </c>
      <c r="FB13" s="84"/>
      <c r="FI13" s="103">
        <f>Dobór!P29</f>
        <v>6373.6565901788554</v>
      </c>
    </row>
    <row r="14" spans="1:166">
      <c r="A14" s="162"/>
      <c r="B14">
        <v>12</v>
      </c>
      <c r="C14">
        <v>6</v>
      </c>
      <c r="D14" s="84">
        <f>(C14*'Dane dla CO'!$T$53+'Dane dla CO'!$V$53)/(C14*'Dane dla CO'!$P$35+'Dane dla CO'!$Q$35)</f>
        <v>3.8107960390946491</v>
      </c>
      <c r="E14" s="84">
        <f>C14*'Dane dla CO'!$N$96+'Dane dla CO'!$N$97</f>
        <v>72.000000000000014</v>
      </c>
      <c r="F14" s="84">
        <f>IF(C14&lt;'Dane dla CO'!$R$67,0,IF(D14&gt;1,E14,D14*E14))</f>
        <v>72.000000000000014</v>
      </c>
      <c r="G14" s="84">
        <f t="shared" si="9"/>
        <v>0</v>
      </c>
      <c r="H14" s="84">
        <f>(C14*'Dane dla CWU'!$AB$53+'Dane dla CWU'!$AD$53)/(C14*'Dane dla CO'!$P$35+'Dane dla CO'!$Q$35)</f>
        <v>2.0444673068129853</v>
      </c>
      <c r="I14" s="84">
        <f t="shared" si="10"/>
        <v>10.319026666666666</v>
      </c>
      <c r="J14" s="84">
        <f>IF(C14&lt;'Dane dla CWU'!$R$67,0,IF(H14&gt;1,I14,H14*I14))</f>
        <v>10.319026666666666</v>
      </c>
      <c r="K14" s="84">
        <f t="shared" si="11"/>
        <v>0</v>
      </c>
      <c r="M14">
        <v>12</v>
      </c>
      <c r="N14">
        <v>-13</v>
      </c>
      <c r="O14" s="84">
        <f>(N14*'Dane dla CO'!$T$53+'Dane dla CO'!$V$53)/(N14*'Dane dla CO'!$P$35+'Dane dla CO'!$Q$35)</f>
        <v>0.8496817129629628</v>
      </c>
      <c r="P14" s="84">
        <f>N14*'Dane dla CO'!$N$96+'Dane dla CO'!$N$97</f>
        <v>208.8</v>
      </c>
      <c r="Q14" s="84">
        <f>IF(N14&lt;'Dane dla CO'!$R$67,0,IF(O14&gt;1,P14,O14*P14))</f>
        <v>0</v>
      </c>
      <c r="R14" s="84">
        <f t="shared" si="12"/>
        <v>208.8</v>
      </c>
      <c r="S14" s="84">
        <f>(N14*'Dane dla CWU'!$T$53+'Dane dla CWU'!$V$53)/(N14*'Dane dla CO'!$P$35+'Dane dla CO'!$Q$35)</f>
        <v>0.77806712962962965</v>
      </c>
      <c r="T14" s="84">
        <f t="shared" si="13"/>
        <v>10.319026666666666</v>
      </c>
      <c r="U14" s="84">
        <f>IF(N14&lt;'Dane dla CWU'!$R$67,0,IF(S14&gt;1,T14,S14*T14))</f>
        <v>0</v>
      </c>
      <c r="V14" s="84">
        <f t="shared" si="14"/>
        <v>10.319026666666666</v>
      </c>
      <c r="X14">
        <v>12</v>
      </c>
      <c r="Y14">
        <v>3</v>
      </c>
      <c r="Z14" s="84">
        <f>(Y14*'Dane dla CO'!$T$53+'Dane dla CO'!$V$53)/(Y14*'Dane dla CO'!$P$35+'Dane dla CO'!$Q$35)</f>
        <v>2.719859182098765</v>
      </c>
      <c r="AA14" s="84">
        <f>Y14*'Dane dla CO'!$N$96+'Dane dla CO'!$N$97</f>
        <v>93.600000000000023</v>
      </c>
      <c r="AB14" s="84">
        <f>IF(Y14&lt;'Dane dla CO'!$R$67,0,IF(Z14&gt;1,AA14,Z14*AA14))</f>
        <v>93.600000000000023</v>
      </c>
      <c r="AC14" s="84">
        <f t="shared" si="15"/>
        <v>0</v>
      </c>
      <c r="AD14" s="84">
        <f>(Y14*'Dane dla CWU'!$T$53+'Dane dla CWU'!$V$53)/(Y14*'Dane dla CO'!$P$35+'Dane dla CO'!$Q$35)</f>
        <v>2.7066936728395059</v>
      </c>
      <c r="AE14" s="84">
        <f t="shared" si="16"/>
        <v>10.319026666666666</v>
      </c>
      <c r="AF14" s="84">
        <f>IF(Y14&lt;'Dane dla CWU'!$R$67,0,IF(AD14&gt;1,AE14,AD14*AE14))</f>
        <v>10.319026666666666</v>
      </c>
      <c r="AG14" s="84">
        <f t="shared" si="17"/>
        <v>0</v>
      </c>
      <c r="AI14">
        <v>12</v>
      </c>
      <c r="AJ14">
        <v>13</v>
      </c>
      <c r="AK14" s="84">
        <f>(AJ14*'Dane dla CO'!$T$53+'Dane dla CO'!$V$53)/(AJ14*'Dane dla CO'!$P$35+'Dane dla CO'!$Q$35)</f>
        <v>19.083912037037027</v>
      </c>
      <c r="AL14" s="84">
        <f>AJ14*'Dane dla CO'!$N$96+'Dane dla CO'!$N$97</f>
        <v>21.600000000000009</v>
      </c>
      <c r="AM14" s="84">
        <f>IF(AJ14&lt;'Dane dla CO'!$R$67,0,IF(AK14&gt;1,AL14,AK14*AL14))</f>
        <v>21.600000000000009</v>
      </c>
      <c r="AN14" s="84">
        <f t="shared" si="18"/>
        <v>0</v>
      </c>
      <c r="AO14" s="84">
        <f>(AJ14*'Dane dla CWU'!$T$53+'Dane dla CWU'!$V$53)/(AJ14*'Dane dla CO'!$P$35+'Dane dla CO'!$Q$35)</f>
        <v>19.582175925925917</v>
      </c>
      <c r="AP14" s="84">
        <f t="shared" si="19"/>
        <v>10.319026666666666</v>
      </c>
      <c r="AQ14" s="84">
        <f>IF(AJ14&lt;'Dane dla CWU'!$R$67,0,IF(AO14&gt;1,AP14,AO14*AP14))</f>
        <v>10.319026666666666</v>
      </c>
      <c r="AR14" s="84">
        <f t="shared" si="20"/>
        <v>0</v>
      </c>
      <c r="AT14">
        <v>12</v>
      </c>
      <c r="AU14">
        <v>14</v>
      </c>
      <c r="BA14">
        <v>12</v>
      </c>
      <c r="BB14">
        <v>16</v>
      </c>
      <c r="BH14">
        <v>12</v>
      </c>
      <c r="BI14">
        <v>19</v>
      </c>
      <c r="BO14">
        <v>12</v>
      </c>
      <c r="BP14">
        <v>13</v>
      </c>
      <c r="BV14">
        <v>12</v>
      </c>
      <c r="BW14">
        <v>19</v>
      </c>
      <c r="CB14" s="84"/>
      <c r="CC14" s="84">
        <f t="shared" si="21"/>
        <v>10.319026666666666</v>
      </c>
      <c r="CD14" s="84">
        <f t="shared" si="22"/>
        <v>10.319026666666666</v>
      </c>
      <c r="CE14" s="84">
        <f t="shared" si="23"/>
        <v>0</v>
      </c>
      <c r="CG14">
        <v>12</v>
      </c>
      <c r="CH14">
        <v>4</v>
      </c>
      <c r="CI14" s="84">
        <f>(CH14*'Dane dla CO'!$T$53+'Dane dla CO'!$V$53)/(CH14*'Dane dla CO'!$P$35+'Dane dla CO'!$Q$35)</f>
        <v>3.0173874158249157</v>
      </c>
      <c r="CJ14" s="84">
        <f>CH14*'Dane dla CO'!$N$96+'Dane dla CO'!$N$97</f>
        <v>86.4</v>
      </c>
      <c r="CK14" s="84">
        <f>IF(CH14&lt;'Dane dla CO'!$R$67,0,IF(CI14&gt;1,CJ14,CI14*CJ14))</f>
        <v>86.4</v>
      </c>
      <c r="CL14" s="84">
        <f t="shared" si="24"/>
        <v>0</v>
      </c>
      <c r="CM14" s="84">
        <f>(CH14*'Dane dla CWU'!$T$53+'Dane dla CWU'!$V$53)/(CH14*'Dane dla CO'!$P$35+'Dane dla CO'!$Q$35)</f>
        <v>3.0135206228956233</v>
      </c>
      <c r="CN14" s="84">
        <f t="shared" si="1"/>
        <v>10.319026666666666</v>
      </c>
      <c r="CO14" s="84">
        <f>IF(CH14&lt;'Dane dla CWU'!$R$67,0,IF(CM14&gt;1,CN14,CM14*CN14))</f>
        <v>10.319026666666666</v>
      </c>
      <c r="CP14" s="84">
        <f t="shared" si="25"/>
        <v>0</v>
      </c>
      <c r="CR14">
        <v>12</v>
      </c>
      <c r="CS14">
        <v>8</v>
      </c>
      <c r="CT14" s="84">
        <f>(CS14*'Dane dla CO'!$T$53+'Dane dla CO'!$V$53)/(CS14*'Dane dla CO'!$P$35+'Dane dla CO'!$Q$35)</f>
        <v>5.0575810185185182</v>
      </c>
      <c r="CU14" s="84">
        <f>CS14*'Dane dla CO'!$N$96+'Dane dla CO'!$N$97</f>
        <v>57.600000000000009</v>
      </c>
      <c r="CV14" s="84">
        <f>IF(CS14&lt;'Dane dla CO'!$R$67,0,IF(CT14&gt;1,CU14,CT14*CU14))</f>
        <v>57.600000000000009</v>
      </c>
      <c r="CW14" s="84">
        <f t="shared" si="26"/>
        <v>0</v>
      </c>
      <c r="CX14" s="84">
        <f>(CS14*'Dane dla CWU'!$T$53+'Dane dla CWU'!$V$53)/(CS14*'Dane dla CO'!$P$35+'Dane dla CO'!$Q$35)</f>
        <v>5.1174768518518521</v>
      </c>
      <c r="CY14" s="84">
        <f t="shared" si="4"/>
        <v>10.319026666666666</v>
      </c>
      <c r="CZ14" s="84">
        <f>IF(CS14&lt;'Dane dla CWU'!$R$67,0,IF(CX14&gt;1,CY14,CX14*CY14))</f>
        <v>10.319026666666666</v>
      </c>
      <c r="DA14" s="84">
        <f t="shared" si="27"/>
        <v>0</v>
      </c>
      <c r="DC14">
        <v>12</v>
      </c>
      <c r="DD14">
        <v>-2</v>
      </c>
      <c r="DE14" s="84">
        <f>(DD14*'Dane dla CO'!$T$53+'Dane dla CO'!$V$53)/(DD14*'Dane dla CO'!$P$35+'Dane dla CO'!$Q$35)</f>
        <v>1.7572678376906314</v>
      </c>
      <c r="DF14" s="84">
        <f>DD14*'Dane dla CO'!$N$96+'Dane dla CO'!$N$97</f>
        <v>129.60000000000002</v>
      </c>
      <c r="DG14" s="84">
        <f>IF(DD14&lt;'Dane dla CO'!$R$67,0,IF(DE14&gt;1,DF14,DE14*DF14))</f>
        <v>129.60000000000002</v>
      </c>
      <c r="DH14" s="84">
        <f t="shared" si="28"/>
        <v>0</v>
      </c>
      <c r="DI14" s="84">
        <f>(DD14*'Dane dla CWU'!$T$53+'Dane dla CWU'!$V$53)/(DD14*'Dane dla CO'!$P$35+'Dane dla CO'!$Q$35)</f>
        <v>1.7140182461873639</v>
      </c>
      <c r="DJ14" s="84">
        <f t="shared" si="7"/>
        <v>10.319026666666666</v>
      </c>
      <c r="DK14" s="84">
        <f>IF(DD14&lt;'Dane dla CWU'!$R$67,0,IF(DI14&gt;1,DJ14,DI14*DJ14))</f>
        <v>0</v>
      </c>
      <c r="DL14" s="84">
        <f t="shared" si="29"/>
        <v>10.319026666666666</v>
      </c>
      <c r="DM14" s="49">
        <v>-11</v>
      </c>
      <c r="DN14" s="94">
        <f>DO14*'Dane dla CO'!$N$80</f>
        <v>916.89795918367361</v>
      </c>
      <c r="DO14" s="94">
        <f>(15-DS14)/35*'Dane dla CO'!$N$75</f>
        <v>8.0228571428571431</v>
      </c>
      <c r="DP14" s="94">
        <f t="shared" si="37"/>
        <v>229.2244897959184</v>
      </c>
      <c r="DQ14" s="51">
        <v>-11</v>
      </c>
      <c r="DR14" s="115">
        <v>4</v>
      </c>
      <c r="DS14" s="115">
        <v>-11</v>
      </c>
      <c r="DT14" s="89">
        <f>Wykresy!Y12</f>
        <v>49.6</v>
      </c>
      <c r="DU14" s="90">
        <f>Wykresy!AE12</f>
        <v>31.700000000000003</v>
      </c>
      <c r="DV14" s="92">
        <f>(($DV$15-$DV$10)/5)*4+$DV$10</f>
        <v>4.68</v>
      </c>
      <c r="DW14" s="92">
        <v>2.44</v>
      </c>
      <c r="DX14" s="92">
        <f t="shared" si="44"/>
        <v>1.9180327868852458</v>
      </c>
      <c r="DY14" s="86">
        <f>(($DY$15-$DY$10)/5)*4+$DY$10</f>
        <v>6.4020000000000001</v>
      </c>
      <c r="DZ14" s="86">
        <v>2.5299999999999998</v>
      </c>
      <c r="EA14" s="96">
        <f t="shared" si="45"/>
        <v>2.5304347826086957</v>
      </c>
      <c r="EB14" s="85">
        <f t="shared" si="49"/>
        <v>4</v>
      </c>
      <c r="EC14" s="85">
        <f t="shared" si="43"/>
        <v>3.4098360655737701E-2</v>
      </c>
      <c r="ED14" s="85">
        <f>(SUM(EC14:$EC$40))*$DT$42/(SUM(EB14:$EB$40))</f>
        <v>3.7699928430356846</v>
      </c>
      <c r="EE14" s="86">
        <f t="shared" si="50"/>
        <v>4</v>
      </c>
      <c r="EF14" s="86">
        <f t="shared" si="46"/>
        <v>4.4985507246376816E-2</v>
      </c>
      <c r="EG14" s="86">
        <f>(SUM(EF14:$EF$40))*$DT$42/(SUM(EE14:$EE$40))</f>
        <v>4.8380986116892704</v>
      </c>
      <c r="EI14" s="115">
        <v>4</v>
      </c>
      <c r="EJ14" s="115">
        <f t="shared" si="40"/>
        <v>13</v>
      </c>
      <c r="EK14" s="115">
        <v>-11</v>
      </c>
      <c r="EL14" s="89">
        <v>55</v>
      </c>
      <c r="EM14" s="92">
        <f t="shared" si="51"/>
        <v>7.1349999999999989</v>
      </c>
      <c r="EN14" s="92">
        <f t="shared" si="52"/>
        <v>4.0350000000000001</v>
      </c>
      <c r="EO14" s="92">
        <f t="shared" si="47"/>
        <v>1.7682775712515486</v>
      </c>
      <c r="EP14" s="85">
        <f t="shared" si="53"/>
        <v>4</v>
      </c>
      <c r="EQ14" s="85">
        <f t="shared" si="48"/>
        <v>3.1436045711138644E-2</v>
      </c>
      <c r="ER14" s="85">
        <f>(SUM(EQ14:$EQ$53))*$EL$54/(SUM(EP14:$EP$53))</f>
        <v>4.5152534315638873</v>
      </c>
    </row>
    <row r="15" spans="1:166">
      <c r="A15" s="162"/>
      <c r="B15">
        <v>13</v>
      </c>
      <c r="C15">
        <v>2</v>
      </c>
      <c r="D15" s="84">
        <f>(C15*'Dane dla CO'!$T$53+'Dane dla CO'!$V$53)/(C15*'Dane dla CO'!$P$35+'Dane dla CO'!$Q$35)</f>
        <v>2.4681045227920229</v>
      </c>
      <c r="E15" s="84">
        <f>C15*'Dane dla CO'!$N$96+'Dane dla CO'!$N$97</f>
        <v>100.80000000000001</v>
      </c>
      <c r="F15" s="84">
        <f>IF(C15&lt;'Dane dla CO'!$R$67,0,IF(D15&gt;1,E15,D15*E15))</f>
        <v>100.80000000000001</v>
      </c>
      <c r="G15" s="84">
        <f t="shared" si="9"/>
        <v>0</v>
      </c>
      <c r="H15" s="84">
        <f>(C15*'Dane dla CWU'!$AB$53+'Dane dla CWU'!$AD$53)/(C15*'Dane dla CO'!$P$35+'Dane dla CO'!$Q$35)</f>
        <v>1.2713675213675213</v>
      </c>
      <c r="I15" s="84">
        <f t="shared" si="10"/>
        <v>10.319026666666666</v>
      </c>
      <c r="J15" s="84">
        <f>IF(C15&lt;'Dane dla CWU'!$R$67,0,IF(H15&gt;1,I15,H15*I15))</f>
        <v>0</v>
      </c>
      <c r="K15" s="84">
        <f t="shared" si="11"/>
        <v>10.319026666666666</v>
      </c>
      <c r="M15">
        <v>13</v>
      </c>
      <c r="N15">
        <v>-7</v>
      </c>
      <c r="O15" s="84">
        <f>(N15*'Dane dla CO'!$T$53+'Dane dla CO'!$V$53)/(N15*'Dane dla CO'!$P$35+'Dane dla CO'!$Q$35)</f>
        <v>1.2322180134680132</v>
      </c>
      <c r="P15" s="84">
        <f>N15*'Dane dla CO'!$N$96+'Dane dla CO'!$N$97</f>
        <v>165.60000000000002</v>
      </c>
      <c r="Q15" s="84">
        <f>IF(N15&lt;'Dane dla CO'!$R$67,0,IF(O15&gt;1,P15,O15*P15))</f>
        <v>165.60000000000002</v>
      </c>
      <c r="R15" s="84">
        <f t="shared" si="12"/>
        <v>0</v>
      </c>
      <c r="S15" s="84">
        <f>(N15*'Dane dla CWU'!$T$53+'Dane dla CWU'!$V$53)/(N15*'Dane dla CO'!$P$35+'Dane dla CO'!$Q$35)</f>
        <v>1.1725589225589224</v>
      </c>
      <c r="T15" s="84">
        <f t="shared" si="13"/>
        <v>10.319026666666666</v>
      </c>
      <c r="U15" s="84">
        <f>IF(N15&lt;'Dane dla CWU'!$R$67,0,IF(S15&gt;1,T15,S15*T15))</f>
        <v>0</v>
      </c>
      <c r="V15" s="84">
        <f t="shared" si="14"/>
        <v>10.319026666666666</v>
      </c>
      <c r="X15">
        <v>13</v>
      </c>
      <c r="Y15">
        <v>7</v>
      </c>
      <c r="Z15" s="84">
        <f>(Y15*'Dane dla CO'!$T$53+'Dane dla CO'!$V$53)/(Y15*'Dane dla CO'!$P$35+'Dane dla CO'!$Q$35)</f>
        <v>4.3562644675925926</v>
      </c>
      <c r="AA15" s="84">
        <f>Y15*'Dane dla CO'!$N$96+'Dane dla CO'!$N$97</f>
        <v>64.800000000000011</v>
      </c>
      <c r="AB15" s="84">
        <f>IF(Y15&lt;'Dane dla CO'!$R$67,0,IF(Z15&gt;1,AA15,Z15*AA15))</f>
        <v>64.800000000000011</v>
      </c>
      <c r="AC15" s="84">
        <f t="shared" si="15"/>
        <v>0</v>
      </c>
      <c r="AD15" s="84">
        <f>(Y15*'Dane dla CWU'!$T$53+'Dane dla CWU'!$V$53)/(Y15*'Dane dla CO'!$P$35+'Dane dla CO'!$Q$35)</f>
        <v>4.3942418981481479</v>
      </c>
      <c r="AE15" s="84">
        <f t="shared" si="16"/>
        <v>10.319026666666666</v>
      </c>
      <c r="AF15" s="84">
        <f>IF(Y15&lt;'Dane dla CWU'!$R$67,0,IF(AD15&gt;1,AE15,AD15*AE15))</f>
        <v>10.319026666666666</v>
      </c>
      <c r="AG15" s="84">
        <f t="shared" si="17"/>
        <v>0</v>
      </c>
      <c r="AI15">
        <v>13</v>
      </c>
      <c r="AJ15">
        <v>11</v>
      </c>
      <c r="AK15" s="84">
        <f>(AJ15*'Dane dla CO'!$T$53+'Dane dla CO'!$V$53)/(AJ15*'Dane dla CO'!$P$35+'Dane dla CO'!$Q$35)</f>
        <v>9.2654803240740726</v>
      </c>
      <c r="AL15" s="84">
        <f>AJ15*'Dane dla CO'!$N$96+'Dane dla CO'!$N$97</f>
        <v>36</v>
      </c>
      <c r="AM15" s="84">
        <f>IF(AJ15&lt;'Dane dla CO'!$R$67,0,IF(AK15&gt;1,AL15,AK15*AL15))</f>
        <v>36</v>
      </c>
      <c r="AN15" s="84">
        <f t="shared" si="18"/>
        <v>0</v>
      </c>
      <c r="AO15" s="84">
        <f>(AJ15*'Dane dla CWU'!$T$53+'Dane dla CWU'!$V$53)/(AJ15*'Dane dla CO'!$P$35+'Dane dla CO'!$Q$35)</f>
        <v>9.4568865740740744</v>
      </c>
      <c r="AP15" s="84">
        <f t="shared" si="19"/>
        <v>10.319026666666666</v>
      </c>
      <c r="AQ15" s="84">
        <f>IF(AJ15&lt;'Dane dla CWU'!$R$67,0,IF(AO15&gt;1,AP15,AO15*AP15))</f>
        <v>10.319026666666666</v>
      </c>
      <c r="AR15" s="84">
        <f t="shared" si="20"/>
        <v>0</v>
      </c>
      <c r="AT15">
        <v>13</v>
      </c>
      <c r="AU15">
        <v>10</v>
      </c>
      <c r="BA15">
        <v>13</v>
      </c>
      <c r="BB15">
        <v>17</v>
      </c>
      <c r="BH15">
        <v>13</v>
      </c>
      <c r="BI15">
        <v>17</v>
      </c>
      <c r="BO15">
        <v>13</v>
      </c>
      <c r="BP15">
        <v>14</v>
      </c>
      <c r="BV15">
        <v>13</v>
      </c>
      <c r="BW15">
        <v>13</v>
      </c>
      <c r="BX15" s="84">
        <f>(BW15*'Dane dla CO'!$T$53+'Dane dla CO'!$V$53)/(BW15*'Dane dla CO'!$P$35+'Dane dla CO'!$Q$35)</f>
        <v>19.083912037037027</v>
      </c>
      <c r="BY15" s="84">
        <f>BW15*'Dane dla CO'!$N$96+'Dane dla CO'!$N$97</f>
        <v>21.600000000000009</v>
      </c>
      <c r="BZ15" s="84">
        <f>IF(BW15&lt;'Dane dla CO'!$R$67,0,IF(BX15&gt;1,BY15,BX15*BY15))</f>
        <v>21.600000000000009</v>
      </c>
      <c r="CA15" s="84">
        <f>BY15-BZ15</f>
        <v>0</v>
      </c>
      <c r="CB15" s="84">
        <f>(BW15*'Dane dla CWU'!$T$53+'Dane dla CWU'!$V$53)/(BW15*'Dane dla CO'!$P$35+'Dane dla CO'!$Q$35)</f>
        <v>19.582175925925917</v>
      </c>
      <c r="CC15" s="84">
        <f>$E$42/365</f>
        <v>10.319026666666666</v>
      </c>
      <c r="CD15" s="84">
        <f>IF(BW15&lt;'Dane dla CWU'!$R$67,0,IF(CB15&gt;1,CC15,CB15*CC15))</f>
        <v>10.319026666666666</v>
      </c>
      <c r="CE15" s="84">
        <f>CC15-CD15</f>
        <v>0</v>
      </c>
      <c r="CG15">
        <v>13</v>
      </c>
      <c r="CH15">
        <v>8</v>
      </c>
      <c r="CI15" s="84">
        <f>(CH15*'Dane dla CO'!$T$53+'Dane dla CO'!$V$53)/(CH15*'Dane dla CO'!$P$35+'Dane dla CO'!$Q$35)</f>
        <v>5.0575810185185182</v>
      </c>
      <c r="CJ15" s="84">
        <f>CH15*'Dane dla CO'!$N$96+'Dane dla CO'!$N$97</f>
        <v>57.600000000000009</v>
      </c>
      <c r="CK15" s="84">
        <f>IF(CH15&lt;'Dane dla CO'!$R$67,0,IF(CI15&gt;1,CJ15,CI15*CJ15))</f>
        <v>57.600000000000009</v>
      </c>
      <c r="CL15" s="84">
        <f t="shared" si="24"/>
        <v>0</v>
      </c>
      <c r="CM15" s="84">
        <f>(CH15*'Dane dla CWU'!$T$53+'Dane dla CWU'!$V$53)/(CH15*'Dane dla CO'!$P$35+'Dane dla CO'!$Q$35)</f>
        <v>5.1174768518518521</v>
      </c>
      <c r="CN15" s="84">
        <f t="shared" si="1"/>
        <v>10.319026666666666</v>
      </c>
      <c r="CO15" s="84">
        <f>IF(CH15&lt;'Dane dla CWU'!$R$67,0,IF(CM15&gt;1,CN15,CM15*CN15))</f>
        <v>10.319026666666666</v>
      </c>
      <c r="CP15" s="84">
        <f t="shared" si="25"/>
        <v>0</v>
      </c>
      <c r="CR15">
        <v>13</v>
      </c>
      <c r="CS15">
        <v>6</v>
      </c>
      <c r="CT15" s="84">
        <f>(CS15*'Dane dla CO'!$T$53+'Dane dla CO'!$V$53)/(CS15*'Dane dla CO'!$P$35+'Dane dla CO'!$Q$35)</f>
        <v>3.8107960390946491</v>
      </c>
      <c r="CU15" s="84">
        <f>CS15*'Dane dla CO'!$N$96+'Dane dla CO'!$N$97</f>
        <v>72.000000000000014</v>
      </c>
      <c r="CV15" s="84">
        <f>IF(CS15&lt;'Dane dla CO'!$R$67,0,IF(CT15&gt;1,CU15,CT15*CU15))</f>
        <v>72.000000000000014</v>
      </c>
      <c r="CW15" s="84">
        <f t="shared" si="26"/>
        <v>0</v>
      </c>
      <c r="CX15" s="84">
        <f>(CS15*'Dane dla CWU'!$T$53+'Dane dla CWU'!$V$53)/(CS15*'Dane dla CO'!$P$35+'Dane dla CO'!$Q$35)</f>
        <v>3.8317258230452675</v>
      </c>
      <c r="CY15" s="84">
        <f t="shared" si="4"/>
        <v>10.319026666666666</v>
      </c>
      <c r="CZ15" s="84">
        <f>IF(CS15&lt;'Dane dla CWU'!$R$67,0,IF(CX15&gt;1,CY15,CX15*CY15))</f>
        <v>10.319026666666666</v>
      </c>
      <c r="DA15" s="84">
        <f t="shared" si="27"/>
        <v>0</v>
      </c>
      <c r="DC15">
        <v>13</v>
      </c>
      <c r="DD15">
        <v>-6</v>
      </c>
      <c r="DE15" s="84">
        <f>(DD15*'Dane dla CO'!$T$53+'Dane dla CO'!$V$53)/(DD15*'Dane dla CO'!$P$35+'Dane dla CO'!$Q$35)</f>
        <v>1.3172260802469133</v>
      </c>
      <c r="DF15" s="84">
        <f>DD15*'Dane dla CO'!$N$96+'Dane dla CO'!$N$97</f>
        <v>158.40000000000003</v>
      </c>
      <c r="DG15" s="84">
        <f>IF(DD15&lt;'Dane dla CO'!$R$67,0,IF(DE15&gt;1,DF15,DE15*DF15))</f>
        <v>158.40000000000003</v>
      </c>
      <c r="DH15" s="84">
        <f t="shared" si="28"/>
        <v>0</v>
      </c>
      <c r="DI15" s="84">
        <f>(DD15*'Dane dla CWU'!$T$53+'Dane dla CWU'!$V$53)/(DD15*'Dane dla CO'!$P$35+'Dane dla CO'!$Q$35)</f>
        <v>1.2602237654320987</v>
      </c>
      <c r="DJ15" s="84">
        <f t="shared" si="7"/>
        <v>10.319026666666666</v>
      </c>
      <c r="DK15" s="84">
        <f>IF(DD15&lt;'Dane dla CWU'!$R$67,0,IF(DI15&gt;1,DJ15,DI15*DJ15))</f>
        <v>0</v>
      </c>
      <c r="DL15" s="84">
        <f t="shared" si="29"/>
        <v>10.319026666666666</v>
      </c>
      <c r="DM15" s="49">
        <v>-10</v>
      </c>
      <c r="DN15" s="94">
        <f>DO15*'Dane dla CO'!$N$80</f>
        <v>881.63265306122469</v>
      </c>
      <c r="DO15" s="94">
        <f>(15-DS15)/35*'Dane dla CO'!$N$75</f>
        <v>7.7142857142857153</v>
      </c>
      <c r="DP15" s="94">
        <f t="shared" si="37"/>
        <v>176.32653061224494</v>
      </c>
      <c r="DQ15" s="51">
        <v>-10</v>
      </c>
      <c r="DR15" s="115">
        <v>5</v>
      </c>
      <c r="DS15" s="115">
        <v>-10</v>
      </c>
      <c r="DT15" s="89">
        <f>Wykresy!Y13</f>
        <v>49</v>
      </c>
      <c r="DU15" s="90">
        <f>Wykresy!AE13</f>
        <v>31.333333333333336</v>
      </c>
      <c r="DV15" s="92">
        <v>4.0999999999999996</v>
      </c>
      <c r="DW15" s="92">
        <v>2.4500000000000002</v>
      </c>
      <c r="DX15" s="92">
        <f t="shared" si="44"/>
        <v>1.6734693877551017</v>
      </c>
      <c r="DY15" s="86">
        <v>6</v>
      </c>
      <c r="DZ15" s="86">
        <v>2.5299999999999998</v>
      </c>
      <c r="EA15" s="96">
        <f t="shared" si="45"/>
        <v>2.3715415019762847</v>
      </c>
      <c r="EB15" s="85">
        <f t="shared" si="49"/>
        <v>5</v>
      </c>
      <c r="EC15" s="85">
        <f t="shared" si="43"/>
        <v>3.7188208616780037E-2</v>
      </c>
      <c r="ED15" s="85">
        <f>(SUM(EC15:$EC$40))*$DT$42/(SUM(EB15:$EB$40))</f>
        <v>3.804935485604561</v>
      </c>
      <c r="EE15" s="86">
        <f t="shared" si="50"/>
        <v>5</v>
      </c>
      <c r="EF15" s="86">
        <f t="shared" si="46"/>
        <v>5.2700922266139663E-2</v>
      </c>
      <c r="EG15" s="86">
        <f>(SUM(EF15:$EF$40))*$DT$42/(SUM(EE15:$EE$40))</f>
        <v>4.8816394386530542</v>
      </c>
      <c r="EI15" s="115">
        <v>5</v>
      </c>
      <c r="EJ15" s="115">
        <f t="shared" si="40"/>
        <v>18</v>
      </c>
      <c r="EK15" s="115">
        <v>-10</v>
      </c>
      <c r="EL15" s="89">
        <v>55</v>
      </c>
      <c r="EM15" s="92">
        <f t="shared" si="51"/>
        <v>7.3412499999999987</v>
      </c>
      <c r="EN15" s="92">
        <f t="shared" si="52"/>
        <v>4.0262500000000001</v>
      </c>
      <c r="EO15" s="92">
        <f t="shared" si="47"/>
        <v>1.8233467867122009</v>
      </c>
      <c r="EP15" s="85">
        <f t="shared" si="53"/>
        <v>5</v>
      </c>
      <c r="EQ15" s="85">
        <f t="shared" si="48"/>
        <v>4.0518817482493356E-2</v>
      </c>
      <c r="ER15" s="85">
        <f>(SUM(EQ15:$EQ$53))*$EL$54/(SUM(EP15:$EP$53))</f>
        <v>4.5338240292862073</v>
      </c>
    </row>
    <row r="16" spans="1:166">
      <c r="A16" s="162"/>
      <c r="B16">
        <v>14</v>
      </c>
      <c r="C16">
        <v>0</v>
      </c>
      <c r="D16" s="84">
        <f>(C16*'Dane dla CO'!$T$53+'Dane dla CO'!$V$53)/(C16*'Dane dla CO'!$P$35+'Dane dla CO'!$Q$35)</f>
        <v>2.0652970679012341</v>
      </c>
      <c r="E16" s="84">
        <f>C16*'Dane dla CO'!$N$96+'Dane dla CO'!$N$97</f>
        <v>115.20000000000002</v>
      </c>
      <c r="F16" s="84">
        <f>IF(C16&lt;'Dane dla CO'!$R$67,0,IF(D16&gt;1,E16,D16*E16))</f>
        <v>115.20000000000002</v>
      </c>
      <c r="G16" s="84">
        <f t="shared" si="9"/>
        <v>0</v>
      </c>
      <c r="H16" s="84">
        <f>(C16*'Dane dla CWU'!$AB$53+'Dane dla CWU'!$AD$53)/(C16*'Dane dla CO'!$P$35+'Dane dla CO'!$Q$35)</f>
        <v>1.0394375857338818</v>
      </c>
      <c r="I16" s="84">
        <f t="shared" si="10"/>
        <v>10.319026666666666</v>
      </c>
      <c r="J16" s="84">
        <f>IF(C16&lt;'Dane dla CWU'!$R$67,0,IF(H16&gt;1,I16,H16*I16))</f>
        <v>0</v>
      </c>
      <c r="K16" s="84">
        <f t="shared" si="11"/>
        <v>10.319026666666666</v>
      </c>
      <c r="M16">
        <v>14</v>
      </c>
      <c r="N16">
        <v>-3</v>
      </c>
      <c r="O16" s="84">
        <f>(N16*'Dane dla CO'!$T$53+'Dane dla CO'!$V$53)/(N16*'Dane dla CO'!$P$35+'Dane dla CO'!$Q$35)</f>
        <v>1.6289223251028804</v>
      </c>
      <c r="P16" s="84">
        <f>N16*'Dane dla CO'!$N$96+'Dane dla CO'!$N$97</f>
        <v>136.80000000000001</v>
      </c>
      <c r="Q16" s="84">
        <f>IF(N16&lt;'Dane dla CO'!$R$67,0,IF(O16&gt;1,P16,O16*P16))</f>
        <v>136.80000000000001</v>
      </c>
      <c r="R16" s="84">
        <f t="shared" si="12"/>
        <v>0</v>
      </c>
      <c r="S16" s="84">
        <f>(N16*'Dane dla CWU'!$T$53+'Dane dla CWU'!$V$53)/(N16*'Dane dla CO'!$P$35+'Dane dla CO'!$Q$35)</f>
        <v>1.5816615226337447</v>
      </c>
      <c r="T16" s="84">
        <f t="shared" si="13"/>
        <v>10.319026666666666</v>
      </c>
      <c r="U16" s="84">
        <f>IF(N16&lt;'Dane dla CWU'!$R$67,0,IF(S16&gt;1,T16,S16*T16))</f>
        <v>0</v>
      </c>
      <c r="V16" s="84">
        <f t="shared" si="14"/>
        <v>10.319026666666666</v>
      </c>
      <c r="X16">
        <v>14</v>
      </c>
      <c r="Y16">
        <v>6</v>
      </c>
      <c r="Z16" s="84">
        <f>(Y16*'Dane dla CO'!$T$53+'Dane dla CO'!$V$53)/(Y16*'Dane dla CO'!$P$35+'Dane dla CO'!$Q$35)</f>
        <v>3.8107960390946491</v>
      </c>
      <c r="AA16" s="84">
        <f>Y16*'Dane dla CO'!$N$96+'Dane dla CO'!$N$97</f>
        <v>72.000000000000014</v>
      </c>
      <c r="AB16" s="84">
        <f>IF(Y16&lt;'Dane dla CO'!$R$67,0,IF(Z16&gt;1,AA16,Z16*AA16))</f>
        <v>72.000000000000014</v>
      </c>
      <c r="AC16" s="84">
        <f t="shared" si="15"/>
        <v>0</v>
      </c>
      <c r="AD16" s="84">
        <f>(Y16*'Dane dla CWU'!$T$53+'Dane dla CWU'!$V$53)/(Y16*'Dane dla CO'!$P$35+'Dane dla CO'!$Q$35)</f>
        <v>3.8317258230452675</v>
      </c>
      <c r="AE16" s="84">
        <f t="shared" si="16"/>
        <v>10.319026666666666</v>
      </c>
      <c r="AF16" s="84">
        <f>IF(Y16&lt;'Dane dla CWU'!$R$67,0,IF(AD16&gt;1,AE16,AD16*AE16))</f>
        <v>10.319026666666666</v>
      </c>
      <c r="AG16" s="84">
        <f t="shared" si="17"/>
        <v>0</v>
      </c>
      <c r="AI16">
        <v>14</v>
      </c>
      <c r="AJ16">
        <v>10</v>
      </c>
      <c r="AK16" s="84">
        <f>(AJ16*'Dane dla CO'!$T$53+'Dane dla CO'!$V$53)/(AJ16*'Dane dla CO'!$P$35+'Dane dla CO'!$Q$35)</f>
        <v>7.3017939814814818</v>
      </c>
      <c r="AL16" s="84">
        <f>AJ16*'Dane dla CO'!$N$96+'Dane dla CO'!$N$97</f>
        <v>43.2</v>
      </c>
      <c r="AM16" s="84">
        <f>IF(AJ16&lt;'Dane dla CO'!$R$67,0,IF(AK16&gt;1,AL16,AK16*AL16))</f>
        <v>43.2</v>
      </c>
      <c r="AN16" s="84">
        <f t="shared" si="18"/>
        <v>0</v>
      </c>
      <c r="AO16" s="84">
        <f>(AJ16*'Dane dla CWU'!$T$53+'Dane dla CWU'!$V$53)/(AJ16*'Dane dla CO'!$P$35+'Dane dla CO'!$Q$35)</f>
        <v>7.4318287037037045</v>
      </c>
      <c r="AP16" s="84">
        <f t="shared" si="19"/>
        <v>10.319026666666666</v>
      </c>
      <c r="AQ16" s="84">
        <f>IF(AJ16&lt;'Dane dla CWU'!$R$67,0,IF(AO16&gt;1,AP16,AO16*AP16))</f>
        <v>10.319026666666666</v>
      </c>
      <c r="AR16" s="84">
        <f t="shared" si="20"/>
        <v>0</v>
      </c>
      <c r="AT16">
        <v>14</v>
      </c>
      <c r="AU16">
        <v>10</v>
      </c>
      <c r="BA16">
        <v>14</v>
      </c>
      <c r="BB16">
        <v>15</v>
      </c>
      <c r="BH16">
        <v>14</v>
      </c>
      <c r="BI16">
        <v>18</v>
      </c>
      <c r="BO16">
        <v>14</v>
      </c>
      <c r="BP16">
        <v>14</v>
      </c>
      <c r="BV16">
        <v>14</v>
      </c>
      <c r="BW16">
        <v>12</v>
      </c>
      <c r="BX16" s="84">
        <f>(BW16*'Dane dla CO'!$T$53+'Dane dla CO'!$V$53)/(BW16*'Dane dla CO'!$P$35+'Dane dla CO'!$Q$35)</f>
        <v>12.538290895061728</v>
      </c>
      <c r="BY16" s="84">
        <f>BW16*'Dane dla CO'!$N$96+'Dane dla CO'!$N$97</f>
        <v>28.800000000000011</v>
      </c>
      <c r="BZ16" s="84">
        <f>IF(BW16&lt;'Dane dla CO'!$R$67,0,IF(BX16&gt;1,BY16,BX16*BY16))</f>
        <v>28.800000000000011</v>
      </c>
      <c r="CA16" s="84">
        <f t="shared" ref="CA16:CA32" si="54">BY16-BZ16</f>
        <v>0</v>
      </c>
      <c r="CB16" s="84">
        <f>(BW16*'Dane dla CWU'!$T$53+'Dane dla CWU'!$V$53)/(BW16*'Dane dla CO'!$P$35+'Dane dla CO'!$Q$35)</f>
        <v>12.831983024691358</v>
      </c>
      <c r="CC16" s="84">
        <f t="shared" ref="CC16:CC32" si="55">$E$42/365</f>
        <v>10.319026666666666</v>
      </c>
      <c r="CD16" s="84">
        <f>IF(BW16&lt;'Dane dla CWU'!$R$67,0,IF(CB16&gt;1,CC16,CB16*CC16))</f>
        <v>10.319026666666666</v>
      </c>
      <c r="CE16" s="84">
        <f t="shared" ref="CE16:CE32" si="56">CC16-CD16</f>
        <v>0</v>
      </c>
      <c r="CG16">
        <v>14</v>
      </c>
      <c r="CH16">
        <v>10</v>
      </c>
      <c r="CI16" s="84">
        <f>(CH16*'Dane dla CO'!$T$53+'Dane dla CO'!$V$53)/(CH16*'Dane dla CO'!$P$35+'Dane dla CO'!$Q$35)</f>
        <v>7.3017939814814818</v>
      </c>
      <c r="CJ16" s="84">
        <f>CH16*'Dane dla CO'!$N$96+'Dane dla CO'!$N$97</f>
        <v>43.2</v>
      </c>
      <c r="CK16" s="84">
        <f>IF(CH16&lt;'Dane dla CO'!$R$67,0,IF(CI16&gt;1,CJ16,CI16*CJ16))</f>
        <v>43.2</v>
      </c>
      <c r="CL16" s="84">
        <f t="shared" si="24"/>
        <v>0</v>
      </c>
      <c r="CM16" s="84">
        <f>(CH16*'Dane dla CWU'!$T$53+'Dane dla CWU'!$V$53)/(CH16*'Dane dla CO'!$P$35+'Dane dla CO'!$Q$35)</f>
        <v>7.4318287037037045</v>
      </c>
      <c r="CN16" s="84">
        <f t="shared" si="1"/>
        <v>10.319026666666666</v>
      </c>
      <c r="CO16" s="84">
        <f>IF(CH16&lt;'Dane dla CWU'!$R$67,0,IF(CM16&gt;1,CN16,CM16*CN16))</f>
        <v>10.319026666666666</v>
      </c>
      <c r="CP16" s="84">
        <f t="shared" si="25"/>
        <v>0</v>
      </c>
      <c r="CR16">
        <v>14</v>
      </c>
      <c r="CS16">
        <v>2</v>
      </c>
      <c r="CT16" s="84">
        <f>(CS16*'Dane dla CO'!$T$53+'Dane dla CO'!$V$53)/(CS16*'Dane dla CO'!$P$35+'Dane dla CO'!$Q$35)</f>
        <v>2.4681045227920229</v>
      </c>
      <c r="CU16" s="84">
        <f>CS16*'Dane dla CO'!$N$96+'Dane dla CO'!$N$97</f>
        <v>100.80000000000001</v>
      </c>
      <c r="CV16" s="84">
        <f>IF(CS16&lt;'Dane dla CO'!$R$67,0,IF(CT16&gt;1,CU16,CT16*CU16))</f>
        <v>100.80000000000001</v>
      </c>
      <c r="CW16" s="84">
        <f t="shared" si="26"/>
        <v>0</v>
      </c>
      <c r="CX16" s="84">
        <f>(CS16*'Dane dla CWU'!$T$53+'Dane dla CWU'!$V$53)/(CS16*'Dane dla CO'!$P$35+'Dane dla CO'!$Q$35)</f>
        <v>2.4470708689458691</v>
      </c>
      <c r="CY16" s="84">
        <f t="shared" si="4"/>
        <v>10.319026666666666</v>
      </c>
      <c r="CZ16" s="84">
        <f>IF(CS16&lt;'Dane dla CWU'!$R$67,0,IF(CX16&gt;1,CY16,CX16*CY16))</f>
        <v>0</v>
      </c>
      <c r="DA16" s="84">
        <f t="shared" si="27"/>
        <v>10.319026666666666</v>
      </c>
      <c r="DC16">
        <v>14</v>
      </c>
      <c r="DD16">
        <v>-5</v>
      </c>
      <c r="DE16" s="84">
        <f>(DD16*'Dane dla CO'!$T$53+'Dane dla CO'!$V$53)/(DD16*'Dane dla CO'!$P$35+'Dane dla CO'!$Q$35)</f>
        <v>1.4107349537037033</v>
      </c>
      <c r="DF16" s="84">
        <f>DD16*'Dane dla CO'!$N$96+'Dane dla CO'!$N$97</f>
        <v>151.20000000000002</v>
      </c>
      <c r="DG16" s="84">
        <f>IF(DD16&lt;'Dane dla CO'!$R$67,0,IF(DE16&gt;1,DF16,DE16*DF16))</f>
        <v>151.20000000000002</v>
      </c>
      <c r="DH16" s="84">
        <f t="shared" si="28"/>
        <v>0</v>
      </c>
      <c r="DI16" s="84">
        <f>(DD16*'Dane dla CWU'!$T$53+'Dane dla CWU'!$V$53)/(DD16*'Dane dla CO'!$P$35+'Dane dla CO'!$Q$35)</f>
        <v>1.3566550925925924</v>
      </c>
      <c r="DJ16" s="84">
        <f t="shared" si="7"/>
        <v>10.319026666666666</v>
      </c>
      <c r="DK16" s="84">
        <f>IF(DD16&lt;'Dane dla CWU'!$R$67,0,IF(DI16&gt;1,DJ16,DI16*DJ16))</f>
        <v>0</v>
      </c>
      <c r="DL16" s="84">
        <f t="shared" si="29"/>
        <v>10.319026666666666</v>
      </c>
      <c r="DM16" s="49">
        <v>-10</v>
      </c>
      <c r="DN16" s="94">
        <f>DO16*'Dane dla CO'!$N$80</f>
        <v>846.36734693877565</v>
      </c>
      <c r="DO16" s="94">
        <f>(15-DS16)/35*'Dane dla CO'!$N$75</f>
        <v>7.4057142857142866</v>
      </c>
      <c r="DP16" s="94">
        <f t="shared" si="37"/>
        <v>846.36734693877565</v>
      </c>
      <c r="DQ16" s="51">
        <v>-10</v>
      </c>
      <c r="DR16" s="115">
        <v>1</v>
      </c>
      <c r="DS16" s="115">
        <v>-9</v>
      </c>
      <c r="DT16" s="89">
        <f>Wykresy!Y14</f>
        <v>48.4</v>
      </c>
      <c r="DU16" s="90">
        <f>Wykresy!AE14</f>
        <v>30.966666666666669</v>
      </c>
      <c r="DV16" s="92">
        <f>(($DV$18-$DV$15)/3)*1+$DV$15</f>
        <v>5.5216666666666665</v>
      </c>
      <c r="DW16" s="92">
        <v>2.46</v>
      </c>
      <c r="DX16" s="92">
        <f t="shared" si="44"/>
        <v>2.2445799457994577</v>
      </c>
      <c r="DY16" s="86">
        <f>(($DY$18-$DY$15)/3)*1+$DY$15</f>
        <v>7.333333333333333</v>
      </c>
      <c r="DZ16" s="86">
        <v>2.5299999999999998</v>
      </c>
      <c r="EA16" s="96">
        <f t="shared" si="45"/>
        <v>2.8985507246376812</v>
      </c>
      <c r="EB16" s="85">
        <f t="shared" si="49"/>
        <v>1</v>
      </c>
      <c r="EC16" s="85">
        <f t="shared" si="43"/>
        <v>9.9759108702198122E-3</v>
      </c>
      <c r="ED16" s="85">
        <f>(SUM(EC16:$EC$40))*$DT$42/(SUM(EB16:$EB$40))</f>
        <v>3.856420173958413</v>
      </c>
      <c r="EE16" s="86">
        <f t="shared" si="50"/>
        <v>1</v>
      </c>
      <c r="EF16" s="86">
        <f t="shared" si="46"/>
        <v>1.2882447665056361E-2</v>
      </c>
      <c r="EG16" s="86">
        <f>(SUM(EF16:$EF$40))*$DT$42/(SUM(EE16:$EE$40))</f>
        <v>4.9422698235969378</v>
      </c>
      <c r="EI16" s="115">
        <v>1</v>
      </c>
      <c r="EJ16" s="115">
        <f t="shared" si="40"/>
        <v>19</v>
      </c>
      <c r="EK16" s="115">
        <v>-9</v>
      </c>
      <c r="EL16" s="89">
        <v>55</v>
      </c>
      <c r="EM16" s="92">
        <f t="shared" si="51"/>
        <v>7.5474999999999985</v>
      </c>
      <c r="EN16" s="92">
        <f t="shared" si="52"/>
        <v>4.0175000000000001</v>
      </c>
      <c r="EO16" s="92">
        <f t="shared" si="47"/>
        <v>1.8786558805227127</v>
      </c>
      <c r="EP16" s="85">
        <f t="shared" si="53"/>
        <v>1</v>
      </c>
      <c r="EQ16" s="85">
        <f t="shared" si="48"/>
        <v>8.3495816912120564E-3</v>
      </c>
      <c r="ER16" s="85">
        <f>(SUM(EQ16:$EQ$53))*$EL$54/(SUM(EP16:$EP$53))</f>
        <v>4.5563505607455133</v>
      </c>
      <c r="FG16" t="s">
        <v>257</v>
      </c>
      <c r="FI16" s="103">
        <f>FI13-FI10</f>
        <v>1945.5270673005152</v>
      </c>
      <c r="FJ16" s="103">
        <f>IF(FI10&lt;FI18,IF(FI9&lt;FI18,FI18-FI9,0),0)</f>
        <v>2061.3867396076012</v>
      </c>
    </row>
    <row r="17" spans="1:165">
      <c r="A17" s="162"/>
      <c r="B17">
        <v>15</v>
      </c>
      <c r="C17">
        <v>0</v>
      </c>
      <c r="D17" s="84">
        <f>(C17*'Dane dla CO'!$T$53+'Dane dla CO'!$V$53)/(C17*'Dane dla CO'!$P$35+'Dane dla CO'!$Q$35)</f>
        <v>2.0652970679012341</v>
      </c>
      <c r="E17" s="84">
        <f>C17*'Dane dla CO'!$N$96+'Dane dla CO'!$N$97</f>
        <v>115.20000000000002</v>
      </c>
      <c r="F17" s="84">
        <f>IF(C17&lt;'Dane dla CO'!$R$67,0,IF(D17&gt;1,E17,D17*E17))</f>
        <v>115.20000000000002</v>
      </c>
      <c r="G17" s="84">
        <f t="shared" si="9"/>
        <v>0</v>
      </c>
      <c r="H17" s="84">
        <f>(C17*'Dane dla CWU'!$AB$53+'Dane dla CWU'!$AD$53)/(C17*'Dane dla CO'!$P$35+'Dane dla CO'!$Q$35)</f>
        <v>1.0394375857338818</v>
      </c>
      <c r="I17" s="84">
        <f t="shared" si="10"/>
        <v>10.319026666666666</v>
      </c>
      <c r="J17" s="84">
        <f>IF(C17&lt;'Dane dla CWU'!$R$67,0,IF(H17&gt;1,I17,H17*I17))</f>
        <v>0</v>
      </c>
      <c r="K17" s="84">
        <f t="shared" si="11"/>
        <v>10.319026666666666</v>
      </c>
      <c r="M17">
        <v>15</v>
      </c>
      <c r="N17">
        <v>0</v>
      </c>
      <c r="O17" s="84">
        <f>(N17*'Dane dla CO'!$T$53+'Dane dla CO'!$V$53)/(N17*'Dane dla CO'!$P$35+'Dane dla CO'!$Q$35)</f>
        <v>2.0652970679012341</v>
      </c>
      <c r="P17" s="84">
        <f>N17*'Dane dla CO'!$N$96+'Dane dla CO'!$N$97</f>
        <v>115.20000000000002</v>
      </c>
      <c r="Q17" s="84">
        <f>IF(N17&lt;'Dane dla CO'!$R$67,0,IF(O17&gt;1,P17,O17*P17))</f>
        <v>115.20000000000002</v>
      </c>
      <c r="R17" s="84">
        <f t="shared" si="12"/>
        <v>0</v>
      </c>
      <c r="S17" s="84">
        <f>(N17*'Dane dla CWU'!$T$53+'Dane dla CWU'!$V$53)/(N17*'Dane dla CO'!$P$35+'Dane dla CO'!$Q$35)</f>
        <v>2.0316743827160493</v>
      </c>
      <c r="T17" s="84">
        <f t="shared" si="13"/>
        <v>10.319026666666666</v>
      </c>
      <c r="U17" s="84">
        <f>IF(N17&lt;'Dane dla CWU'!$R$67,0,IF(S17&gt;1,T17,S17*T17))</f>
        <v>0</v>
      </c>
      <c r="V17" s="84">
        <f t="shared" si="14"/>
        <v>10.319026666666666</v>
      </c>
      <c r="X17">
        <v>15</v>
      </c>
      <c r="Y17">
        <v>5</v>
      </c>
      <c r="Z17" s="84">
        <f>(Y17*'Dane dla CO'!$T$53+'Dane dla CO'!$V$53)/(Y17*'Dane dla CO'!$P$35+'Dane dla CO'!$Q$35)</f>
        <v>3.3744212962962958</v>
      </c>
      <c r="AA17" s="84">
        <f>Y17*'Dane dla CO'!$N$96+'Dane dla CO'!$N$97</f>
        <v>79.200000000000017</v>
      </c>
      <c r="AB17" s="84">
        <f>IF(Y17&lt;'Dane dla CO'!$R$67,0,IF(Z17&gt;1,AA17,Z17*AA17))</f>
        <v>79.200000000000017</v>
      </c>
      <c r="AC17" s="84">
        <f t="shared" si="15"/>
        <v>0</v>
      </c>
      <c r="AD17" s="84">
        <f>(Y17*'Dane dla CWU'!$T$53+'Dane dla CWU'!$V$53)/(Y17*'Dane dla CO'!$P$35+'Dane dla CO'!$Q$35)</f>
        <v>3.381712962962963</v>
      </c>
      <c r="AE17" s="84">
        <f t="shared" si="16"/>
        <v>10.319026666666666</v>
      </c>
      <c r="AF17" s="84">
        <f>IF(Y17&lt;'Dane dla CWU'!$R$67,0,IF(AD17&gt;1,AE17,AD17*AE17))</f>
        <v>10.319026666666666</v>
      </c>
      <c r="AG17" s="84">
        <f t="shared" si="17"/>
        <v>0</v>
      </c>
      <c r="AI17">
        <v>15</v>
      </c>
      <c r="AJ17">
        <v>10</v>
      </c>
      <c r="AK17" s="84">
        <f>(AJ17*'Dane dla CO'!$T$53+'Dane dla CO'!$V$53)/(AJ17*'Dane dla CO'!$P$35+'Dane dla CO'!$Q$35)</f>
        <v>7.3017939814814818</v>
      </c>
      <c r="AL17" s="84">
        <f>AJ17*'Dane dla CO'!$N$96+'Dane dla CO'!$N$97</f>
        <v>43.2</v>
      </c>
      <c r="AM17" s="84">
        <f>IF(AJ17&lt;'Dane dla CO'!$R$67,0,IF(AK17&gt;1,AL17,AK17*AL17))</f>
        <v>43.2</v>
      </c>
      <c r="AN17" s="84">
        <f t="shared" si="18"/>
        <v>0</v>
      </c>
      <c r="AO17" s="84">
        <f>(AJ17*'Dane dla CWU'!$T$53+'Dane dla CWU'!$V$53)/(AJ17*'Dane dla CO'!$P$35+'Dane dla CO'!$Q$35)</f>
        <v>7.4318287037037045</v>
      </c>
      <c r="AP17" s="84">
        <f t="shared" si="19"/>
        <v>10.319026666666666</v>
      </c>
      <c r="AQ17" s="84">
        <f>IF(AJ17&lt;'Dane dla CWU'!$R$67,0,IF(AO17&gt;1,AP17,AO17*AP17))</f>
        <v>10.319026666666666</v>
      </c>
      <c r="AR17" s="84">
        <f t="shared" si="20"/>
        <v>0</v>
      </c>
      <c r="AT17">
        <v>15</v>
      </c>
      <c r="AU17">
        <v>10</v>
      </c>
      <c r="BA17">
        <v>15</v>
      </c>
      <c r="BB17">
        <v>16</v>
      </c>
      <c r="BH17">
        <v>15</v>
      </c>
      <c r="BI17">
        <v>19</v>
      </c>
      <c r="BO17">
        <v>15</v>
      </c>
      <c r="BP17">
        <v>16</v>
      </c>
      <c r="BV17">
        <v>15</v>
      </c>
      <c r="BW17">
        <v>13</v>
      </c>
      <c r="BX17" s="84">
        <f>(BW17*'Dane dla CO'!$T$53+'Dane dla CO'!$V$53)/(BW17*'Dane dla CO'!$P$35+'Dane dla CO'!$Q$35)</f>
        <v>19.083912037037027</v>
      </c>
      <c r="BY17" s="84">
        <f>BW17*'Dane dla CO'!$N$96+'Dane dla CO'!$N$97</f>
        <v>21.600000000000009</v>
      </c>
      <c r="BZ17" s="84">
        <f>IF(BW17&lt;'Dane dla CO'!$R$67,0,IF(BX17&gt;1,BY17,BX17*BY17))</f>
        <v>21.600000000000009</v>
      </c>
      <c r="CA17" s="84">
        <f t="shared" si="54"/>
        <v>0</v>
      </c>
      <c r="CB17" s="84">
        <f>(BW17*'Dane dla CWU'!$T$53+'Dane dla CWU'!$V$53)/(BW17*'Dane dla CO'!$P$35+'Dane dla CO'!$Q$35)</f>
        <v>19.582175925925917</v>
      </c>
      <c r="CC17" s="84">
        <f t="shared" si="55"/>
        <v>10.319026666666666</v>
      </c>
      <c r="CD17" s="84">
        <f>IF(BW17&lt;'Dane dla CWU'!$R$67,0,IF(CB17&gt;1,CC17,CB17*CC17))</f>
        <v>10.319026666666666</v>
      </c>
      <c r="CE17" s="84">
        <f t="shared" si="56"/>
        <v>0</v>
      </c>
      <c r="CG17">
        <v>15</v>
      </c>
      <c r="CH17">
        <v>11</v>
      </c>
      <c r="CI17" s="84">
        <f>(CH17*'Dane dla CO'!$T$53+'Dane dla CO'!$V$53)/(CH17*'Dane dla CO'!$P$35+'Dane dla CO'!$Q$35)</f>
        <v>9.2654803240740726</v>
      </c>
      <c r="CJ17" s="84">
        <f>CH17*'Dane dla CO'!$N$96+'Dane dla CO'!$N$97</f>
        <v>36</v>
      </c>
      <c r="CK17" s="84">
        <f>IF(CH17&lt;'Dane dla CO'!$R$67,0,IF(CI17&gt;1,CJ17,CI17*CJ17))</f>
        <v>36</v>
      </c>
      <c r="CL17" s="84">
        <f t="shared" si="24"/>
        <v>0</v>
      </c>
      <c r="CM17" s="84">
        <f>(CH17*'Dane dla CWU'!$T$53+'Dane dla CWU'!$V$53)/(CH17*'Dane dla CO'!$P$35+'Dane dla CO'!$Q$35)</f>
        <v>9.4568865740740744</v>
      </c>
      <c r="CN17" s="84">
        <f t="shared" si="1"/>
        <v>10.319026666666666</v>
      </c>
      <c r="CO17" s="84">
        <f>IF(CH17&lt;'Dane dla CWU'!$R$67,0,IF(CM17&gt;1,CN17,CM17*CN17))</f>
        <v>10.319026666666666</v>
      </c>
      <c r="CP17" s="84">
        <f t="shared" si="25"/>
        <v>0</v>
      </c>
      <c r="CR17">
        <v>15</v>
      </c>
      <c r="CS17">
        <v>-1</v>
      </c>
      <c r="CT17" s="84">
        <f>(CS17*'Dane dla CO'!$T$53+'Dane dla CO'!$V$53)/(CS17*'Dane dla CO'!$P$35+'Dane dla CO'!$Q$35)</f>
        <v>1.9016565393518516</v>
      </c>
      <c r="CU17" s="84">
        <f>CS17*'Dane dla CO'!$N$96+'Dane dla CO'!$N$97</f>
        <v>122.40000000000002</v>
      </c>
      <c r="CV17" s="84">
        <f>IF(CS17&lt;'Dane dla CO'!$R$67,0,IF(CT17&gt;1,CU17,CT17*CU17))</f>
        <v>122.40000000000002</v>
      </c>
      <c r="CW17" s="84">
        <f t="shared" si="26"/>
        <v>0</v>
      </c>
      <c r="CX17" s="84">
        <f>(CS17*'Dane dla CWU'!$T$53+'Dane dla CWU'!$V$53)/(CS17*'Dane dla CO'!$P$35+'Dane dla CO'!$Q$35)</f>
        <v>1.8629195601851849</v>
      </c>
      <c r="CY17" s="84">
        <f t="shared" si="4"/>
        <v>10.319026666666666</v>
      </c>
      <c r="CZ17" s="84">
        <f>IF(CS17&lt;'Dane dla CWU'!$R$67,0,IF(CX17&gt;1,CY17,CX17*CY17))</f>
        <v>0</v>
      </c>
      <c r="DA17" s="84">
        <f t="shared" si="27"/>
        <v>10.319026666666666</v>
      </c>
      <c r="DC17">
        <v>15</v>
      </c>
      <c r="DD17">
        <v>2</v>
      </c>
      <c r="DE17" s="84">
        <f>(DD17*'Dane dla CO'!$T$53+'Dane dla CO'!$V$53)/(DD17*'Dane dla CO'!$P$35+'Dane dla CO'!$Q$35)</f>
        <v>2.4681045227920229</v>
      </c>
      <c r="DF17" s="84">
        <f>DD17*'Dane dla CO'!$N$96+'Dane dla CO'!$N$97</f>
        <v>100.80000000000001</v>
      </c>
      <c r="DG17" s="84">
        <f>IF(DD17&lt;'Dane dla CO'!$R$67,0,IF(DE17&gt;1,DF17,DE17*DF17))</f>
        <v>100.80000000000001</v>
      </c>
      <c r="DH17" s="84">
        <f t="shared" si="28"/>
        <v>0</v>
      </c>
      <c r="DI17" s="84">
        <f>(DD17*'Dane dla CWU'!$T$53+'Dane dla CWU'!$V$53)/(DD17*'Dane dla CO'!$P$35+'Dane dla CO'!$Q$35)</f>
        <v>2.4470708689458691</v>
      </c>
      <c r="DJ17" s="84">
        <f t="shared" si="7"/>
        <v>10.319026666666666</v>
      </c>
      <c r="DK17" s="84">
        <f>IF(DD17&lt;'Dane dla CWU'!$R$67,0,IF(DI17&gt;1,DJ17,DI17*DJ17))</f>
        <v>0</v>
      </c>
      <c r="DL17" s="84">
        <f t="shared" si="29"/>
        <v>10.319026666666666</v>
      </c>
      <c r="DM17" s="49">
        <v>-10</v>
      </c>
      <c r="DN17" s="94">
        <f>DO17*'Dane dla CO'!$N$80</f>
        <v>811.10204081632662</v>
      </c>
      <c r="DO17" s="94">
        <f>(15-DS17)/35*'Dane dla CO'!$N$75</f>
        <v>7.0971428571428579</v>
      </c>
      <c r="DP17" s="94">
        <f t="shared" si="37"/>
        <v>811.10204081632662</v>
      </c>
      <c r="DQ17" s="51">
        <v>-10</v>
      </c>
      <c r="DR17" s="115">
        <v>0</v>
      </c>
      <c r="DS17" s="115">
        <v>-8</v>
      </c>
      <c r="DT17" s="89">
        <f>Wykresy!Y15</f>
        <v>47.8</v>
      </c>
      <c r="DU17" s="90">
        <f>Wykresy!AE15</f>
        <v>30.6</v>
      </c>
      <c r="DV17" s="92">
        <f>(($DV$18-$DV$15)/3)*2+$DV$15</f>
        <v>6.9433333333333334</v>
      </c>
      <c r="DW17" s="92">
        <v>2.4700000000000002</v>
      </c>
      <c r="DX17" s="92">
        <f t="shared" si="44"/>
        <v>2.8110661268556005</v>
      </c>
      <c r="DY17" s="86">
        <f>(($DY$18-$DY$15)/3)*2+$DY$15</f>
        <v>8.6666666666666661</v>
      </c>
      <c r="DZ17" s="86">
        <v>2.5299999999999998</v>
      </c>
      <c r="EA17" s="96">
        <f t="shared" si="45"/>
        <v>3.4255599472990776</v>
      </c>
      <c r="EB17" s="85">
        <f t="shared" si="49"/>
        <v>0</v>
      </c>
      <c r="EC17" s="85">
        <f t="shared" si="43"/>
        <v>0</v>
      </c>
      <c r="ED17" s="85">
        <f>(SUM(EC17:$EC$40))*$DT$42/(SUM(EB17:$EB$40))</f>
        <v>3.8642446410853979</v>
      </c>
      <c r="EE17" s="86">
        <f t="shared" si="50"/>
        <v>0</v>
      </c>
      <c r="EF17" s="86">
        <f t="shared" si="46"/>
        <v>0</v>
      </c>
      <c r="EG17" s="86">
        <f>(SUM(EF17:$EF$40))*$DT$42/(SUM(EE17:$EE$40))</f>
        <v>4.9521907900967408</v>
      </c>
      <c r="EI17" s="115">
        <v>0</v>
      </c>
      <c r="EJ17" s="115">
        <f t="shared" si="40"/>
        <v>19</v>
      </c>
      <c r="EK17" s="115">
        <v>-8</v>
      </c>
      <c r="EL17" s="89">
        <v>55</v>
      </c>
      <c r="EM17" s="92">
        <f t="shared" si="51"/>
        <v>7.7537499999999984</v>
      </c>
      <c r="EN17" s="92">
        <f t="shared" si="52"/>
        <v>4.00875</v>
      </c>
      <c r="EO17" s="92">
        <f t="shared" si="47"/>
        <v>1.9342064234487055</v>
      </c>
      <c r="EP17" s="85">
        <f t="shared" si="53"/>
        <v>0</v>
      </c>
      <c r="EQ17" s="85">
        <f t="shared" si="48"/>
        <v>0</v>
      </c>
      <c r="ER17" s="85">
        <f>(SUM(EQ17:$EQ$53))*$EL$54/(SUM(EP17:$EP$53))</f>
        <v>4.5606744906064982</v>
      </c>
    </row>
    <row r="18" spans="1:165">
      <c r="A18" s="162"/>
      <c r="B18">
        <v>16</v>
      </c>
      <c r="C18">
        <v>-1</v>
      </c>
      <c r="D18" s="84">
        <f>(C18*'Dane dla CO'!$T$53+'Dane dla CO'!$V$53)/(C18*'Dane dla CO'!$P$35+'Dane dla CO'!$Q$35)</f>
        <v>1.9016565393518516</v>
      </c>
      <c r="E18" s="84">
        <f>C18*'Dane dla CO'!$N$96+'Dane dla CO'!$N$97</f>
        <v>122.40000000000002</v>
      </c>
      <c r="F18" s="84">
        <f>IF(C18&lt;'Dane dla CO'!$R$67,0,IF(D18&gt;1,E18,D18*E18))</f>
        <v>122.40000000000002</v>
      </c>
      <c r="G18" s="84">
        <f t="shared" si="9"/>
        <v>0</v>
      </c>
      <c r="H18" s="84">
        <f>(C18*'Dane dla CWU'!$AB$53+'Dane dla CWU'!$AD$53)/(C18*'Dane dla CO'!$P$35+'Dane dla CO'!$Q$35)</f>
        <v>0.94521604938271586</v>
      </c>
      <c r="I18" s="84">
        <f t="shared" si="10"/>
        <v>10.319026666666666</v>
      </c>
      <c r="J18" s="84">
        <f>IF(C18&lt;'Dane dla CWU'!$R$67,0,IF(H18&gt;1,I18,H18*I18))</f>
        <v>0</v>
      </c>
      <c r="K18" s="84">
        <f t="shared" si="11"/>
        <v>10.319026666666666</v>
      </c>
      <c r="M18">
        <v>16</v>
      </c>
      <c r="N18">
        <v>-1</v>
      </c>
      <c r="O18" s="84">
        <f>(N18*'Dane dla CO'!$T$53+'Dane dla CO'!$V$53)/(N18*'Dane dla CO'!$P$35+'Dane dla CO'!$Q$35)</f>
        <v>1.9016565393518516</v>
      </c>
      <c r="P18" s="84">
        <f>N18*'Dane dla CO'!$N$96+'Dane dla CO'!$N$97</f>
        <v>122.40000000000002</v>
      </c>
      <c r="Q18" s="84">
        <f>IF(N18&lt;'Dane dla CO'!$R$67,0,IF(O18&gt;1,P18,O18*P18))</f>
        <v>122.40000000000002</v>
      </c>
      <c r="R18" s="84">
        <f t="shared" si="12"/>
        <v>0</v>
      </c>
      <c r="S18" s="84">
        <f>(N18*'Dane dla CWU'!$T$53+'Dane dla CWU'!$V$53)/(N18*'Dane dla CO'!$P$35+'Dane dla CO'!$Q$35)</f>
        <v>1.8629195601851849</v>
      </c>
      <c r="T18" s="84">
        <f t="shared" si="13"/>
        <v>10.319026666666666</v>
      </c>
      <c r="U18" s="84">
        <f>IF(N18&lt;'Dane dla CWU'!$R$67,0,IF(S18&gt;1,T18,S18*T18))</f>
        <v>0</v>
      </c>
      <c r="V18" s="84">
        <f t="shared" si="14"/>
        <v>10.319026666666666</v>
      </c>
      <c r="X18">
        <v>16</v>
      </c>
      <c r="Y18">
        <v>6</v>
      </c>
      <c r="Z18" s="84">
        <f>(Y18*'Dane dla CO'!$T$53+'Dane dla CO'!$V$53)/(Y18*'Dane dla CO'!$P$35+'Dane dla CO'!$Q$35)</f>
        <v>3.8107960390946491</v>
      </c>
      <c r="AA18" s="84">
        <f>Y18*'Dane dla CO'!$N$96+'Dane dla CO'!$N$97</f>
        <v>72.000000000000014</v>
      </c>
      <c r="AB18" s="84">
        <f>IF(Y18&lt;'Dane dla CO'!$R$67,0,IF(Z18&gt;1,AA18,Z18*AA18))</f>
        <v>72.000000000000014</v>
      </c>
      <c r="AC18" s="84">
        <f t="shared" si="15"/>
        <v>0</v>
      </c>
      <c r="AD18" s="84">
        <f>(Y18*'Dane dla CWU'!$T$53+'Dane dla CWU'!$V$53)/(Y18*'Dane dla CO'!$P$35+'Dane dla CO'!$Q$35)</f>
        <v>3.8317258230452675</v>
      </c>
      <c r="AE18" s="84">
        <f t="shared" si="16"/>
        <v>10.319026666666666</v>
      </c>
      <c r="AF18" s="84">
        <f>IF(Y18&lt;'Dane dla CWU'!$R$67,0,IF(AD18&gt;1,AE18,AD18*AE18))</f>
        <v>10.319026666666666</v>
      </c>
      <c r="AG18" s="84">
        <f t="shared" si="17"/>
        <v>0</v>
      </c>
      <c r="AI18">
        <v>16</v>
      </c>
      <c r="AJ18">
        <v>9</v>
      </c>
      <c r="AK18" s="84">
        <f>(AJ18*'Dane dla CO'!$T$53+'Dane dla CO'!$V$53)/(AJ18*'Dane dla CO'!$P$35+'Dane dla CO'!$Q$35)</f>
        <v>5.9926697530864192</v>
      </c>
      <c r="AL18" s="84">
        <f>AJ18*'Dane dla CO'!$N$96+'Dane dla CO'!$N$97</f>
        <v>50.400000000000006</v>
      </c>
      <c r="AM18" s="84">
        <f>IF(AJ18&lt;'Dane dla CO'!$R$67,0,IF(AK18&gt;1,AL18,AK18*AL18))</f>
        <v>50.400000000000006</v>
      </c>
      <c r="AN18" s="84">
        <f t="shared" si="18"/>
        <v>0</v>
      </c>
      <c r="AO18" s="84">
        <f>(AJ18*'Dane dla CWU'!$T$53+'Dane dla CWU'!$V$53)/(AJ18*'Dane dla CO'!$P$35+'Dane dla CO'!$Q$35)</f>
        <v>6.0817901234567913</v>
      </c>
      <c r="AP18" s="84">
        <f t="shared" si="19"/>
        <v>10.319026666666666</v>
      </c>
      <c r="AQ18" s="84">
        <f>IF(AJ18&lt;'Dane dla CWU'!$R$67,0,IF(AO18&gt;1,AP18,AO18*AP18))</f>
        <v>10.319026666666666</v>
      </c>
      <c r="AR18" s="84">
        <f t="shared" si="20"/>
        <v>0</v>
      </c>
      <c r="AT18">
        <v>16</v>
      </c>
      <c r="AU18">
        <v>12</v>
      </c>
      <c r="BA18">
        <v>16</v>
      </c>
      <c r="BB18">
        <v>21</v>
      </c>
      <c r="BH18">
        <v>16</v>
      </c>
      <c r="BI18">
        <v>15</v>
      </c>
      <c r="BO18">
        <v>16</v>
      </c>
      <c r="BP18">
        <v>19</v>
      </c>
      <c r="BV18">
        <v>16</v>
      </c>
      <c r="BX18" s="84"/>
      <c r="BY18" s="84"/>
      <c r="BZ18" s="84"/>
      <c r="CA18" s="84"/>
      <c r="CB18" s="84"/>
      <c r="CC18" s="84">
        <f t="shared" si="55"/>
        <v>10.319026666666666</v>
      </c>
      <c r="CD18" s="84">
        <f>IF(BW18&lt;'Dane dla CWU'!$R$67,0,IF(CB18&gt;1,CC18,CB18*CC18))</f>
        <v>0</v>
      </c>
      <c r="CE18" s="84">
        <f t="shared" si="56"/>
        <v>10.319026666666666</v>
      </c>
      <c r="CG18">
        <v>16</v>
      </c>
      <c r="CH18">
        <v>11</v>
      </c>
      <c r="CI18" s="84">
        <f>(CH18*'Dane dla CO'!$T$53+'Dane dla CO'!$V$53)/(CH18*'Dane dla CO'!$P$35+'Dane dla CO'!$Q$35)</f>
        <v>9.2654803240740726</v>
      </c>
      <c r="CJ18" s="84">
        <f>CH18*'Dane dla CO'!$N$96+'Dane dla CO'!$N$97</f>
        <v>36</v>
      </c>
      <c r="CK18" s="84">
        <f>IF(CH18&lt;'Dane dla CO'!$R$67,0,IF(CI18&gt;1,CJ18,CI18*CJ18))</f>
        <v>36</v>
      </c>
      <c r="CL18" s="84">
        <f t="shared" si="24"/>
        <v>0</v>
      </c>
      <c r="CM18" s="84">
        <f>(CH18*'Dane dla CWU'!$T$53+'Dane dla CWU'!$V$53)/(CH18*'Dane dla CO'!$P$35+'Dane dla CO'!$Q$35)</f>
        <v>9.4568865740740744</v>
      </c>
      <c r="CN18" s="84">
        <f t="shared" si="1"/>
        <v>10.319026666666666</v>
      </c>
      <c r="CO18" s="84">
        <f>IF(CH18&lt;'Dane dla CWU'!$R$67,0,IF(CM18&gt;1,CN18,CM18*CN18))</f>
        <v>10.319026666666666</v>
      </c>
      <c r="CP18" s="84">
        <f t="shared" si="25"/>
        <v>0</v>
      </c>
      <c r="CR18">
        <v>16</v>
      </c>
      <c r="CS18">
        <v>-1</v>
      </c>
      <c r="CT18" s="84">
        <f>(CS18*'Dane dla CO'!$T$53+'Dane dla CO'!$V$53)/(CS18*'Dane dla CO'!$P$35+'Dane dla CO'!$Q$35)</f>
        <v>1.9016565393518516</v>
      </c>
      <c r="CU18" s="84">
        <f>CS18*'Dane dla CO'!$N$96+'Dane dla CO'!$N$97</f>
        <v>122.40000000000002</v>
      </c>
      <c r="CV18" s="84">
        <f>IF(CS18&lt;'Dane dla CO'!$R$67,0,IF(CT18&gt;1,CU18,CT18*CU18))</f>
        <v>122.40000000000002</v>
      </c>
      <c r="CW18" s="84">
        <f t="shared" si="26"/>
        <v>0</v>
      </c>
      <c r="CX18" s="84">
        <f>(CS18*'Dane dla CWU'!$T$53+'Dane dla CWU'!$V$53)/(CS18*'Dane dla CO'!$P$35+'Dane dla CO'!$Q$35)</f>
        <v>1.8629195601851849</v>
      </c>
      <c r="CY18" s="84">
        <f t="shared" si="4"/>
        <v>10.319026666666666</v>
      </c>
      <c r="CZ18" s="84">
        <f>IF(CS18&lt;'Dane dla CWU'!$R$67,0,IF(CX18&gt;1,CY18,CX18*CY18))</f>
        <v>0</v>
      </c>
      <c r="DA18" s="84">
        <f t="shared" si="27"/>
        <v>10.319026666666666</v>
      </c>
      <c r="DC18">
        <v>16</v>
      </c>
      <c r="DD18">
        <v>3</v>
      </c>
      <c r="DE18" s="84">
        <f>(DD18*'Dane dla CO'!$T$53+'Dane dla CO'!$V$53)/(DD18*'Dane dla CO'!$P$35+'Dane dla CO'!$Q$35)</f>
        <v>2.719859182098765</v>
      </c>
      <c r="DF18" s="84">
        <f>DD18*'Dane dla CO'!$N$96+'Dane dla CO'!$N$97</f>
        <v>93.600000000000023</v>
      </c>
      <c r="DG18" s="84">
        <f>IF(DD18&lt;'Dane dla CO'!$R$67,0,IF(DE18&gt;1,DF18,DE18*DF18))</f>
        <v>93.600000000000023</v>
      </c>
      <c r="DH18" s="84">
        <f t="shared" si="28"/>
        <v>0</v>
      </c>
      <c r="DI18" s="84">
        <f>(DD18*'Dane dla CWU'!$T$53+'Dane dla CWU'!$V$53)/(DD18*'Dane dla CO'!$P$35+'Dane dla CO'!$Q$35)</f>
        <v>2.7066936728395059</v>
      </c>
      <c r="DJ18" s="84">
        <f t="shared" si="7"/>
        <v>10.319026666666666</v>
      </c>
      <c r="DK18" s="84">
        <f>IF(DD18&lt;'Dane dla CWU'!$R$67,0,IF(DI18&gt;1,DJ18,DI18*DJ18))</f>
        <v>10.319026666666666</v>
      </c>
      <c r="DL18" s="84">
        <f t="shared" si="29"/>
        <v>0</v>
      </c>
      <c r="DM18" s="49">
        <v>-10</v>
      </c>
      <c r="DN18" s="94">
        <f>DO18*'Dane dla CO'!$N$80</f>
        <v>775.8367346938777</v>
      </c>
      <c r="DO18" s="94">
        <f>(15-DS18)/35*'Dane dla CO'!$N$75</f>
        <v>6.7885714285714291</v>
      </c>
      <c r="DP18" s="94">
        <f t="shared" si="37"/>
        <v>775.8367346938777</v>
      </c>
      <c r="DQ18" s="51">
        <v>-10</v>
      </c>
      <c r="DR18" s="115">
        <v>1</v>
      </c>
      <c r="DS18" s="115">
        <v>-7</v>
      </c>
      <c r="DT18" s="89">
        <f>Wykresy!Y16</f>
        <v>47.2</v>
      </c>
      <c r="DU18" s="90">
        <f>Wykresy!AE16</f>
        <v>30.233333333333334</v>
      </c>
      <c r="DV18" s="117">
        <f>(8.77+7.96)/2</f>
        <v>8.3650000000000002</v>
      </c>
      <c r="DW18" s="117">
        <f>(3.59+4)/2</f>
        <v>3.7949999999999999</v>
      </c>
      <c r="DX18" s="92">
        <f t="shared" si="44"/>
        <v>2.2042160737812915</v>
      </c>
      <c r="DY18" s="118">
        <v>10</v>
      </c>
      <c r="DZ18" s="118">
        <v>3.1</v>
      </c>
      <c r="EA18" s="96">
        <f t="shared" si="45"/>
        <v>3.225806451612903</v>
      </c>
      <c r="EB18" s="85">
        <f t="shared" si="49"/>
        <v>1</v>
      </c>
      <c r="EC18" s="85">
        <f t="shared" si="43"/>
        <v>9.7965158834724068E-3</v>
      </c>
      <c r="ED18" s="85">
        <f>(SUM(EC18:$EC$40))*$DT$42/(SUM(EB18:$EB$40))</f>
        <v>3.8642446410853979</v>
      </c>
      <c r="EE18" s="86">
        <f t="shared" si="50"/>
        <v>1</v>
      </c>
      <c r="EF18" s="86">
        <f t="shared" si="46"/>
        <v>1.4336917562724013E-2</v>
      </c>
      <c r="EG18" s="86">
        <f>(SUM(EF18:$EF$40))*$DT$42/(SUM(EE18:$EE$40))</f>
        <v>4.9521907900967408</v>
      </c>
      <c r="EI18" s="115">
        <v>1</v>
      </c>
      <c r="EJ18" s="115">
        <f t="shared" si="40"/>
        <v>20</v>
      </c>
      <c r="EK18" s="115">
        <v>-7</v>
      </c>
      <c r="EL18" s="89">
        <v>55</v>
      </c>
      <c r="EM18" s="117">
        <v>7.96</v>
      </c>
      <c r="EN18" s="117">
        <v>4</v>
      </c>
      <c r="EO18" s="92">
        <f t="shared" si="47"/>
        <v>1.99</v>
      </c>
      <c r="EP18" s="85">
        <f t="shared" si="53"/>
        <v>1</v>
      </c>
      <c r="EQ18" s="85">
        <f t="shared" si="48"/>
        <v>8.8444444444444447E-3</v>
      </c>
      <c r="ER18" s="85">
        <f>(SUM(EQ18:$EQ$53))*$EL$54/(SUM(EP18:$EP$53))</f>
        <v>4.5606744906064982</v>
      </c>
      <c r="ES18" s="84">
        <f>(EM27-EM18)/9</f>
        <v>-0.1977777777777778</v>
      </c>
      <c r="ET18" s="84">
        <f>(EN27-EN18)/9</f>
        <v>-0.12222222222222223</v>
      </c>
      <c r="FG18" t="s">
        <v>206</v>
      </c>
      <c r="FI18" s="84">
        <f>Dobór!P29</f>
        <v>6373.6565901788554</v>
      </c>
    </row>
    <row r="19" spans="1:165">
      <c r="A19" s="162"/>
      <c r="B19">
        <v>17</v>
      </c>
      <c r="C19">
        <v>0</v>
      </c>
      <c r="D19" s="84">
        <f>(C19*'Dane dla CO'!$T$53+'Dane dla CO'!$V$53)/(C19*'Dane dla CO'!$P$35+'Dane dla CO'!$Q$35)</f>
        <v>2.0652970679012341</v>
      </c>
      <c r="E19" s="84">
        <f>C19*'Dane dla CO'!$N$96+'Dane dla CO'!$N$97</f>
        <v>115.20000000000002</v>
      </c>
      <c r="F19" s="84">
        <f>IF(C19&lt;'Dane dla CO'!$R$67,0,IF(D19&gt;1,E19,D19*E19))</f>
        <v>115.20000000000002</v>
      </c>
      <c r="G19" s="84">
        <f t="shared" si="9"/>
        <v>0</v>
      </c>
      <c r="H19" s="84">
        <f>(C19*'Dane dla CWU'!$AB$53+'Dane dla CWU'!$AD$53)/(C19*'Dane dla CO'!$P$35+'Dane dla CO'!$Q$35)</f>
        <v>1.0394375857338818</v>
      </c>
      <c r="I19" s="84">
        <f t="shared" si="10"/>
        <v>10.319026666666666</v>
      </c>
      <c r="J19" s="84">
        <f>IF(C19&lt;'Dane dla CWU'!$R$67,0,IF(H19&gt;1,I19,H19*I19))</f>
        <v>0</v>
      </c>
      <c r="K19" s="84">
        <f t="shared" si="11"/>
        <v>10.319026666666666</v>
      </c>
      <c r="M19">
        <v>17</v>
      </c>
      <c r="N19">
        <v>2</v>
      </c>
      <c r="O19" s="84">
        <f>(N19*'Dane dla CO'!$T$53+'Dane dla CO'!$V$53)/(N19*'Dane dla CO'!$P$35+'Dane dla CO'!$Q$35)</f>
        <v>2.4681045227920229</v>
      </c>
      <c r="P19" s="84">
        <f>N19*'Dane dla CO'!$N$96+'Dane dla CO'!$N$97</f>
        <v>100.80000000000001</v>
      </c>
      <c r="Q19" s="84">
        <f>IF(N19&lt;'Dane dla CO'!$R$67,0,IF(O19&gt;1,P19,O19*P19))</f>
        <v>100.80000000000001</v>
      </c>
      <c r="R19" s="84">
        <f t="shared" si="12"/>
        <v>0</v>
      </c>
      <c r="S19" s="84">
        <f>(N19*'Dane dla CWU'!$T$53+'Dane dla CWU'!$V$53)/(N19*'Dane dla CO'!$P$35+'Dane dla CO'!$Q$35)</f>
        <v>2.4470708689458691</v>
      </c>
      <c r="T19" s="84">
        <f t="shared" si="13"/>
        <v>10.319026666666666</v>
      </c>
      <c r="U19" s="84">
        <f>IF(N19&lt;'Dane dla CWU'!$R$67,0,IF(S19&gt;1,T19,S19*T19))</f>
        <v>0</v>
      </c>
      <c r="V19" s="84">
        <f t="shared" si="14"/>
        <v>10.319026666666666</v>
      </c>
      <c r="X19">
        <v>17</v>
      </c>
      <c r="Y19">
        <v>11</v>
      </c>
      <c r="Z19" s="84">
        <f>(Y19*'Dane dla CO'!$T$53+'Dane dla CO'!$V$53)/(Y19*'Dane dla CO'!$P$35+'Dane dla CO'!$Q$35)</f>
        <v>9.2654803240740726</v>
      </c>
      <c r="AA19" s="84">
        <f>Y19*'Dane dla CO'!$N$96+'Dane dla CO'!$N$97</f>
        <v>36</v>
      </c>
      <c r="AB19" s="84">
        <f>IF(Y19&lt;'Dane dla CO'!$R$67,0,IF(Z19&gt;1,AA19,Z19*AA19))</f>
        <v>36</v>
      </c>
      <c r="AC19" s="84">
        <f t="shared" si="15"/>
        <v>0</v>
      </c>
      <c r="AD19" s="84">
        <f>(Y19*'Dane dla CWU'!$T$53+'Dane dla CWU'!$V$53)/(Y19*'Dane dla CO'!$P$35+'Dane dla CO'!$Q$35)</f>
        <v>9.4568865740740744</v>
      </c>
      <c r="AE19" s="84">
        <f t="shared" si="16"/>
        <v>10.319026666666666</v>
      </c>
      <c r="AF19" s="84">
        <f>IF(Y19&lt;'Dane dla CWU'!$R$67,0,IF(AD19&gt;1,AE19,AD19*AE19))</f>
        <v>10.319026666666666</v>
      </c>
      <c r="AG19" s="84">
        <f t="shared" si="17"/>
        <v>0</v>
      </c>
      <c r="AI19">
        <v>17</v>
      </c>
      <c r="AJ19">
        <v>7</v>
      </c>
      <c r="AK19" s="84">
        <f>(AJ19*'Dane dla CO'!$T$53+'Dane dla CO'!$V$53)/(AJ19*'Dane dla CO'!$P$35+'Dane dla CO'!$Q$35)</f>
        <v>4.3562644675925926</v>
      </c>
      <c r="AL19" s="84">
        <f>AJ19*'Dane dla CO'!$N$96+'Dane dla CO'!$N$97</f>
        <v>64.800000000000011</v>
      </c>
      <c r="AM19" s="84">
        <f>IF(AJ19&lt;'Dane dla CO'!$R$67,0,IF(AK19&gt;1,AL19,AK19*AL19))</f>
        <v>64.800000000000011</v>
      </c>
      <c r="AN19" s="84">
        <f t="shared" si="18"/>
        <v>0</v>
      </c>
      <c r="AO19" s="84">
        <f>(AJ19*'Dane dla CWU'!$T$53+'Dane dla CWU'!$V$53)/(AJ19*'Dane dla CO'!$P$35+'Dane dla CO'!$Q$35)</f>
        <v>4.3942418981481479</v>
      </c>
      <c r="AP19" s="84">
        <f t="shared" si="19"/>
        <v>10.319026666666666</v>
      </c>
      <c r="AQ19" s="84">
        <f>IF(AJ19&lt;'Dane dla CWU'!$R$67,0,IF(AO19&gt;1,AP19,AO19*AP19))</f>
        <v>10.319026666666666</v>
      </c>
      <c r="AR19" s="84">
        <f t="shared" si="20"/>
        <v>0</v>
      </c>
      <c r="AT19">
        <v>17</v>
      </c>
      <c r="AU19">
        <v>10</v>
      </c>
      <c r="BA19">
        <v>17</v>
      </c>
      <c r="BB19">
        <v>25</v>
      </c>
      <c r="BH19">
        <v>17</v>
      </c>
      <c r="BI19">
        <v>15</v>
      </c>
      <c r="BO19">
        <v>17</v>
      </c>
      <c r="BP19">
        <v>17</v>
      </c>
      <c r="BV19">
        <v>17</v>
      </c>
      <c r="BW19">
        <v>14</v>
      </c>
      <c r="BX19" s="84">
        <f>(BW19*'Dane dla CO'!$T$53+'Dane dla CO'!$V$53)/(BW19*'Dane dla CO'!$P$35+'Dane dla CO'!$Q$35)</f>
        <v>38.720775462962941</v>
      </c>
      <c r="BY19" s="84">
        <f>BW19*'Dane dla CO'!$N$96+'Dane dla CO'!$N$97</f>
        <v>14.400000000000006</v>
      </c>
      <c r="BZ19" s="84">
        <f>IF(BW19&lt;'Dane dla CO'!$R$67,0,IF(BX19&gt;1,BY19,BX19*BY19))</f>
        <v>14.400000000000006</v>
      </c>
      <c r="CA19" s="84">
        <f t="shared" si="54"/>
        <v>0</v>
      </c>
      <c r="CB19" s="84">
        <f>(BW19*'Dane dla CWU'!$T$53+'Dane dla CWU'!$V$53)/(BW19*'Dane dla CO'!$P$35+'Dane dla CO'!$Q$35)</f>
        <v>39.832754629629619</v>
      </c>
      <c r="CC19" s="84">
        <f t="shared" si="55"/>
        <v>10.319026666666666</v>
      </c>
      <c r="CD19" s="84">
        <f>IF(BW19&lt;'Dane dla CWU'!$R$67,0,IF(CB19&gt;1,CC19,CB19*CC19))</f>
        <v>10.319026666666666</v>
      </c>
      <c r="CE19" s="84">
        <f t="shared" si="56"/>
        <v>0</v>
      </c>
      <c r="CG19">
        <v>17</v>
      </c>
      <c r="CH19">
        <v>9</v>
      </c>
      <c r="CI19" s="84">
        <f>(CH19*'Dane dla CO'!$T$53+'Dane dla CO'!$V$53)/(CH19*'Dane dla CO'!$P$35+'Dane dla CO'!$Q$35)</f>
        <v>5.9926697530864192</v>
      </c>
      <c r="CJ19" s="84">
        <f>CH19*'Dane dla CO'!$N$96+'Dane dla CO'!$N$97</f>
        <v>50.400000000000006</v>
      </c>
      <c r="CK19" s="84">
        <f>IF(CH19&lt;'Dane dla CO'!$R$67,0,IF(CI19&gt;1,CJ19,CI19*CJ19))</f>
        <v>50.400000000000006</v>
      </c>
      <c r="CL19" s="84">
        <f t="shared" si="24"/>
        <v>0</v>
      </c>
      <c r="CM19" s="84">
        <f>(CH19*'Dane dla CWU'!$T$53+'Dane dla CWU'!$V$53)/(CH19*'Dane dla CO'!$P$35+'Dane dla CO'!$Q$35)</f>
        <v>6.0817901234567913</v>
      </c>
      <c r="CN19" s="84">
        <f t="shared" si="1"/>
        <v>10.319026666666666</v>
      </c>
      <c r="CO19" s="84">
        <f>IF(CH19&lt;'Dane dla CWU'!$R$67,0,IF(CM19&gt;1,CN19,CM19*CN19))</f>
        <v>10.319026666666666</v>
      </c>
      <c r="CP19" s="84">
        <f t="shared" si="25"/>
        <v>0</v>
      </c>
      <c r="CR19">
        <v>17</v>
      </c>
      <c r="CS19">
        <v>0</v>
      </c>
      <c r="CT19" s="84">
        <f>(CS19*'Dane dla CO'!$T$53+'Dane dla CO'!$V$53)/(CS19*'Dane dla CO'!$P$35+'Dane dla CO'!$Q$35)</f>
        <v>2.0652970679012341</v>
      </c>
      <c r="CU19" s="84">
        <f>CS19*'Dane dla CO'!$N$96+'Dane dla CO'!$N$97</f>
        <v>115.20000000000002</v>
      </c>
      <c r="CV19" s="84">
        <f>IF(CS19&lt;'Dane dla CO'!$R$67,0,IF(CT19&gt;1,CU19,CT19*CU19))</f>
        <v>115.20000000000002</v>
      </c>
      <c r="CW19" s="84">
        <f t="shared" si="26"/>
        <v>0</v>
      </c>
      <c r="CX19" s="84">
        <f>(CS19*'Dane dla CWU'!$T$53+'Dane dla CWU'!$V$53)/(CS19*'Dane dla CO'!$P$35+'Dane dla CO'!$Q$35)</f>
        <v>2.0316743827160493</v>
      </c>
      <c r="CY19" s="84">
        <f t="shared" si="4"/>
        <v>10.319026666666666</v>
      </c>
      <c r="CZ19" s="84">
        <f>IF(CS19&lt;'Dane dla CWU'!$R$67,0,IF(CX19&gt;1,CY19,CX19*CY19))</f>
        <v>0</v>
      </c>
      <c r="DA19" s="84">
        <f t="shared" si="27"/>
        <v>10.319026666666666</v>
      </c>
      <c r="DC19">
        <v>17</v>
      </c>
      <c r="DD19">
        <v>2</v>
      </c>
      <c r="DE19" s="84">
        <f>(DD19*'Dane dla CO'!$T$53+'Dane dla CO'!$V$53)/(DD19*'Dane dla CO'!$P$35+'Dane dla CO'!$Q$35)</f>
        <v>2.4681045227920229</v>
      </c>
      <c r="DF19" s="84">
        <f>DD19*'Dane dla CO'!$N$96+'Dane dla CO'!$N$97</f>
        <v>100.80000000000001</v>
      </c>
      <c r="DG19" s="84">
        <f>IF(DD19&lt;'Dane dla CO'!$R$67,0,IF(DE19&gt;1,DF19,DE19*DF19))</f>
        <v>100.80000000000001</v>
      </c>
      <c r="DH19" s="84">
        <f t="shared" si="28"/>
        <v>0</v>
      </c>
      <c r="DI19" s="84">
        <f>(DD19*'Dane dla CWU'!$T$53+'Dane dla CWU'!$V$53)/(DD19*'Dane dla CO'!$P$35+'Dane dla CO'!$Q$35)</f>
        <v>2.4470708689458691</v>
      </c>
      <c r="DJ19" s="84">
        <f t="shared" si="7"/>
        <v>10.319026666666666</v>
      </c>
      <c r="DK19" s="84">
        <f>IF(DD19&lt;'Dane dla CWU'!$R$67,0,IF(DI19&gt;1,DJ19,DI19*DJ19))</f>
        <v>0</v>
      </c>
      <c r="DL19" s="84">
        <f t="shared" si="29"/>
        <v>10.319026666666666</v>
      </c>
      <c r="DM19" s="49">
        <v>-10</v>
      </c>
      <c r="DN19" s="94">
        <f>DO19*'Dane dla CO'!$N$80</f>
        <v>740.57142857142867</v>
      </c>
      <c r="DO19" s="94">
        <f>(15-DS19)/35*'Dane dla CO'!$N$75</f>
        <v>6.48</v>
      </c>
      <c r="DP19" s="94">
        <f t="shared" si="37"/>
        <v>370.28571428571433</v>
      </c>
      <c r="DQ19" s="51">
        <v>-10</v>
      </c>
      <c r="DR19" s="115">
        <v>2</v>
      </c>
      <c r="DS19" s="115">
        <v>-6</v>
      </c>
      <c r="DT19" s="89">
        <f>Wykresy!Y17</f>
        <v>46.6</v>
      </c>
      <c r="DU19" s="90">
        <f>Wykresy!AE17</f>
        <v>29.866666666666667</v>
      </c>
      <c r="DV19" s="92">
        <f>(($DV$27-$DV$18)/9)*1+$DV$18</f>
        <v>8.1966666666666672</v>
      </c>
      <c r="DW19" s="92">
        <f>(($DW$27-$DW$18)/9)*1+$DW$18</f>
        <v>3.6466666666666665</v>
      </c>
      <c r="DX19" s="92">
        <f t="shared" si="44"/>
        <v>2.247714808043876</v>
      </c>
      <c r="DY19" s="86">
        <f>(($DY$27-$DY$18)/9)*1+$DY$18</f>
        <v>9.7777777777777786</v>
      </c>
      <c r="DZ19" s="86">
        <f>(($DZ$27-$DZ$18)/9)*1+$DZ$18</f>
        <v>2.9777777777777779</v>
      </c>
      <c r="EA19" s="96">
        <f t="shared" si="45"/>
        <v>3.283582089552239</v>
      </c>
      <c r="EB19" s="85">
        <f t="shared" si="49"/>
        <v>2</v>
      </c>
      <c r="EC19" s="85">
        <f t="shared" si="43"/>
        <v>1.997968718261223E-2</v>
      </c>
      <c r="ED19" s="85">
        <f>(SUM(EC19:$EC$40))*$DT$42/(SUM(EB19:$EB$40))</f>
        <v>3.8723423414137108</v>
      </c>
      <c r="EE19" s="86">
        <f t="shared" si="50"/>
        <v>2</v>
      </c>
      <c r="EF19" s="86">
        <f t="shared" si="46"/>
        <v>2.9187396351575457E-2</v>
      </c>
      <c r="EG19" s="86">
        <f>(SUM(EF19:$EF$40))*$DT$42/(SUM(EE19:$EE$40))</f>
        <v>4.9606121771137337</v>
      </c>
      <c r="EI19" s="115">
        <v>2</v>
      </c>
      <c r="EJ19" s="115">
        <f t="shared" si="40"/>
        <v>22</v>
      </c>
      <c r="EK19" s="115">
        <v>-6</v>
      </c>
      <c r="EL19" s="89">
        <v>55</v>
      </c>
      <c r="EM19" s="92">
        <f>EM18+$ES$18</f>
        <v>7.7622222222222224</v>
      </c>
      <c r="EN19" s="92">
        <f>EN18+$ET$18</f>
        <v>3.8777777777777778</v>
      </c>
      <c r="EO19" s="92">
        <f t="shared" si="47"/>
        <v>2.0017191977077364</v>
      </c>
      <c r="EP19" s="85">
        <f t="shared" si="53"/>
        <v>2</v>
      </c>
      <c r="EQ19" s="85">
        <f t="shared" si="48"/>
        <v>1.779305953517988E-2</v>
      </c>
      <c r="ER19" s="85">
        <f>(SUM(EQ19:$EQ$53))*$EL$54/(SUM(EP19:$EP$53))</f>
        <v>4.5644999467450527</v>
      </c>
    </row>
    <row r="20" spans="1:165">
      <c r="A20" s="162"/>
      <c r="B20">
        <v>18</v>
      </c>
      <c r="C20">
        <v>-1</v>
      </c>
      <c r="D20" s="84">
        <f>(C20*'Dane dla CO'!$T$53+'Dane dla CO'!$V$53)/(C20*'Dane dla CO'!$P$35+'Dane dla CO'!$Q$35)</f>
        <v>1.9016565393518516</v>
      </c>
      <c r="E20" s="84">
        <f>C20*'Dane dla CO'!$N$96+'Dane dla CO'!$N$97</f>
        <v>122.40000000000002</v>
      </c>
      <c r="F20" s="84">
        <f>IF(C20&lt;'Dane dla CO'!$R$67,0,IF(D20&gt;1,E20,D20*E20))</f>
        <v>122.40000000000002</v>
      </c>
      <c r="G20" s="84">
        <f t="shared" si="9"/>
        <v>0</v>
      </c>
      <c r="H20" s="84">
        <f>(C20*'Dane dla CWU'!$AB$53+'Dane dla CWU'!$AD$53)/(C20*'Dane dla CO'!$P$35+'Dane dla CO'!$Q$35)</f>
        <v>0.94521604938271586</v>
      </c>
      <c r="I20" s="84">
        <f t="shared" si="10"/>
        <v>10.319026666666666</v>
      </c>
      <c r="J20" s="84">
        <f>IF(C20&lt;'Dane dla CWU'!$R$67,0,IF(H20&gt;1,I20,H20*I20))</f>
        <v>0</v>
      </c>
      <c r="K20" s="84">
        <f t="shared" si="11"/>
        <v>10.319026666666666</v>
      </c>
      <c r="M20">
        <v>18</v>
      </c>
      <c r="N20">
        <v>4</v>
      </c>
      <c r="O20" s="84">
        <f>(N20*'Dane dla CO'!$T$53+'Dane dla CO'!$V$53)/(N20*'Dane dla CO'!$P$35+'Dane dla CO'!$Q$35)</f>
        <v>3.0173874158249157</v>
      </c>
      <c r="P20" s="84">
        <f>N20*'Dane dla CO'!$N$96+'Dane dla CO'!$N$97</f>
        <v>86.4</v>
      </c>
      <c r="Q20" s="84">
        <f>IF(N20&lt;'Dane dla CO'!$R$67,0,IF(O20&gt;1,P20,O20*P20))</f>
        <v>86.4</v>
      </c>
      <c r="R20" s="84">
        <f t="shared" si="12"/>
        <v>0</v>
      </c>
      <c r="S20" s="84">
        <f>(N20*'Dane dla CWU'!$T$53+'Dane dla CWU'!$V$53)/(N20*'Dane dla CO'!$P$35+'Dane dla CO'!$Q$35)</f>
        <v>3.0135206228956233</v>
      </c>
      <c r="T20" s="84">
        <f t="shared" si="13"/>
        <v>10.319026666666666</v>
      </c>
      <c r="U20" s="84">
        <f>IF(N20&lt;'Dane dla CWU'!$R$67,0,IF(S20&gt;1,T20,S20*T20))</f>
        <v>10.319026666666666</v>
      </c>
      <c r="V20" s="84">
        <f t="shared" si="14"/>
        <v>0</v>
      </c>
      <c r="X20">
        <v>18</v>
      </c>
      <c r="Y20">
        <v>10</v>
      </c>
      <c r="Z20" s="84">
        <f>(Y20*'Dane dla CO'!$T$53+'Dane dla CO'!$V$53)/(Y20*'Dane dla CO'!$P$35+'Dane dla CO'!$Q$35)</f>
        <v>7.3017939814814818</v>
      </c>
      <c r="AA20" s="84">
        <f>Y20*'Dane dla CO'!$N$96+'Dane dla CO'!$N$97</f>
        <v>43.2</v>
      </c>
      <c r="AB20" s="84">
        <f>IF(Y20&lt;'Dane dla CO'!$R$67,0,IF(Z20&gt;1,AA20,Z20*AA20))</f>
        <v>43.2</v>
      </c>
      <c r="AC20" s="84">
        <f t="shared" si="15"/>
        <v>0</v>
      </c>
      <c r="AD20" s="84">
        <f>(Y20*'Dane dla CWU'!$T$53+'Dane dla CWU'!$V$53)/(Y20*'Dane dla CO'!$P$35+'Dane dla CO'!$Q$35)</f>
        <v>7.4318287037037045</v>
      </c>
      <c r="AE20" s="84">
        <f t="shared" si="16"/>
        <v>10.319026666666666</v>
      </c>
      <c r="AF20" s="84">
        <f>IF(Y20&lt;'Dane dla CWU'!$R$67,0,IF(AD20&gt;1,AE20,AD20*AE20))</f>
        <v>10.319026666666666</v>
      </c>
      <c r="AG20" s="84">
        <f t="shared" si="17"/>
        <v>0</v>
      </c>
      <c r="AI20">
        <v>18</v>
      </c>
      <c r="AJ20">
        <v>8</v>
      </c>
      <c r="AK20" s="84">
        <f>(AJ20*'Dane dla CO'!$T$53+'Dane dla CO'!$V$53)/(AJ20*'Dane dla CO'!$P$35+'Dane dla CO'!$Q$35)</f>
        <v>5.0575810185185182</v>
      </c>
      <c r="AL20" s="84">
        <f>AJ20*'Dane dla CO'!$N$96+'Dane dla CO'!$N$97</f>
        <v>57.600000000000009</v>
      </c>
      <c r="AM20" s="84">
        <f>IF(AJ20&lt;'Dane dla CO'!$R$67,0,IF(AK20&gt;1,AL20,AK20*AL20))</f>
        <v>57.600000000000009</v>
      </c>
      <c r="AN20" s="84">
        <f t="shared" si="18"/>
        <v>0</v>
      </c>
      <c r="AO20" s="84">
        <f>(AJ20*'Dane dla CWU'!$T$53+'Dane dla CWU'!$V$53)/(AJ20*'Dane dla CO'!$P$35+'Dane dla CO'!$Q$35)</f>
        <v>5.1174768518518521</v>
      </c>
      <c r="AP20" s="84">
        <f t="shared" si="19"/>
        <v>10.319026666666666</v>
      </c>
      <c r="AQ20" s="84">
        <f>IF(AJ20&lt;'Dane dla CWU'!$R$67,0,IF(AO20&gt;1,AP20,AO20*AP20))</f>
        <v>10.319026666666666</v>
      </c>
      <c r="AR20" s="84">
        <f t="shared" si="20"/>
        <v>0</v>
      </c>
      <c r="AT20">
        <v>18</v>
      </c>
      <c r="AU20">
        <v>10</v>
      </c>
      <c r="BA20">
        <v>18</v>
      </c>
      <c r="BB20">
        <v>24</v>
      </c>
      <c r="BH20">
        <v>18</v>
      </c>
      <c r="BI20">
        <v>18</v>
      </c>
      <c r="BO20">
        <v>18</v>
      </c>
      <c r="BP20">
        <v>20</v>
      </c>
      <c r="BV20">
        <v>18</v>
      </c>
      <c r="BX20" s="84"/>
      <c r="BY20" s="84"/>
      <c r="BZ20" s="84"/>
      <c r="CA20" s="84"/>
      <c r="CB20" s="84"/>
      <c r="CC20" s="84">
        <f t="shared" si="55"/>
        <v>10.319026666666666</v>
      </c>
      <c r="CD20" s="84">
        <f>IF(BW20&lt;'Dane dla CWU'!$R$67,0,IF(CB20&gt;1,CC20,CB20*CC20))</f>
        <v>0</v>
      </c>
      <c r="CE20" s="84">
        <f t="shared" si="56"/>
        <v>10.319026666666666</v>
      </c>
      <c r="CG20">
        <v>18</v>
      </c>
      <c r="CH20">
        <v>9</v>
      </c>
      <c r="CI20" s="84">
        <f>(CH20*'Dane dla CO'!$T$53+'Dane dla CO'!$V$53)/(CH20*'Dane dla CO'!$P$35+'Dane dla CO'!$Q$35)</f>
        <v>5.9926697530864192</v>
      </c>
      <c r="CJ20" s="84">
        <f>CH20*'Dane dla CO'!$N$96+'Dane dla CO'!$N$97</f>
        <v>50.400000000000006</v>
      </c>
      <c r="CK20" s="84">
        <f>IF(CH20&lt;'Dane dla CO'!$R$67,0,IF(CI20&gt;1,CJ20,CI20*CJ20))</f>
        <v>50.400000000000006</v>
      </c>
      <c r="CL20" s="84">
        <f t="shared" si="24"/>
        <v>0</v>
      </c>
      <c r="CM20" s="84">
        <f>(CH20*'Dane dla CWU'!$T$53+'Dane dla CWU'!$V$53)/(CH20*'Dane dla CO'!$P$35+'Dane dla CO'!$Q$35)</f>
        <v>6.0817901234567913</v>
      </c>
      <c r="CN20" s="84">
        <f t="shared" si="1"/>
        <v>10.319026666666666</v>
      </c>
      <c r="CO20" s="84">
        <f>IF(CH20&lt;'Dane dla CWU'!$R$67,0,IF(CM20&gt;1,CN20,CM20*CN20))</f>
        <v>10.319026666666666</v>
      </c>
      <c r="CP20" s="84">
        <f t="shared" si="25"/>
        <v>0</v>
      </c>
      <c r="CR20">
        <v>18</v>
      </c>
      <c r="CS20">
        <v>2</v>
      </c>
      <c r="CT20" s="84">
        <f>(CS20*'Dane dla CO'!$T$53+'Dane dla CO'!$V$53)/(CS20*'Dane dla CO'!$P$35+'Dane dla CO'!$Q$35)</f>
        <v>2.4681045227920229</v>
      </c>
      <c r="CU20" s="84">
        <f>CS20*'Dane dla CO'!$N$96+'Dane dla CO'!$N$97</f>
        <v>100.80000000000001</v>
      </c>
      <c r="CV20" s="84">
        <f>IF(CS20&lt;'Dane dla CO'!$R$67,0,IF(CT20&gt;1,CU20,CT20*CU20))</f>
        <v>100.80000000000001</v>
      </c>
      <c r="CW20" s="84">
        <f t="shared" si="26"/>
        <v>0</v>
      </c>
      <c r="CX20" s="84">
        <f>(CS20*'Dane dla CWU'!$T$53+'Dane dla CWU'!$V$53)/(CS20*'Dane dla CO'!$P$35+'Dane dla CO'!$Q$35)</f>
        <v>2.4470708689458691</v>
      </c>
      <c r="CY20" s="84">
        <f t="shared" si="4"/>
        <v>10.319026666666666</v>
      </c>
      <c r="CZ20" s="84">
        <f>IF(CS20&lt;'Dane dla CWU'!$R$67,0,IF(CX20&gt;1,CY20,CX20*CY20))</f>
        <v>0</v>
      </c>
      <c r="DA20" s="84">
        <f t="shared" si="27"/>
        <v>10.319026666666666</v>
      </c>
      <c r="DC20">
        <v>18</v>
      </c>
      <c r="DD20">
        <v>0</v>
      </c>
      <c r="DE20" s="84">
        <f>(DD20*'Dane dla CO'!$T$53+'Dane dla CO'!$V$53)/(DD20*'Dane dla CO'!$P$35+'Dane dla CO'!$Q$35)</f>
        <v>2.0652970679012341</v>
      </c>
      <c r="DF20" s="84">
        <f>DD20*'Dane dla CO'!$N$96+'Dane dla CO'!$N$97</f>
        <v>115.20000000000002</v>
      </c>
      <c r="DG20" s="84">
        <f>IF(DD20&lt;'Dane dla CO'!$R$67,0,IF(DE20&gt;1,DF20,DE20*DF20))</f>
        <v>115.20000000000002</v>
      </c>
      <c r="DH20" s="84">
        <f t="shared" si="28"/>
        <v>0</v>
      </c>
      <c r="DI20" s="84">
        <f>(DD20*'Dane dla CWU'!$T$53+'Dane dla CWU'!$V$53)/(DD20*'Dane dla CO'!$P$35+'Dane dla CO'!$Q$35)</f>
        <v>2.0316743827160493</v>
      </c>
      <c r="DJ20" s="84">
        <f t="shared" si="7"/>
        <v>10.319026666666666</v>
      </c>
      <c r="DK20" s="84">
        <f>IF(DD20&lt;'Dane dla CWU'!$R$67,0,IF(DI20&gt;1,DJ20,DI20*DJ20))</f>
        <v>0</v>
      </c>
      <c r="DL20" s="84">
        <f t="shared" si="29"/>
        <v>10.319026666666666</v>
      </c>
      <c r="DM20" s="49">
        <v>-9</v>
      </c>
      <c r="DN20" s="94">
        <f>DO20*'Dane dla CO'!$N$80</f>
        <v>705.30612244897964</v>
      </c>
      <c r="DO20" s="94">
        <f>(15-DS20)/35*'Dane dla CO'!$N$75</f>
        <v>6.1714285714285717</v>
      </c>
      <c r="DP20" s="94">
        <f t="shared" si="37"/>
        <v>235.10204081632654</v>
      </c>
      <c r="DQ20" s="51">
        <v>-9</v>
      </c>
      <c r="DR20" s="115">
        <v>3</v>
      </c>
      <c r="DS20" s="115">
        <v>-5</v>
      </c>
      <c r="DT20" s="89">
        <f>Wykresy!Y18</f>
        <v>46</v>
      </c>
      <c r="DU20" s="90">
        <f>Wykresy!AE18</f>
        <v>29.5</v>
      </c>
      <c r="DV20" s="92">
        <f>(($DV$27-$DV$18)/9)*2+$DV$18</f>
        <v>8.0283333333333342</v>
      </c>
      <c r="DW20" s="92">
        <f>(($DW$27-$DW$18)/9)*2+$DW$18</f>
        <v>3.4983333333333331</v>
      </c>
      <c r="DX20" s="92">
        <f t="shared" si="44"/>
        <v>2.2949023344449744</v>
      </c>
      <c r="DY20" s="86">
        <f>(($DY$27-$DY$18)/9)*2+$DY$18</f>
        <v>9.5555555555555554</v>
      </c>
      <c r="DZ20" s="86">
        <f>(($DZ$27-$DZ$18)/9)*2+$DZ$18</f>
        <v>2.8555555555555556</v>
      </c>
      <c r="EA20" s="96">
        <f t="shared" si="45"/>
        <v>3.3463035019455249</v>
      </c>
      <c r="EB20" s="85">
        <f t="shared" si="49"/>
        <v>3</v>
      </c>
      <c r="EC20" s="85">
        <f t="shared" si="43"/>
        <v>3.0598697792599657E-2</v>
      </c>
      <c r="ED20" s="85">
        <f>(SUM(EC20:$EC$40))*$DT$42/(SUM(EB20:$EB$40))</f>
        <v>3.8883485240084874</v>
      </c>
      <c r="EE20" s="86">
        <f t="shared" si="50"/>
        <v>3</v>
      </c>
      <c r="EF20" s="86">
        <f t="shared" si="46"/>
        <v>4.4617380025940338E-2</v>
      </c>
      <c r="EG20" s="86">
        <f>(SUM(EF20:$EF$40))*$DT$42/(SUM(EE20:$EE$40))</f>
        <v>4.977134641030597</v>
      </c>
      <c r="EI20" s="115">
        <v>3</v>
      </c>
      <c r="EJ20" s="115">
        <f t="shared" si="40"/>
        <v>25</v>
      </c>
      <c r="EK20" s="115">
        <v>-5</v>
      </c>
      <c r="EL20" s="89">
        <v>55</v>
      </c>
      <c r="EM20" s="92">
        <f t="shared" ref="EM20:EM26" si="57">EM19+$ES$18</f>
        <v>7.5644444444444447</v>
      </c>
      <c r="EN20" s="92">
        <f t="shared" ref="EN20:EN26" si="58">EN19+$ET$18</f>
        <v>3.7555555555555555</v>
      </c>
      <c r="EO20" s="92">
        <f t="shared" si="47"/>
        <v>2.0142011834319526</v>
      </c>
      <c r="EP20" s="85">
        <f t="shared" si="53"/>
        <v>3</v>
      </c>
      <c r="EQ20" s="85">
        <f t="shared" si="48"/>
        <v>2.6856015779092704E-2</v>
      </c>
      <c r="ER20" s="85">
        <f>(SUM(EQ20:$EQ$53))*$EL$54/(SUM(EP20:$EP$53))</f>
        <v>4.572106749371839</v>
      </c>
    </row>
    <row r="21" spans="1:165">
      <c r="A21" s="162"/>
      <c r="B21">
        <v>19</v>
      </c>
      <c r="C21">
        <v>2</v>
      </c>
      <c r="D21" s="84">
        <f>(C21*'Dane dla CO'!$T$53+'Dane dla CO'!$V$53)/(C21*'Dane dla CO'!$P$35+'Dane dla CO'!$Q$35)</f>
        <v>2.4681045227920229</v>
      </c>
      <c r="E21" s="84">
        <f>C21*'Dane dla CO'!$N$96+'Dane dla CO'!$N$97</f>
        <v>100.80000000000001</v>
      </c>
      <c r="F21" s="84">
        <f>IF(C21&lt;'Dane dla CO'!$R$67,0,IF(D21&gt;1,E21,D21*E21))</f>
        <v>100.80000000000001</v>
      </c>
      <c r="G21" s="84">
        <f t="shared" si="9"/>
        <v>0</v>
      </c>
      <c r="H21" s="84">
        <f>(C21*'Dane dla CWU'!$AB$53+'Dane dla CWU'!$AD$53)/(C21*'Dane dla CO'!$P$35+'Dane dla CO'!$Q$35)</f>
        <v>1.2713675213675213</v>
      </c>
      <c r="I21" s="84">
        <f t="shared" si="10"/>
        <v>10.319026666666666</v>
      </c>
      <c r="J21" s="84">
        <f>IF(C21&lt;'Dane dla CWU'!$R$67,0,IF(H21&gt;1,I21,H21*I21))</f>
        <v>0</v>
      </c>
      <c r="K21" s="84">
        <f t="shared" si="11"/>
        <v>10.319026666666666</v>
      </c>
      <c r="M21">
        <v>19</v>
      </c>
      <c r="N21">
        <v>4</v>
      </c>
      <c r="O21" s="84">
        <f>(N21*'Dane dla CO'!$T$53+'Dane dla CO'!$V$53)/(N21*'Dane dla CO'!$P$35+'Dane dla CO'!$Q$35)</f>
        <v>3.0173874158249157</v>
      </c>
      <c r="P21" s="84">
        <f>N21*'Dane dla CO'!$N$96+'Dane dla CO'!$N$97</f>
        <v>86.4</v>
      </c>
      <c r="Q21" s="84">
        <f>IF(N21&lt;'Dane dla CO'!$R$67,0,IF(O21&gt;1,P21,O21*P21))</f>
        <v>86.4</v>
      </c>
      <c r="R21" s="84">
        <f t="shared" si="12"/>
        <v>0</v>
      </c>
      <c r="S21" s="84">
        <f>(N21*'Dane dla CWU'!$T$53+'Dane dla CWU'!$V$53)/(N21*'Dane dla CO'!$P$35+'Dane dla CO'!$Q$35)</f>
        <v>3.0135206228956233</v>
      </c>
      <c r="T21" s="84">
        <f t="shared" si="13"/>
        <v>10.319026666666666</v>
      </c>
      <c r="U21" s="84">
        <f>IF(N21&lt;'Dane dla CWU'!$R$67,0,IF(S21&gt;1,T21,S21*T21))</f>
        <v>10.319026666666666</v>
      </c>
      <c r="V21" s="84">
        <f t="shared" si="14"/>
        <v>0</v>
      </c>
      <c r="X21">
        <v>19</v>
      </c>
      <c r="Y21">
        <v>7</v>
      </c>
      <c r="Z21" s="84">
        <f>(Y21*'Dane dla CO'!$T$53+'Dane dla CO'!$V$53)/(Y21*'Dane dla CO'!$P$35+'Dane dla CO'!$Q$35)</f>
        <v>4.3562644675925926</v>
      </c>
      <c r="AA21" s="84">
        <f>Y21*'Dane dla CO'!$N$96+'Dane dla CO'!$N$97</f>
        <v>64.800000000000011</v>
      </c>
      <c r="AB21" s="84">
        <f>IF(Y21&lt;'Dane dla CO'!$R$67,0,IF(Z21&gt;1,AA21,Z21*AA21))</f>
        <v>64.800000000000011</v>
      </c>
      <c r="AC21" s="84">
        <f t="shared" si="15"/>
        <v>0</v>
      </c>
      <c r="AD21" s="84">
        <f>(Y21*'Dane dla CWU'!$T$53+'Dane dla CWU'!$V$53)/(Y21*'Dane dla CO'!$P$35+'Dane dla CO'!$Q$35)</f>
        <v>4.3942418981481479</v>
      </c>
      <c r="AE21" s="84">
        <f t="shared" si="16"/>
        <v>10.319026666666666</v>
      </c>
      <c r="AF21" s="84">
        <f>IF(Y21&lt;'Dane dla CWU'!$R$67,0,IF(AD21&gt;1,AE21,AD21*AE21))</f>
        <v>10.319026666666666</v>
      </c>
      <c r="AG21" s="84">
        <f t="shared" si="17"/>
        <v>0</v>
      </c>
      <c r="AI21">
        <v>19</v>
      </c>
      <c r="AJ21">
        <v>10</v>
      </c>
      <c r="AK21" s="84">
        <f>(AJ21*'Dane dla CO'!$T$53+'Dane dla CO'!$V$53)/(AJ21*'Dane dla CO'!$P$35+'Dane dla CO'!$Q$35)</f>
        <v>7.3017939814814818</v>
      </c>
      <c r="AL21" s="84">
        <f>AJ21*'Dane dla CO'!$N$96+'Dane dla CO'!$N$97</f>
        <v>43.2</v>
      </c>
      <c r="AM21" s="84">
        <f>IF(AJ21&lt;'Dane dla CO'!$R$67,0,IF(AK21&gt;1,AL21,AK21*AL21))</f>
        <v>43.2</v>
      </c>
      <c r="AN21" s="84">
        <f t="shared" si="18"/>
        <v>0</v>
      </c>
      <c r="AO21" s="84">
        <f>(AJ21*'Dane dla CWU'!$T$53+'Dane dla CWU'!$V$53)/(AJ21*'Dane dla CO'!$P$35+'Dane dla CO'!$Q$35)</f>
        <v>7.4318287037037045</v>
      </c>
      <c r="AP21" s="84">
        <f t="shared" si="19"/>
        <v>10.319026666666666</v>
      </c>
      <c r="AQ21" s="84">
        <f>IF(AJ21&lt;'Dane dla CWU'!$R$67,0,IF(AO21&gt;1,AP21,AO21*AP21))</f>
        <v>10.319026666666666</v>
      </c>
      <c r="AR21" s="84">
        <f t="shared" si="20"/>
        <v>0</v>
      </c>
      <c r="AT21">
        <v>19</v>
      </c>
      <c r="AU21">
        <v>14</v>
      </c>
      <c r="BA21">
        <v>19</v>
      </c>
      <c r="BB21">
        <v>25</v>
      </c>
      <c r="BH21">
        <v>19</v>
      </c>
      <c r="BI21">
        <v>21</v>
      </c>
      <c r="BO21">
        <v>19</v>
      </c>
      <c r="BP21">
        <v>20</v>
      </c>
      <c r="BV21">
        <v>19</v>
      </c>
      <c r="BW21">
        <v>14</v>
      </c>
      <c r="BX21" s="84">
        <f>(BW21*'Dane dla CO'!$T$53+'Dane dla CO'!$V$53)/(BW21*'Dane dla CO'!$P$35+'Dane dla CO'!$Q$35)</f>
        <v>38.720775462962941</v>
      </c>
      <c r="BY21" s="84">
        <f>BW21*'Dane dla CO'!$N$96+'Dane dla CO'!$N$97</f>
        <v>14.400000000000006</v>
      </c>
      <c r="BZ21" s="84">
        <f>IF(BW21&lt;'Dane dla CO'!$R$67,0,IF(BX21&gt;1,BY21,BX21*BY21))</f>
        <v>14.400000000000006</v>
      </c>
      <c r="CA21" s="84">
        <f t="shared" si="54"/>
        <v>0</v>
      </c>
      <c r="CB21" s="84">
        <f>(BW21*'Dane dla CWU'!$T$53+'Dane dla CWU'!$V$53)/(BW21*'Dane dla CO'!$P$35+'Dane dla CO'!$Q$35)</f>
        <v>39.832754629629619</v>
      </c>
      <c r="CC21" s="84">
        <f t="shared" si="55"/>
        <v>10.319026666666666</v>
      </c>
      <c r="CD21" s="84">
        <f>IF(BW21&lt;'Dane dla CWU'!$R$67,0,IF(CB21&gt;1,CC21,CB21*CC21))</f>
        <v>10.319026666666666</v>
      </c>
      <c r="CE21" s="84">
        <f t="shared" si="56"/>
        <v>0</v>
      </c>
      <c r="CG21">
        <v>19</v>
      </c>
      <c r="CH21">
        <v>9</v>
      </c>
      <c r="CI21" s="84">
        <f>(CH21*'Dane dla CO'!$T$53+'Dane dla CO'!$V$53)/(CH21*'Dane dla CO'!$P$35+'Dane dla CO'!$Q$35)</f>
        <v>5.9926697530864192</v>
      </c>
      <c r="CJ21" s="84">
        <f>CH21*'Dane dla CO'!$N$96+'Dane dla CO'!$N$97</f>
        <v>50.400000000000006</v>
      </c>
      <c r="CK21" s="84">
        <f>IF(CH21&lt;'Dane dla CO'!$R$67,0,IF(CI21&gt;1,CJ21,CI21*CJ21))</f>
        <v>50.400000000000006</v>
      </c>
      <c r="CL21" s="84">
        <f t="shared" si="24"/>
        <v>0</v>
      </c>
      <c r="CM21" s="84">
        <f>(CH21*'Dane dla CWU'!$T$53+'Dane dla CWU'!$V$53)/(CH21*'Dane dla CO'!$P$35+'Dane dla CO'!$Q$35)</f>
        <v>6.0817901234567913</v>
      </c>
      <c r="CN21" s="84">
        <f t="shared" si="1"/>
        <v>10.319026666666666</v>
      </c>
      <c r="CO21" s="84">
        <f>IF(CH21&lt;'Dane dla CWU'!$R$67,0,IF(CM21&gt;1,CN21,CM21*CN21))</f>
        <v>10.319026666666666</v>
      </c>
      <c r="CP21" s="84">
        <f t="shared" si="25"/>
        <v>0</v>
      </c>
      <c r="CR21">
        <v>19</v>
      </c>
      <c r="CS21">
        <v>5</v>
      </c>
      <c r="CT21" s="84">
        <f>(CS21*'Dane dla CO'!$T$53+'Dane dla CO'!$V$53)/(CS21*'Dane dla CO'!$P$35+'Dane dla CO'!$Q$35)</f>
        <v>3.3744212962962958</v>
      </c>
      <c r="CU21" s="84">
        <f>CS21*'Dane dla CO'!$N$96+'Dane dla CO'!$N$97</f>
        <v>79.200000000000017</v>
      </c>
      <c r="CV21" s="84">
        <f>IF(CS21&lt;'Dane dla CO'!$R$67,0,IF(CT21&gt;1,CU21,CT21*CU21))</f>
        <v>79.200000000000017</v>
      </c>
      <c r="CW21" s="84">
        <f t="shared" si="26"/>
        <v>0</v>
      </c>
      <c r="CX21" s="84">
        <f>(CS21*'Dane dla CWU'!$T$53+'Dane dla CWU'!$V$53)/(CS21*'Dane dla CO'!$P$35+'Dane dla CO'!$Q$35)</f>
        <v>3.381712962962963</v>
      </c>
      <c r="CY21" s="84">
        <f t="shared" si="4"/>
        <v>10.319026666666666</v>
      </c>
      <c r="CZ21" s="84">
        <f>IF(CS21&lt;'Dane dla CWU'!$R$67,0,IF(CX21&gt;1,CY21,CX21*CY21))</f>
        <v>10.319026666666666</v>
      </c>
      <c r="DA21" s="84">
        <f t="shared" si="27"/>
        <v>0</v>
      </c>
      <c r="DC21">
        <v>19</v>
      </c>
      <c r="DD21">
        <v>-1</v>
      </c>
      <c r="DE21" s="84">
        <f>(DD21*'Dane dla CO'!$T$53+'Dane dla CO'!$V$53)/(DD21*'Dane dla CO'!$P$35+'Dane dla CO'!$Q$35)</f>
        <v>1.9016565393518516</v>
      </c>
      <c r="DF21" s="84">
        <f>DD21*'Dane dla CO'!$N$96+'Dane dla CO'!$N$97</f>
        <v>122.40000000000002</v>
      </c>
      <c r="DG21" s="84">
        <f>IF(DD21&lt;'Dane dla CO'!$R$67,0,IF(DE21&gt;1,DF21,DE21*DF21))</f>
        <v>122.40000000000002</v>
      </c>
      <c r="DH21" s="84">
        <f t="shared" si="28"/>
        <v>0</v>
      </c>
      <c r="DI21" s="84">
        <f>(DD21*'Dane dla CWU'!$T$53+'Dane dla CWU'!$V$53)/(DD21*'Dane dla CO'!$P$35+'Dane dla CO'!$Q$35)</f>
        <v>1.8629195601851849</v>
      </c>
      <c r="DJ21" s="84">
        <f t="shared" si="7"/>
        <v>10.319026666666666</v>
      </c>
      <c r="DK21" s="84">
        <f>IF(DD21&lt;'Dane dla CWU'!$R$67,0,IF(DI21&gt;1,DJ21,DI21*DJ21))</f>
        <v>0</v>
      </c>
      <c r="DL21" s="84">
        <f t="shared" si="29"/>
        <v>10.319026666666666</v>
      </c>
      <c r="DM21" s="49">
        <v>-7</v>
      </c>
      <c r="DN21" s="94">
        <f>DO21*'Dane dla CO'!$N$80</f>
        <v>670.04081632653072</v>
      </c>
      <c r="DO21" s="94">
        <f>(15-DS21)/35*'Dane dla CO'!$N$75</f>
        <v>5.862857142857143</v>
      </c>
      <c r="DP21" s="94">
        <f t="shared" si="37"/>
        <v>223.34693877551024</v>
      </c>
      <c r="DQ21" s="51">
        <v>-7</v>
      </c>
      <c r="DR21" s="115">
        <v>3</v>
      </c>
      <c r="DS21" s="115">
        <v>-4</v>
      </c>
      <c r="DT21" s="89">
        <f>Wykresy!Y19</f>
        <v>45.4</v>
      </c>
      <c r="DU21" s="90">
        <f>Wykresy!AE19</f>
        <v>29.133333333333333</v>
      </c>
      <c r="DV21" s="92">
        <f>(($DV$27-$DV$18)/9)*3+$DV$18</f>
        <v>7.86</v>
      </c>
      <c r="DW21" s="92">
        <f>(($DW$27-$DW$18)/9)*3+$DW$18</f>
        <v>3.35</v>
      </c>
      <c r="DX21" s="92">
        <f t="shared" si="44"/>
        <v>2.3462686567164179</v>
      </c>
      <c r="DY21" s="86">
        <f>(($DY$27-$DY$18)/9)*3+$DY$18</f>
        <v>9.3333333333333339</v>
      </c>
      <c r="DZ21" s="86">
        <f>(($DZ$27-$DZ$18)/9)*3+$DZ$18</f>
        <v>2.7333333333333334</v>
      </c>
      <c r="EA21" s="96">
        <f t="shared" si="45"/>
        <v>3.4146341463414633</v>
      </c>
      <c r="EB21" s="85">
        <f t="shared" si="49"/>
        <v>3</v>
      </c>
      <c r="EC21" s="85">
        <f t="shared" si="43"/>
        <v>3.1283582089552238E-2</v>
      </c>
      <c r="ED21" s="85">
        <f>(SUM(EC21:$EC$40))*$DT$42/(SUM(EB21:$EB$40))</f>
        <v>3.9122502168519402</v>
      </c>
      <c r="EE21" s="86">
        <f t="shared" si="50"/>
        <v>3</v>
      </c>
      <c r="EF21" s="86">
        <f t="shared" si="46"/>
        <v>4.5528455284552849E-2</v>
      </c>
      <c r="EG21" s="86">
        <f>(SUM(EF21:$EF$40))*$DT$42/(SUM(EE21:$EE$40))</f>
        <v>5.0015971081168722</v>
      </c>
      <c r="EI21" s="115">
        <v>3</v>
      </c>
      <c r="EJ21" s="115">
        <f t="shared" si="40"/>
        <v>28</v>
      </c>
      <c r="EK21" s="115">
        <v>-4</v>
      </c>
      <c r="EL21" s="89">
        <v>55</v>
      </c>
      <c r="EM21" s="92">
        <f t="shared" si="57"/>
        <v>7.3666666666666671</v>
      </c>
      <c r="EN21" s="92">
        <f t="shared" si="58"/>
        <v>3.6333333333333333</v>
      </c>
      <c r="EO21" s="92">
        <f t="shared" si="47"/>
        <v>2.0275229357798166</v>
      </c>
      <c r="EP21" s="85">
        <f t="shared" si="53"/>
        <v>3</v>
      </c>
      <c r="EQ21" s="85">
        <f t="shared" si="48"/>
        <v>2.7033639143730887E-2</v>
      </c>
      <c r="ER21" s="85">
        <f>(SUM(EQ21:$EQ$53))*$EL$54/(SUM(EP21:$EP$53))</f>
        <v>4.583505630524237</v>
      </c>
    </row>
    <row r="22" spans="1:165">
      <c r="A22" s="162"/>
      <c r="B22">
        <v>20</v>
      </c>
      <c r="C22">
        <v>3</v>
      </c>
      <c r="D22" s="84">
        <f>(C22*'Dane dla CO'!$T$53+'Dane dla CO'!$V$53)/(C22*'Dane dla CO'!$P$35+'Dane dla CO'!$Q$35)</f>
        <v>2.719859182098765</v>
      </c>
      <c r="E22" s="84">
        <f>C22*'Dane dla CO'!$N$96+'Dane dla CO'!$N$97</f>
        <v>93.600000000000023</v>
      </c>
      <c r="F22" s="84">
        <f>IF(C22&lt;'Dane dla CO'!$R$67,0,IF(D22&gt;1,E22,D22*E22))</f>
        <v>93.600000000000023</v>
      </c>
      <c r="G22" s="84">
        <f t="shared" si="9"/>
        <v>0</v>
      </c>
      <c r="H22" s="84">
        <f>(C22*'Dane dla CWU'!$AB$53+'Dane dla CWU'!$AD$53)/(C22*'Dane dla CO'!$P$35+'Dane dla CO'!$Q$35)</f>
        <v>1.4163237311385457</v>
      </c>
      <c r="I22" s="84">
        <f t="shared" si="10"/>
        <v>10.319026666666666</v>
      </c>
      <c r="J22" s="84">
        <f>IF(C22&lt;'Dane dla CWU'!$R$67,0,IF(H22&gt;1,I22,H22*I22))</f>
        <v>10.319026666666666</v>
      </c>
      <c r="K22" s="84">
        <f t="shared" si="11"/>
        <v>0</v>
      </c>
      <c r="M22">
        <v>20</v>
      </c>
      <c r="N22">
        <v>3</v>
      </c>
      <c r="O22" s="84">
        <f>(N22*'Dane dla CO'!$T$53+'Dane dla CO'!$V$53)/(N22*'Dane dla CO'!$P$35+'Dane dla CO'!$Q$35)</f>
        <v>2.719859182098765</v>
      </c>
      <c r="P22" s="84">
        <f>N22*'Dane dla CO'!$N$96+'Dane dla CO'!$N$97</f>
        <v>93.600000000000023</v>
      </c>
      <c r="Q22" s="84">
        <f>IF(N22&lt;'Dane dla CO'!$R$67,0,IF(O22&gt;1,P22,O22*P22))</f>
        <v>93.600000000000023</v>
      </c>
      <c r="R22" s="84">
        <f t="shared" si="12"/>
        <v>0</v>
      </c>
      <c r="S22" s="84">
        <f>(N22*'Dane dla CWU'!$T$53+'Dane dla CWU'!$V$53)/(N22*'Dane dla CO'!$P$35+'Dane dla CO'!$Q$35)</f>
        <v>2.7066936728395059</v>
      </c>
      <c r="T22" s="84">
        <f t="shared" si="13"/>
        <v>10.319026666666666</v>
      </c>
      <c r="U22" s="84">
        <f>IF(N22&lt;'Dane dla CWU'!$R$67,0,IF(S22&gt;1,T22,S22*T22))</f>
        <v>10.319026666666666</v>
      </c>
      <c r="V22" s="84">
        <f t="shared" si="14"/>
        <v>0</v>
      </c>
      <c r="X22">
        <v>20</v>
      </c>
      <c r="Y22">
        <v>7</v>
      </c>
      <c r="Z22" s="84">
        <f>(Y22*'Dane dla CO'!$T$53+'Dane dla CO'!$V$53)/(Y22*'Dane dla CO'!$P$35+'Dane dla CO'!$Q$35)</f>
        <v>4.3562644675925926</v>
      </c>
      <c r="AA22" s="84">
        <f>Y22*'Dane dla CO'!$N$96+'Dane dla CO'!$N$97</f>
        <v>64.800000000000011</v>
      </c>
      <c r="AB22" s="84">
        <f>IF(Y22&lt;'Dane dla CO'!$R$67,0,IF(Z22&gt;1,AA22,Z22*AA22))</f>
        <v>64.800000000000011</v>
      </c>
      <c r="AC22" s="84">
        <f t="shared" si="15"/>
        <v>0</v>
      </c>
      <c r="AD22" s="84">
        <f>(Y22*'Dane dla CWU'!$T$53+'Dane dla CWU'!$V$53)/(Y22*'Dane dla CO'!$P$35+'Dane dla CO'!$Q$35)</f>
        <v>4.3942418981481479</v>
      </c>
      <c r="AE22" s="84">
        <f t="shared" si="16"/>
        <v>10.319026666666666</v>
      </c>
      <c r="AF22" s="84">
        <f>IF(Y22&lt;'Dane dla CWU'!$R$67,0,IF(AD22&gt;1,AE22,AD22*AE22))</f>
        <v>10.319026666666666</v>
      </c>
      <c r="AG22" s="84">
        <f t="shared" si="17"/>
        <v>0</v>
      </c>
      <c r="AI22">
        <v>20</v>
      </c>
      <c r="AJ22">
        <v>14</v>
      </c>
      <c r="AK22" s="84">
        <f>(AJ22*'Dane dla CO'!$T$53+'Dane dla CO'!$V$53)/(AJ22*'Dane dla CO'!$P$35+'Dane dla CO'!$Q$35)</f>
        <v>38.720775462962941</v>
      </c>
      <c r="AL22" s="84">
        <f>AJ22*'Dane dla CO'!$N$96+'Dane dla CO'!$N$97</f>
        <v>14.400000000000006</v>
      </c>
      <c r="AM22" s="84">
        <f>IF(AJ22&lt;'Dane dla CO'!$R$67,0,IF(AK22&gt;1,AL22,AK22*AL22))</f>
        <v>14.400000000000006</v>
      </c>
      <c r="AN22" s="84">
        <f t="shared" si="18"/>
        <v>0</v>
      </c>
      <c r="AO22" s="84">
        <f>(AJ22*'Dane dla CWU'!$T$53+'Dane dla CWU'!$V$53)/(AJ22*'Dane dla CO'!$P$35+'Dane dla CO'!$Q$35)</f>
        <v>39.832754629629619</v>
      </c>
      <c r="AP22" s="84">
        <f t="shared" si="19"/>
        <v>10.319026666666666</v>
      </c>
      <c r="AQ22" s="84">
        <f>IF(AJ22&lt;'Dane dla CWU'!$R$67,0,IF(AO22&gt;1,AP22,AO22*AP22))</f>
        <v>10.319026666666666</v>
      </c>
      <c r="AR22" s="84">
        <f t="shared" si="20"/>
        <v>0</v>
      </c>
      <c r="AT22">
        <v>20</v>
      </c>
      <c r="AU22">
        <v>18</v>
      </c>
      <c r="BA22">
        <v>20</v>
      </c>
      <c r="BB22">
        <v>24</v>
      </c>
      <c r="BH22">
        <v>20</v>
      </c>
      <c r="BI22">
        <v>19</v>
      </c>
      <c r="BO22">
        <v>20</v>
      </c>
      <c r="BP22">
        <v>23</v>
      </c>
      <c r="BV22">
        <v>20</v>
      </c>
      <c r="BW22">
        <v>10</v>
      </c>
      <c r="BX22" s="84">
        <f>(BW22*'Dane dla CO'!$T$53+'Dane dla CO'!$V$53)/(BW22*'Dane dla CO'!$P$35+'Dane dla CO'!$Q$35)</f>
        <v>7.3017939814814818</v>
      </c>
      <c r="BY22" s="84">
        <f>BW22*'Dane dla CO'!$N$96+'Dane dla CO'!$N$97</f>
        <v>43.2</v>
      </c>
      <c r="BZ22" s="84">
        <f>IF(BW22&lt;'Dane dla CO'!$R$67,0,IF(BX22&gt;1,BY22,BX22*BY22))</f>
        <v>43.2</v>
      </c>
      <c r="CA22" s="84">
        <f t="shared" si="54"/>
        <v>0</v>
      </c>
      <c r="CB22" s="84">
        <f>(BW22*'Dane dla CWU'!$T$53+'Dane dla CWU'!$V$53)/(BW22*'Dane dla CO'!$P$35+'Dane dla CO'!$Q$35)</f>
        <v>7.4318287037037045</v>
      </c>
      <c r="CC22" s="84">
        <f t="shared" si="55"/>
        <v>10.319026666666666</v>
      </c>
      <c r="CD22" s="84">
        <f>IF(BW22&lt;'Dane dla CWU'!$R$67,0,IF(CB22&gt;1,CC22,CB22*CC22))</f>
        <v>10.319026666666666</v>
      </c>
      <c r="CE22" s="84">
        <f t="shared" si="56"/>
        <v>0</v>
      </c>
      <c r="CG22">
        <v>20</v>
      </c>
      <c r="CH22">
        <v>8</v>
      </c>
      <c r="CI22" s="84">
        <f>(CH22*'Dane dla CO'!$T$53+'Dane dla CO'!$V$53)/(CH22*'Dane dla CO'!$P$35+'Dane dla CO'!$Q$35)</f>
        <v>5.0575810185185182</v>
      </c>
      <c r="CJ22" s="84">
        <f>CH22*'Dane dla CO'!$N$96+'Dane dla CO'!$N$97</f>
        <v>57.600000000000009</v>
      </c>
      <c r="CK22" s="84">
        <f>IF(CH22&lt;'Dane dla CO'!$R$67,0,IF(CI22&gt;1,CJ22,CI22*CJ22))</f>
        <v>57.600000000000009</v>
      </c>
      <c r="CL22" s="84">
        <f t="shared" si="24"/>
        <v>0</v>
      </c>
      <c r="CM22" s="84">
        <f>(CH22*'Dane dla CWU'!$T$53+'Dane dla CWU'!$V$53)/(CH22*'Dane dla CO'!$P$35+'Dane dla CO'!$Q$35)</f>
        <v>5.1174768518518521</v>
      </c>
      <c r="CN22" s="84">
        <f t="shared" si="1"/>
        <v>10.319026666666666</v>
      </c>
      <c r="CO22" s="84">
        <f>IF(CH22&lt;'Dane dla CWU'!$R$67,0,IF(CM22&gt;1,CN22,CM22*CN22))</f>
        <v>10.319026666666666</v>
      </c>
      <c r="CP22" s="84">
        <f t="shared" si="25"/>
        <v>0</v>
      </c>
      <c r="CR22">
        <v>20</v>
      </c>
      <c r="CS22">
        <v>5</v>
      </c>
      <c r="CT22" s="84">
        <f>(CS22*'Dane dla CO'!$T$53+'Dane dla CO'!$V$53)/(CS22*'Dane dla CO'!$P$35+'Dane dla CO'!$Q$35)</f>
        <v>3.3744212962962958</v>
      </c>
      <c r="CU22" s="84">
        <f>CS22*'Dane dla CO'!$N$96+'Dane dla CO'!$N$97</f>
        <v>79.200000000000017</v>
      </c>
      <c r="CV22" s="84">
        <f>IF(CS22&lt;'Dane dla CO'!$R$67,0,IF(CT22&gt;1,CU22,CT22*CU22))</f>
        <v>79.200000000000017</v>
      </c>
      <c r="CW22" s="84">
        <f t="shared" si="26"/>
        <v>0</v>
      </c>
      <c r="CX22" s="84">
        <f>(CS22*'Dane dla CWU'!$T$53+'Dane dla CWU'!$V$53)/(CS22*'Dane dla CO'!$P$35+'Dane dla CO'!$Q$35)</f>
        <v>3.381712962962963</v>
      </c>
      <c r="CY22" s="84">
        <f t="shared" si="4"/>
        <v>10.319026666666666</v>
      </c>
      <c r="CZ22" s="84">
        <f>IF(CS22&lt;'Dane dla CWU'!$R$67,0,IF(CX22&gt;1,CY22,CX22*CY22))</f>
        <v>10.319026666666666</v>
      </c>
      <c r="DA22" s="84">
        <f t="shared" si="27"/>
        <v>0</v>
      </c>
      <c r="DC22">
        <v>20</v>
      </c>
      <c r="DD22">
        <v>-5</v>
      </c>
      <c r="DE22" s="84">
        <f>(DD22*'Dane dla CO'!$T$53+'Dane dla CO'!$V$53)/(DD22*'Dane dla CO'!$P$35+'Dane dla CO'!$Q$35)</f>
        <v>1.4107349537037033</v>
      </c>
      <c r="DF22" s="84">
        <f>DD22*'Dane dla CO'!$N$96+'Dane dla CO'!$N$97</f>
        <v>151.20000000000002</v>
      </c>
      <c r="DG22" s="84">
        <f>IF(DD22&lt;'Dane dla CO'!$R$67,0,IF(DE22&gt;1,DF22,DE22*DF22))</f>
        <v>151.20000000000002</v>
      </c>
      <c r="DH22" s="84">
        <f t="shared" si="28"/>
        <v>0</v>
      </c>
      <c r="DI22" s="84">
        <f>(DD22*'Dane dla CWU'!$T$53+'Dane dla CWU'!$V$53)/(DD22*'Dane dla CO'!$P$35+'Dane dla CO'!$Q$35)</f>
        <v>1.3566550925925924</v>
      </c>
      <c r="DJ22" s="84">
        <f t="shared" si="7"/>
        <v>10.319026666666666</v>
      </c>
      <c r="DK22" s="84">
        <f>IF(DD22&lt;'Dane dla CWU'!$R$67,0,IF(DI22&gt;1,DJ22,DI22*DJ22))</f>
        <v>0</v>
      </c>
      <c r="DL22" s="84">
        <f t="shared" si="29"/>
        <v>10.319026666666666</v>
      </c>
      <c r="DM22" s="49">
        <v>-6</v>
      </c>
      <c r="DN22" s="94">
        <f>DO22*'Dane dla CO'!$N$80</f>
        <v>634.77551020408168</v>
      </c>
      <c r="DO22" s="94">
        <f>(15-DS22)/35*'Dane dla CO'!$N$75</f>
        <v>5.5542857142857143</v>
      </c>
      <c r="DP22" s="94">
        <f t="shared" si="37"/>
        <v>158.69387755102042</v>
      </c>
      <c r="DQ22" s="51">
        <v>-6</v>
      </c>
      <c r="DR22" s="115">
        <v>4</v>
      </c>
      <c r="DS22" s="115">
        <v>-3</v>
      </c>
      <c r="DT22" s="89">
        <f>Wykresy!Y20</f>
        <v>44.8</v>
      </c>
      <c r="DU22" s="90">
        <f>Wykresy!AE20</f>
        <v>28.766666666666669</v>
      </c>
      <c r="DV22" s="92">
        <f>(($DV$27-$DV$18)/9)*4+$DV$18</f>
        <v>7.6916666666666664</v>
      </c>
      <c r="DW22" s="92">
        <f>(($DW$27-$DW$18)/9)*4+$DW$18</f>
        <v>3.2016666666666667</v>
      </c>
      <c r="DX22" s="92">
        <f t="shared" si="44"/>
        <v>2.4023945861530454</v>
      </c>
      <c r="DY22" s="86">
        <f>(($DY$27-$DY$18)/9)*4+$DY$18</f>
        <v>9.1111111111111107</v>
      </c>
      <c r="DZ22" s="86">
        <f>(($DZ$27-$DZ$18)/9)*4+$DZ$18</f>
        <v>2.6111111111111112</v>
      </c>
      <c r="EA22" s="96">
        <f t="shared" si="45"/>
        <v>3.4893617021276593</v>
      </c>
      <c r="EB22" s="85">
        <f t="shared" si="49"/>
        <v>4</v>
      </c>
      <c r="EC22" s="85">
        <f t="shared" si="43"/>
        <v>4.2709237087165251E-2</v>
      </c>
      <c r="ED22" s="85">
        <f>(SUM(EC22:$EC$40))*$DT$42/(SUM(EB22:$EB$40))</f>
        <v>3.9360976517778621</v>
      </c>
      <c r="EE22" s="86">
        <f t="shared" si="50"/>
        <v>4</v>
      </c>
      <c r="EF22" s="86">
        <f t="shared" si="46"/>
        <v>6.2033096926713945E-2</v>
      </c>
      <c r="EG22" s="86">
        <f>(SUM(EF22:$EF$40))*$DT$42/(SUM(EE22:$EE$40))</f>
        <v>5.025764056773351</v>
      </c>
      <c r="EI22" s="115">
        <v>4</v>
      </c>
      <c r="EJ22" s="115">
        <f t="shared" si="40"/>
        <v>32</v>
      </c>
      <c r="EK22" s="115">
        <v>-3</v>
      </c>
      <c r="EL22" s="89">
        <v>55</v>
      </c>
      <c r="EM22" s="92">
        <f t="shared" si="57"/>
        <v>7.1688888888888895</v>
      </c>
      <c r="EN22" s="92">
        <f t="shared" si="58"/>
        <v>3.5111111111111111</v>
      </c>
      <c r="EO22" s="92">
        <f t="shared" si="47"/>
        <v>2.0417721518987344</v>
      </c>
      <c r="EP22" s="85">
        <f t="shared" si="53"/>
        <v>4</v>
      </c>
      <c r="EQ22" s="85">
        <f t="shared" si="48"/>
        <v>3.6298171589310833E-2</v>
      </c>
      <c r="ER22" s="85">
        <f>(SUM(EQ22:$EQ$53))*$EL$54/(SUM(EP22:$EP$53))</f>
        <v>4.5949145209531332</v>
      </c>
    </row>
    <row r="23" spans="1:165">
      <c r="A23" s="162"/>
      <c r="B23">
        <v>21</v>
      </c>
      <c r="C23">
        <v>2</v>
      </c>
      <c r="D23" s="84">
        <f>(C23*'Dane dla CO'!$T$53+'Dane dla CO'!$V$53)/(C23*'Dane dla CO'!$P$35+'Dane dla CO'!$Q$35)</f>
        <v>2.4681045227920229</v>
      </c>
      <c r="E23" s="84">
        <f>C23*'Dane dla CO'!$N$96+'Dane dla CO'!$N$97</f>
        <v>100.80000000000001</v>
      </c>
      <c r="F23" s="84">
        <f>IF(C23&lt;'Dane dla CO'!$R$67,0,IF(D23&gt;1,E23,D23*E23))</f>
        <v>100.80000000000001</v>
      </c>
      <c r="G23" s="84">
        <f t="shared" si="9"/>
        <v>0</v>
      </c>
      <c r="H23" s="84">
        <f>(C23*'Dane dla CWU'!$AB$53+'Dane dla CWU'!$AD$53)/(C23*'Dane dla CO'!$P$35+'Dane dla CO'!$Q$35)</f>
        <v>1.2713675213675213</v>
      </c>
      <c r="I23" s="84">
        <f t="shared" si="10"/>
        <v>10.319026666666666</v>
      </c>
      <c r="J23" s="84">
        <f>IF(C23&lt;'Dane dla CWU'!$R$67,0,IF(H23&gt;1,I23,H23*I23))</f>
        <v>0</v>
      </c>
      <c r="K23" s="84">
        <f t="shared" si="11"/>
        <v>10.319026666666666</v>
      </c>
      <c r="M23">
        <v>21</v>
      </c>
      <c r="N23">
        <v>1</v>
      </c>
      <c r="O23" s="84">
        <f>(N23*'Dane dla CO'!$T$53+'Dane dla CO'!$V$53)/(N23*'Dane dla CO'!$P$35+'Dane dla CO'!$Q$35)</f>
        <v>2.2523148148148144</v>
      </c>
      <c r="P23" s="84">
        <f>N23*'Dane dla CO'!$N$96+'Dane dla CO'!$N$97</f>
        <v>108.00000000000001</v>
      </c>
      <c r="Q23" s="84">
        <f>IF(N23&lt;'Dane dla CO'!$R$67,0,IF(O23&gt;1,P23,O23*P23))</f>
        <v>108.00000000000001</v>
      </c>
      <c r="R23" s="84">
        <f t="shared" si="12"/>
        <v>0</v>
      </c>
      <c r="S23" s="84">
        <f>(N23*'Dane dla CWU'!$T$53+'Dane dla CWU'!$V$53)/(N23*'Dane dla CO'!$P$35+'Dane dla CO'!$Q$35)</f>
        <v>2.2245370370370372</v>
      </c>
      <c r="T23" s="84">
        <f t="shared" si="13"/>
        <v>10.319026666666666</v>
      </c>
      <c r="U23" s="84">
        <f>IF(N23&lt;'Dane dla CWU'!$R$67,0,IF(S23&gt;1,T23,S23*T23))</f>
        <v>0</v>
      </c>
      <c r="V23" s="84">
        <f t="shared" si="14"/>
        <v>10.319026666666666</v>
      </c>
      <c r="X23">
        <v>21</v>
      </c>
      <c r="Y23">
        <v>10</v>
      </c>
      <c r="Z23" s="84">
        <f>(Y23*'Dane dla CO'!$T$53+'Dane dla CO'!$V$53)/(Y23*'Dane dla CO'!$P$35+'Dane dla CO'!$Q$35)</f>
        <v>7.3017939814814818</v>
      </c>
      <c r="AA23" s="84">
        <f>Y23*'Dane dla CO'!$N$96+'Dane dla CO'!$N$97</f>
        <v>43.2</v>
      </c>
      <c r="AB23" s="84">
        <f>IF(Y23&lt;'Dane dla CO'!$R$67,0,IF(Z23&gt;1,AA23,Z23*AA23))</f>
        <v>43.2</v>
      </c>
      <c r="AC23" s="84">
        <f t="shared" si="15"/>
        <v>0</v>
      </c>
      <c r="AD23" s="84">
        <f>(Y23*'Dane dla CWU'!$T$53+'Dane dla CWU'!$V$53)/(Y23*'Dane dla CO'!$P$35+'Dane dla CO'!$Q$35)</f>
        <v>7.4318287037037045</v>
      </c>
      <c r="AE23" s="84">
        <f t="shared" si="16"/>
        <v>10.319026666666666</v>
      </c>
      <c r="AF23" s="84">
        <f>IF(Y23&lt;'Dane dla CWU'!$R$67,0,IF(AD23&gt;1,AE23,AD23*AE23))</f>
        <v>10.319026666666666</v>
      </c>
      <c r="AG23" s="84">
        <f t="shared" si="17"/>
        <v>0</v>
      </c>
      <c r="AI23">
        <v>21</v>
      </c>
      <c r="AJ23">
        <v>12</v>
      </c>
      <c r="AK23" s="84">
        <f>(AJ23*'Dane dla CO'!$T$53+'Dane dla CO'!$V$53)/(AJ23*'Dane dla CO'!$P$35+'Dane dla CO'!$Q$35)</f>
        <v>12.538290895061728</v>
      </c>
      <c r="AL23" s="84">
        <f>AJ23*'Dane dla CO'!$N$96+'Dane dla CO'!$N$97</f>
        <v>28.800000000000011</v>
      </c>
      <c r="AM23" s="84">
        <f>IF(AJ23&lt;'Dane dla CO'!$R$67,0,IF(AK23&gt;1,AL23,AK23*AL23))</f>
        <v>28.800000000000011</v>
      </c>
      <c r="AN23" s="84">
        <f t="shared" si="18"/>
        <v>0</v>
      </c>
      <c r="AO23" s="84">
        <f>(AJ23*'Dane dla CWU'!$T$53+'Dane dla CWU'!$V$53)/(AJ23*'Dane dla CO'!$P$35+'Dane dla CO'!$Q$35)</f>
        <v>12.831983024691358</v>
      </c>
      <c r="AP23" s="84">
        <f t="shared" si="19"/>
        <v>10.319026666666666</v>
      </c>
      <c r="AQ23" s="84">
        <f>IF(AJ23&lt;'Dane dla CWU'!$R$67,0,IF(AO23&gt;1,AP23,AO23*AP23))</f>
        <v>10.319026666666666</v>
      </c>
      <c r="AR23" s="84">
        <f t="shared" si="20"/>
        <v>0</v>
      </c>
      <c r="AT23">
        <v>21</v>
      </c>
      <c r="AU23">
        <v>20</v>
      </c>
      <c r="BA23">
        <v>21</v>
      </c>
      <c r="BB23">
        <v>23</v>
      </c>
      <c r="BH23">
        <v>21</v>
      </c>
      <c r="BI23">
        <v>16</v>
      </c>
      <c r="BO23">
        <v>21</v>
      </c>
      <c r="BP23">
        <v>23</v>
      </c>
      <c r="BV23">
        <v>21</v>
      </c>
      <c r="BW23">
        <v>8</v>
      </c>
      <c r="BX23" s="84">
        <f>(BW23*'Dane dla CO'!$T$53+'Dane dla CO'!$V$53)/(BW23*'Dane dla CO'!$P$35+'Dane dla CO'!$Q$35)</f>
        <v>5.0575810185185182</v>
      </c>
      <c r="BY23" s="84">
        <f>BW23*'Dane dla CO'!$N$96+'Dane dla CO'!$N$97</f>
        <v>57.600000000000009</v>
      </c>
      <c r="BZ23" s="84">
        <f>IF(BW23&lt;'Dane dla CO'!$R$67,0,IF(BX23&gt;1,BY23,BX23*BY23))</f>
        <v>57.600000000000009</v>
      </c>
      <c r="CA23" s="84">
        <f t="shared" si="54"/>
        <v>0</v>
      </c>
      <c r="CB23" s="84">
        <f>(BW23*'Dane dla CWU'!$T$53+'Dane dla CWU'!$V$53)/(BW23*'Dane dla CO'!$P$35+'Dane dla CO'!$Q$35)</f>
        <v>5.1174768518518521</v>
      </c>
      <c r="CC23" s="84">
        <f t="shared" si="55"/>
        <v>10.319026666666666</v>
      </c>
      <c r="CD23" s="84">
        <f>IF(BW23&lt;'Dane dla CWU'!$R$67,0,IF(CB23&gt;1,CC23,CB23*CC23))</f>
        <v>10.319026666666666</v>
      </c>
      <c r="CE23" s="84">
        <f t="shared" si="56"/>
        <v>0</v>
      </c>
      <c r="CG23">
        <v>21</v>
      </c>
      <c r="CH23">
        <v>8</v>
      </c>
      <c r="CI23" s="84">
        <f>(CH23*'Dane dla CO'!$T$53+'Dane dla CO'!$V$53)/(CH23*'Dane dla CO'!$P$35+'Dane dla CO'!$Q$35)</f>
        <v>5.0575810185185182</v>
      </c>
      <c r="CJ23" s="84">
        <f>CH23*'Dane dla CO'!$N$96+'Dane dla CO'!$N$97</f>
        <v>57.600000000000009</v>
      </c>
      <c r="CK23" s="84">
        <f>IF(CH23&lt;'Dane dla CO'!$R$67,0,IF(CI23&gt;1,CJ23,CI23*CJ23))</f>
        <v>57.600000000000009</v>
      </c>
      <c r="CL23" s="84">
        <f t="shared" si="24"/>
        <v>0</v>
      </c>
      <c r="CM23" s="84">
        <f>(CH23*'Dane dla CWU'!$T$53+'Dane dla CWU'!$V$53)/(CH23*'Dane dla CO'!$P$35+'Dane dla CO'!$Q$35)</f>
        <v>5.1174768518518521</v>
      </c>
      <c r="CN23" s="84">
        <f t="shared" si="1"/>
        <v>10.319026666666666</v>
      </c>
      <c r="CO23" s="84">
        <f>IF(CH23&lt;'Dane dla CWU'!$R$67,0,IF(CM23&gt;1,CN23,CM23*CN23))</f>
        <v>10.319026666666666</v>
      </c>
      <c r="CP23" s="84">
        <f t="shared" si="25"/>
        <v>0</v>
      </c>
      <c r="CR23">
        <v>21</v>
      </c>
      <c r="CS23">
        <v>4</v>
      </c>
      <c r="CT23" s="84">
        <f>(CS23*'Dane dla CO'!$T$53+'Dane dla CO'!$V$53)/(CS23*'Dane dla CO'!$P$35+'Dane dla CO'!$Q$35)</f>
        <v>3.0173874158249157</v>
      </c>
      <c r="CU23" s="84">
        <f>CS23*'Dane dla CO'!$N$96+'Dane dla CO'!$N$97</f>
        <v>86.4</v>
      </c>
      <c r="CV23" s="84">
        <f>IF(CS23&lt;'Dane dla CO'!$R$67,0,IF(CT23&gt;1,CU23,CT23*CU23))</f>
        <v>86.4</v>
      </c>
      <c r="CW23" s="84">
        <f t="shared" si="26"/>
        <v>0</v>
      </c>
      <c r="CX23" s="84">
        <f>(CS23*'Dane dla CWU'!$T$53+'Dane dla CWU'!$V$53)/(CS23*'Dane dla CO'!$P$35+'Dane dla CO'!$Q$35)</f>
        <v>3.0135206228956233</v>
      </c>
      <c r="CY23" s="84">
        <f t="shared" si="4"/>
        <v>10.319026666666666</v>
      </c>
      <c r="CZ23" s="84">
        <f>IF(CS23&lt;'Dane dla CWU'!$R$67,0,IF(CX23&gt;1,CY23,CX23*CY23))</f>
        <v>10.319026666666666</v>
      </c>
      <c r="DA23" s="84">
        <f t="shared" si="27"/>
        <v>0</v>
      </c>
      <c r="DC23">
        <v>21</v>
      </c>
      <c r="DD23">
        <v>-5</v>
      </c>
      <c r="DE23" s="84">
        <f>(DD23*'Dane dla CO'!$T$53+'Dane dla CO'!$V$53)/(DD23*'Dane dla CO'!$P$35+'Dane dla CO'!$Q$35)</f>
        <v>1.4107349537037033</v>
      </c>
      <c r="DF23" s="84">
        <f>DD23*'Dane dla CO'!$N$96+'Dane dla CO'!$N$97</f>
        <v>151.20000000000002</v>
      </c>
      <c r="DG23" s="84">
        <f>IF(DD23&lt;'Dane dla CO'!$R$67,0,IF(DE23&gt;1,DF23,DE23*DF23))</f>
        <v>151.20000000000002</v>
      </c>
      <c r="DH23" s="84">
        <f t="shared" si="28"/>
        <v>0</v>
      </c>
      <c r="DI23" s="84">
        <f>(DD23*'Dane dla CWU'!$T$53+'Dane dla CWU'!$V$53)/(DD23*'Dane dla CO'!$P$35+'Dane dla CO'!$Q$35)</f>
        <v>1.3566550925925924</v>
      </c>
      <c r="DJ23" s="84">
        <f t="shared" si="7"/>
        <v>10.319026666666666</v>
      </c>
      <c r="DK23" s="84">
        <f>IF(DD23&lt;'Dane dla CWU'!$R$67,0,IF(DI23&gt;1,DJ23,DI23*DJ23))</f>
        <v>0</v>
      </c>
      <c r="DL23" s="84">
        <f t="shared" si="29"/>
        <v>10.319026666666666</v>
      </c>
      <c r="DM23" s="49">
        <v>-6</v>
      </c>
      <c r="DN23" s="94">
        <f>DO23*'Dane dla CO'!$N$80</f>
        <v>599.51020408163276</v>
      </c>
      <c r="DO23" s="94">
        <f>(15-DS23)/35*'Dane dla CO'!$N$75</f>
        <v>5.2457142857142864</v>
      </c>
      <c r="DP23" s="94">
        <f t="shared" si="37"/>
        <v>149.87755102040819</v>
      </c>
      <c r="DQ23" s="51">
        <v>-6</v>
      </c>
      <c r="DR23" s="115">
        <v>4</v>
      </c>
      <c r="DS23" s="115">
        <v>-2</v>
      </c>
      <c r="DT23" s="89">
        <f>Wykresy!Y21</f>
        <v>44.2</v>
      </c>
      <c r="DU23" s="90">
        <f>Wykresy!AE21</f>
        <v>28.400000000000002</v>
      </c>
      <c r="DV23" s="92">
        <f>(($DV$27-$DV$18)/9)*5+$DV$18</f>
        <v>7.5233333333333334</v>
      </c>
      <c r="DW23" s="92">
        <f>(($DW$27-$DW$18)/9)*5+$DW$18</f>
        <v>3.0533333333333332</v>
      </c>
      <c r="DX23" s="92">
        <f t="shared" si="44"/>
        <v>2.4639737991266375</v>
      </c>
      <c r="DY23" s="86">
        <f>(($DY$27-$DY$18)/9)*5+$DY$18</f>
        <v>8.8888888888888893</v>
      </c>
      <c r="DZ23" s="86">
        <f>(($DZ$27-$DZ$18)/9)*5+$DZ$18</f>
        <v>2.4888888888888889</v>
      </c>
      <c r="EA23" s="96">
        <f t="shared" si="45"/>
        <v>3.5714285714285716</v>
      </c>
      <c r="EB23" s="85">
        <f t="shared" si="49"/>
        <v>4</v>
      </c>
      <c r="EC23" s="85">
        <f t="shared" si="43"/>
        <v>4.3803978651140225E-2</v>
      </c>
      <c r="ED23" s="85">
        <f>(SUM(EC23:$EC$40))*$DT$42/(SUM(EB23:$EB$40))</f>
        <v>3.9678842438115369</v>
      </c>
      <c r="EE23" s="86">
        <f t="shared" si="50"/>
        <v>4</v>
      </c>
      <c r="EF23" s="86">
        <f t="shared" si="46"/>
        <v>6.3492063492063489E-2</v>
      </c>
      <c r="EG23" s="86">
        <f>(SUM(EF23:$EF$40))*$DT$42/(SUM(EE23:$EE$40))</f>
        <v>5.057606592620929</v>
      </c>
      <c r="EI23" s="115">
        <v>4</v>
      </c>
      <c r="EJ23" s="115">
        <f t="shared" si="40"/>
        <v>36</v>
      </c>
      <c r="EK23" s="115">
        <v>-2</v>
      </c>
      <c r="EL23" s="89">
        <v>55</v>
      </c>
      <c r="EM23" s="92">
        <f t="shared" si="57"/>
        <v>6.9711111111111119</v>
      </c>
      <c r="EN23" s="92">
        <f t="shared" si="58"/>
        <v>3.3888888888888888</v>
      </c>
      <c r="EO23" s="92">
        <f t="shared" si="47"/>
        <v>2.0570491803278692</v>
      </c>
      <c r="EP23" s="85">
        <f t="shared" si="53"/>
        <v>4</v>
      </c>
      <c r="EQ23" s="85">
        <f t="shared" si="48"/>
        <v>3.6569763205828783E-2</v>
      </c>
      <c r="ER23" s="85">
        <f>(SUM(EQ23:$EQ$53))*$EL$54/(SUM(EP23:$EP$53))</f>
        <v>4.6101675966481181</v>
      </c>
    </row>
    <row r="24" spans="1:165">
      <c r="A24" s="162"/>
      <c r="B24">
        <v>22</v>
      </c>
      <c r="C24">
        <v>3</v>
      </c>
      <c r="D24" s="84">
        <f>(C24*'Dane dla CO'!$T$53+'Dane dla CO'!$V$53)/(C24*'Dane dla CO'!$P$35+'Dane dla CO'!$Q$35)</f>
        <v>2.719859182098765</v>
      </c>
      <c r="E24" s="84">
        <f>C24*'Dane dla CO'!$N$96+'Dane dla CO'!$N$97</f>
        <v>93.600000000000023</v>
      </c>
      <c r="F24" s="84">
        <f>IF(C24&lt;'Dane dla CO'!$R$67,0,IF(D24&gt;1,E24,D24*E24))</f>
        <v>93.600000000000023</v>
      </c>
      <c r="G24" s="84">
        <f t="shared" si="9"/>
        <v>0</v>
      </c>
      <c r="H24" s="84">
        <f>(C24*'Dane dla CWU'!$AB$53+'Dane dla CWU'!$AD$53)/(C24*'Dane dla CO'!$P$35+'Dane dla CO'!$Q$35)</f>
        <v>1.4163237311385457</v>
      </c>
      <c r="I24" s="84">
        <f t="shared" si="10"/>
        <v>10.319026666666666</v>
      </c>
      <c r="J24" s="84">
        <f>IF(C24&lt;'Dane dla CWU'!$R$67,0,IF(H24&gt;1,I24,H24*I24))</f>
        <v>10.319026666666666</v>
      </c>
      <c r="K24" s="84">
        <f t="shared" si="11"/>
        <v>0</v>
      </c>
      <c r="M24">
        <v>22</v>
      </c>
      <c r="N24">
        <v>5</v>
      </c>
      <c r="O24" s="84">
        <f>(N24*'Dane dla CO'!$T$53+'Dane dla CO'!$V$53)/(N24*'Dane dla CO'!$P$35+'Dane dla CO'!$Q$35)</f>
        <v>3.3744212962962958</v>
      </c>
      <c r="P24" s="84">
        <f>N24*'Dane dla CO'!$N$96+'Dane dla CO'!$N$97</f>
        <v>79.200000000000017</v>
      </c>
      <c r="Q24" s="84">
        <f>IF(N24&lt;'Dane dla CO'!$R$67,0,IF(O24&gt;1,P24,O24*P24))</f>
        <v>79.200000000000017</v>
      </c>
      <c r="R24" s="84">
        <f t="shared" si="12"/>
        <v>0</v>
      </c>
      <c r="S24" s="84">
        <f>(N24*'Dane dla CWU'!$T$53+'Dane dla CWU'!$V$53)/(N24*'Dane dla CO'!$P$35+'Dane dla CO'!$Q$35)</f>
        <v>3.381712962962963</v>
      </c>
      <c r="T24" s="84">
        <f t="shared" si="13"/>
        <v>10.319026666666666</v>
      </c>
      <c r="U24" s="84">
        <f>IF(N24&lt;'Dane dla CWU'!$R$67,0,IF(S24&gt;1,T24,S24*T24))</f>
        <v>10.319026666666666</v>
      </c>
      <c r="V24" s="84">
        <f t="shared" si="14"/>
        <v>0</v>
      </c>
      <c r="X24">
        <v>22</v>
      </c>
      <c r="Y24">
        <v>10</v>
      </c>
      <c r="Z24" s="84">
        <f>(Y24*'Dane dla CO'!$T$53+'Dane dla CO'!$V$53)/(Y24*'Dane dla CO'!$P$35+'Dane dla CO'!$Q$35)</f>
        <v>7.3017939814814818</v>
      </c>
      <c r="AA24" s="84">
        <f>Y24*'Dane dla CO'!$N$96+'Dane dla CO'!$N$97</f>
        <v>43.2</v>
      </c>
      <c r="AB24" s="84">
        <f>IF(Y24&lt;'Dane dla CO'!$R$67,0,IF(Z24&gt;1,AA24,Z24*AA24))</f>
        <v>43.2</v>
      </c>
      <c r="AC24" s="84">
        <f t="shared" si="15"/>
        <v>0</v>
      </c>
      <c r="AD24" s="84">
        <f>(Y24*'Dane dla CWU'!$T$53+'Dane dla CWU'!$V$53)/(Y24*'Dane dla CO'!$P$35+'Dane dla CO'!$Q$35)</f>
        <v>7.4318287037037045</v>
      </c>
      <c r="AE24" s="84">
        <f t="shared" si="16"/>
        <v>10.319026666666666</v>
      </c>
      <c r="AF24" s="84">
        <f>IF(Y24&lt;'Dane dla CWU'!$R$67,0,IF(AD24&gt;1,AE24,AD24*AE24))</f>
        <v>10.319026666666666</v>
      </c>
      <c r="AG24" s="84">
        <f t="shared" si="17"/>
        <v>0</v>
      </c>
      <c r="AI24">
        <v>22</v>
      </c>
      <c r="AJ24">
        <v>12</v>
      </c>
      <c r="AK24" s="84">
        <f>(AJ24*'Dane dla CO'!$T$53+'Dane dla CO'!$V$53)/(AJ24*'Dane dla CO'!$P$35+'Dane dla CO'!$Q$35)</f>
        <v>12.538290895061728</v>
      </c>
      <c r="AL24" s="84">
        <f>AJ24*'Dane dla CO'!$N$96+'Dane dla CO'!$N$97</f>
        <v>28.800000000000011</v>
      </c>
      <c r="AM24" s="84">
        <f>IF(AJ24&lt;'Dane dla CO'!$R$67,0,IF(AK24&gt;1,AL24,AK24*AL24))</f>
        <v>28.800000000000011</v>
      </c>
      <c r="AN24" s="84">
        <f t="shared" si="18"/>
        <v>0</v>
      </c>
      <c r="AO24" s="84">
        <f>(AJ24*'Dane dla CWU'!$T$53+'Dane dla CWU'!$V$53)/(AJ24*'Dane dla CO'!$P$35+'Dane dla CO'!$Q$35)</f>
        <v>12.831983024691358</v>
      </c>
      <c r="AP24" s="84">
        <f t="shared" si="19"/>
        <v>10.319026666666666</v>
      </c>
      <c r="AQ24" s="84">
        <f>IF(AJ24&lt;'Dane dla CWU'!$R$67,0,IF(AO24&gt;1,AP24,AO24*AP24))</f>
        <v>10.319026666666666</v>
      </c>
      <c r="AR24" s="84">
        <f t="shared" si="20"/>
        <v>0</v>
      </c>
      <c r="AT24">
        <v>22</v>
      </c>
      <c r="AU24">
        <v>21</v>
      </c>
      <c r="BA24">
        <v>22</v>
      </c>
      <c r="BB24">
        <v>20</v>
      </c>
      <c r="BH24">
        <v>22</v>
      </c>
      <c r="BI24">
        <v>16</v>
      </c>
      <c r="BO24">
        <v>22</v>
      </c>
      <c r="BP24">
        <v>23</v>
      </c>
      <c r="BV24">
        <v>22</v>
      </c>
      <c r="BW24">
        <v>9</v>
      </c>
      <c r="BX24" s="84">
        <f>(BW24*'Dane dla CO'!$T$53+'Dane dla CO'!$V$53)/(BW24*'Dane dla CO'!$P$35+'Dane dla CO'!$Q$35)</f>
        <v>5.9926697530864192</v>
      </c>
      <c r="BY24" s="84">
        <f>BW24*'Dane dla CO'!$N$96+'Dane dla CO'!$N$97</f>
        <v>50.400000000000006</v>
      </c>
      <c r="BZ24" s="84">
        <f>IF(BW24&lt;'Dane dla CO'!$R$67,0,IF(BX24&gt;1,BY24,BX24*BY24))</f>
        <v>50.400000000000006</v>
      </c>
      <c r="CA24" s="84">
        <f t="shared" si="54"/>
        <v>0</v>
      </c>
      <c r="CB24" s="84">
        <f>(BW24*'Dane dla CWU'!$T$53+'Dane dla CWU'!$V$53)/(BW24*'Dane dla CO'!$P$35+'Dane dla CO'!$Q$35)</f>
        <v>6.0817901234567913</v>
      </c>
      <c r="CC24" s="84">
        <f t="shared" si="55"/>
        <v>10.319026666666666</v>
      </c>
      <c r="CD24" s="84">
        <f>IF(BW24&lt;'Dane dla CWU'!$R$67,0,IF(CB24&gt;1,CC24,CB24*CC24))</f>
        <v>10.319026666666666</v>
      </c>
      <c r="CE24" s="84">
        <f t="shared" si="56"/>
        <v>0</v>
      </c>
      <c r="CG24">
        <v>22</v>
      </c>
      <c r="CH24">
        <v>9</v>
      </c>
      <c r="CI24" s="84">
        <f>(CH24*'Dane dla CO'!$T$53+'Dane dla CO'!$V$53)/(CH24*'Dane dla CO'!$P$35+'Dane dla CO'!$Q$35)</f>
        <v>5.9926697530864192</v>
      </c>
      <c r="CJ24" s="84">
        <f>CH24*'Dane dla CO'!$N$96+'Dane dla CO'!$N$97</f>
        <v>50.400000000000006</v>
      </c>
      <c r="CK24" s="84">
        <f>IF(CH24&lt;'Dane dla CO'!$R$67,0,IF(CI24&gt;1,CJ24,CI24*CJ24))</f>
        <v>50.400000000000006</v>
      </c>
      <c r="CL24" s="84">
        <f t="shared" si="24"/>
        <v>0</v>
      </c>
      <c r="CM24" s="84">
        <f>(CH24*'Dane dla CWU'!$T$53+'Dane dla CWU'!$V$53)/(CH24*'Dane dla CO'!$P$35+'Dane dla CO'!$Q$35)</f>
        <v>6.0817901234567913</v>
      </c>
      <c r="CN24" s="84">
        <f t="shared" si="1"/>
        <v>10.319026666666666</v>
      </c>
      <c r="CO24" s="84">
        <f>IF(CH24&lt;'Dane dla CWU'!$R$67,0,IF(CM24&gt;1,CN24,CM24*CN24))</f>
        <v>10.319026666666666</v>
      </c>
      <c r="CP24" s="84">
        <f t="shared" si="25"/>
        <v>0</v>
      </c>
      <c r="CR24">
        <v>22</v>
      </c>
      <c r="CS24">
        <v>5</v>
      </c>
      <c r="CT24" s="84">
        <f>(CS24*'Dane dla CO'!$T$53+'Dane dla CO'!$V$53)/(CS24*'Dane dla CO'!$P$35+'Dane dla CO'!$Q$35)</f>
        <v>3.3744212962962958</v>
      </c>
      <c r="CU24" s="84">
        <f>CS24*'Dane dla CO'!$N$96+'Dane dla CO'!$N$97</f>
        <v>79.200000000000017</v>
      </c>
      <c r="CV24" s="84">
        <f>IF(CS24&lt;'Dane dla CO'!$R$67,0,IF(CT24&gt;1,CU24,CT24*CU24))</f>
        <v>79.200000000000017</v>
      </c>
      <c r="CW24" s="84">
        <f t="shared" si="26"/>
        <v>0</v>
      </c>
      <c r="CX24" s="84">
        <f>(CS24*'Dane dla CWU'!$T$53+'Dane dla CWU'!$V$53)/(CS24*'Dane dla CO'!$P$35+'Dane dla CO'!$Q$35)</f>
        <v>3.381712962962963</v>
      </c>
      <c r="CY24" s="84">
        <f t="shared" si="4"/>
        <v>10.319026666666666</v>
      </c>
      <c r="CZ24" s="84">
        <f>IF(CS24&lt;'Dane dla CWU'!$R$67,0,IF(CX24&gt;1,CY24,CX24*CY24))</f>
        <v>10.319026666666666</v>
      </c>
      <c r="DA24" s="84">
        <f t="shared" si="27"/>
        <v>0</v>
      </c>
      <c r="DC24">
        <v>22</v>
      </c>
      <c r="DD24">
        <v>-4</v>
      </c>
      <c r="DE24" s="84">
        <f>(DD24*'Dane dla CO'!$T$53+'Dane dla CO'!$V$53)/(DD24*'Dane dla CO'!$P$35+'Dane dla CO'!$Q$35)</f>
        <v>1.5140868664717346</v>
      </c>
      <c r="DF24" s="84">
        <f>DD24*'Dane dla CO'!$N$96+'Dane dla CO'!$N$97</f>
        <v>144.00000000000003</v>
      </c>
      <c r="DG24" s="84">
        <f>IF(DD24&lt;'Dane dla CO'!$R$67,0,IF(DE24&gt;1,DF24,DE24*DF24))</f>
        <v>144.00000000000003</v>
      </c>
      <c r="DH24" s="84">
        <f t="shared" si="28"/>
        <v>0</v>
      </c>
      <c r="DI24" s="84">
        <f>(DD24*'Dane dla CWU'!$T$53+'Dane dla CWU'!$V$53)/(DD24*'Dane dla CO'!$P$35+'Dane dla CO'!$Q$35)</f>
        <v>1.4632370857699804</v>
      </c>
      <c r="DJ24" s="84">
        <f t="shared" si="7"/>
        <v>10.319026666666666</v>
      </c>
      <c r="DK24" s="84">
        <f>IF(DD24&lt;'Dane dla CWU'!$R$67,0,IF(DI24&gt;1,DJ24,DI24*DJ24))</f>
        <v>0</v>
      </c>
      <c r="DL24" s="84">
        <f t="shared" si="29"/>
        <v>10.319026666666666</v>
      </c>
      <c r="DM24" s="49">
        <v>-5</v>
      </c>
      <c r="DN24" s="94">
        <f>DO24*'Dane dla CO'!$N$80</f>
        <v>564.24489795918373</v>
      </c>
      <c r="DO24" s="94">
        <f>(15-DS24)/35*'Dane dla CO'!$N$75</f>
        <v>4.9371428571428577</v>
      </c>
      <c r="DP24" s="94">
        <f t="shared" si="37"/>
        <v>70.530612244897966</v>
      </c>
      <c r="DQ24" s="51">
        <v>-5</v>
      </c>
      <c r="DR24" s="115">
        <v>8</v>
      </c>
      <c r="DS24" s="115">
        <v>-1</v>
      </c>
      <c r="DT24" s="89">
        <f>Wykresy!Y22</f>
        <v>43.6</v>
      </c>
      <c r="DU24" s="90">
        <f>Wykresy!AE22</f>
        <v>28.033333333333335</v>
      </c>
      <c r="DV24" s="92">
        <f>(($DV$27-$DV$18)/9)*6+$DV$18</f>
        <v>7.3550000000000004</v>
      </c>
      <c r="DW24" s="92">
        <f>(($DW$27-$DW$18)/9)*6+$DW$18</f>
        <v>2.9050000000000002</v>
      </c>
      <c r="DX24" s="92">
        <f t="shared" si="44"/>
        <v>2.53184165232358</v>
      </c>
      <c r="DY24" s="86">
        <f>(($DY$27-$DY$18)/9)*6+$DY$18</f>
        <v>8.6666666666666661</v>
      </c>
      <c r="DZ24" s="86">
        <f>(($DZ$27-$DZ$18)/9)*6+$DZ$18</f>
        <v>2.3666666666666667</v>
      </c>
      <c r="EA24" s="96">
        <f t="shared" si="45"/>
        <v>3.6619718309859151</v>
      </c>
      <c r="EB24" s="85">
        <f t="shared" si="49"/>
        <v>8</v>
      </c>
      <c r="EC24" s="85">
        <f t="shared" si="43"/>
        <v>9.002103652706063E-2</v>
      </c>
      <c r="ED24" s="85">
        <f>(SUM(EC24:$EC$40))*$DT$42/(SUM(EB24:$EB$40))</f>
        <v>3.9997130362916407</v>
      </c>
      <c r="EE24" s="86">
        <f t="shared" si="50"/>
        <v>8</v>
      </c>
      <c r="EF24" s="86">
        <f t="shared" si="46"/>
        <v>0.1302034428794992</v>
      </c>
      <c r="EG24" s="86">
        <f>(SUM(EF24:$EF$40))*$DT$42/(SUM(EE24:$EE$40))</f>
        <v>5.0890600957149479</v>
      </c>
      <c r="EI24" s="115">
        <v>8</v>
      </c>
      <c r="EJ24" s="115">
        <f t="shared" si="40"/>
        <v>44</v>
      </c>
      <c r="EK24" s="115">
        <v>-1</v>
      </c>
      <c r="EL24" s="89">
        <v>55</v>
      </c>
      <c r="EM24" s="92">
        <f t="shared" si="57"/>
        <v>6.7733333333333343</v>
      </c>
      <c r="EN24" s="92">
        <f t="shared" si="58"/>
        <v>3.2666666666666666</v>
      </c>
      <c r="EO24" s="92">
        <f t="shared" si="47"/>
        <v>2.0734693877551025</v>
      </c>
      <c r="EP24" s="85">
        <f t="shared" si="53"/>
        <v>8</v>
      </c>
      <c r="EQ24" s="85">
        <f t="shared" si="48"/>
        <v>7.3723356009070304E-2</v>
      </c>
      <c r="ER24" s="85">
        <f>(SUM(EQ24:$EQ$53))*$EL$54/(SUM(EP24:$EP$53))</f>
        <v>4.6254892240822372</v>
      </c>
    </row>
    <row r="25" spans="1:165">
      <c r="A25" s="162"/>
      <c r="B25">
        <v>23</v>
      </c>
      <c r="C25">
        <v>3</v>
      </c>
      <c r="D25" s="84">
        <f>(C25*'Dane dla CO'!$T$53+'Dane dla CO'!$V$53)/(C25*'Dane dla CO'!$P$35+'Dane dla CO'!$Q$35)</f>
        <v>2.719859182098765</v>
      </c>
      <c r="E25" s="84">
        <f>C25*'Dane dla CO'!$N$96+'Dane dla CO'!$N$97</f>
        <v>93.600000000000023</v>
      </c>
      <c r="F25" s="84">
        <f>IF(C25&lt;'Dane dla CO'!$R$67,0,IF(D25&gt;1,E25,D25*E25))</f>
        <v>93.600000000000023</v>
      </c>
      <c r="G25" s="84">
        <f t="shared" si="9"/>
        <v>0</v>
      </c>
      <c r="H25" s="84">
        <f>(C25*'Dane dla CWU'!$AB$53+'Dane dla CWU'!$AD$53)/(C25*'Dane dla CO'!$P$35+'Dane dla CO'!$Q$35)</f>
        <v>1.4163237311385457</v>
      </c>
      <c r="I25" s="84">
        <f t="shared" si="10"/>
        <v>10.319026666666666</v>
      </c>
      <c r="J25" s="84">
        <f>IF(C25&lt;'Dane dla CWU'!$R$67,0,IF(H25&gt;1,I25,H25*I25))</f>
        <v>10.319026666666666</v>
      </c>
      <c r="K25" s="84">
        <f t="shared" si="11"/>
        <v>0</v>
      </c>
      <c r="M25">
        <v>23</v>
      </c>
      <c r="N25">
        <v>5</v>
      </c>
      <c r="O25" s="84">
        <f>(N25*'Dane dla CO'!$T$53+'Dane dla CO'!$V$53)/(N25*'Dane dla CO'!$P$35+'Dane dla CO'!$Q$35)</f>
        <v>3.3744212962962958</v>
      </c>
      <c r="P25" s="84">
        <f>N25*'Dane dla CO'!$N$96+'Dane dla CO'!$N$97</f>
        <v>79.200000000000017</v>
      </c>
      <c r="Q25" s="84">
        <f>IF(N25&lt;'Dane dla CO'!$R$67,0,IF(O25&gt;1,P25,O25*P25))</f>
        <v>79.200000000000017</v>
      </c>
      <c r="R25" s="84">
        <f t="shared" si="12"/>
        <v>0</v>
      </c>
      <c r="S25" s="84">
        <f>(N25*'Dane dla CWU'!$T$53+'Dane dla CWU'!$V$53)/(N25*'Dane dla CO'!$P$35+'Dane dla CO'!$Q$35)</f>
        <v>3.381712962962963</v>
      </c>
      <c r="T25" s="84">
        <f t="shared" si="13"/>
        <v>10.319026666666666</v>
      </c>
      <c r="U25" s="84">
        <f>IF(N25&lt;'Dane dla CWU'!$R$67,0,IF(S25&gt;1,T25,S25*T25))</f>
        <v>10.319026666666666</v>
      </c>
      <c r="V25" s="84">
        <f t="shared" si="14"/>
        <v>0</v>
      </c>
      <c r="X25">
        <v>23</v>
      </c>
      <c r="Y25">
        <v>8</v>
      </c>
      <c r="Z25" s="84">
        <f>(Y25*'Dane dla CO'!$T$53+'Dane dla CO'!$V$53)/(Y25*'Dane dla CO'!$P$35+'Dane dla CO'!$Q$35)</f>
        <v>5.0575810185185182</v>
      </c>
      <c r="AA25" s="84">
        <f>Y25*'Dane dla CO'!$N$96+'Dane dla CO'!$N$97</f>
        <v>57.600000000000009</v>
      </c>
      <c r="AB25" s="84">
        <f>IF(Y25&lt;'Dane dla CO'!$R$67,0,IF(Z25&gt;1,AA25,Z25*AA25))</f>
        <v>57.600000000000009</v>
      </c>
      <c r="AC25" s="84">
        <f t="shared" si="15"/>
        <v>0</v>
      </c>
      <c r="AD25" s="84">
        <f>(Y25*'Dane dla CWU'!$T$53+'Dane dla CWU'!$V$53)/(Y25*'Dane dla CO'!$P$35+'Dane dla CO'!$Q$35)</f>
        <v>5.1174768518518521</v>
      </c>
      <c r="AE25" s="84">
        <f t="shared" si="16"/>
        <v>10.319026666666666</v>
      </c>
      <c r="AF25" s="84">
        <f>IF(Y25&lt;'Dane dla CWU'!$R$67,0,IF(AD25&gt;1,AE25,AD25*AE25))</f>
        <v>10.319026666666666</v>
      </c>
      <c r="AG25" s="84">
        <f t="shared" si="17"/>
        <v>0</v>
      </c>
      <c r="AI25">
        <v>23</v>
      </c>
      <c r="AJ25">
        <v>13</v>
      </c>
      <c r="AK25" s="84">
        <f>(AJ25*'Dane dla CO'!$T$53+'Dane dla CO'!$V$53)/(AJ25*'Dane dla CO'!$P$35+'Dane dla CO'!$Q$35)</f>
        <v>19.083912037037027</v>
      </c>
      <c r="AL25" s="84">
        <f>AJ25*'Dane dla CO'!$N$96+'Dane dla CO'!$N$97</f>
        <v>21.600000000000009</v>
      </c>
      <c r="AM25" s="84">
        <f>IF(AJ25&lt;'Dane dla CO'!$R$67,0,IF(AK25&gt;1,AL25,AK25*AL25))</f>
        <v>21.600000000000009</v>
      </c>
      <c r="AN25" s="84">
        <f t="shared" si="18"/>
        <v>0</v>
      </c>
      <c r="AO25" s="84">
        <f>(AJ25*'Dane dla CWU'!$T$53+'Dane dla CWU'!$V$53)/(AJ25*'Dane dla CO'!$P$35+'Dane dla CO'!$Q$35)</f>
        <v>19.582175925925917</v>
      </c>
      <c r="AP25" s="84">
        <f t="shared" si="19"/>
        <v>10.319026666666666</v>
      </c>
      <c r="AQ25" s="84">
        <f>IF(AJ25&lt;'Dane dla CWU'!$R$67,0,IF(AO25&gt;1,AP25,AO25*AP25))</f>
        <v>10.319026666666666</v>
      </c>
      <c r="AR25" s="84">
        <f t="shared" si="20"/>
        <v>0</v>
      </c>
      <c r="AT25">
        <v>23</v>
      </c>
      <c r="AU25">
        <v>21</v>
      </c>
      <c r="BA25">
        <v>23</v>
      </c>
      <c r="BB25">
        <v>20</v>
      </c>
      <c r="BH25">
        <v>23</v>
      </c>
      <c r="BI25">
        <v>17</v>
      </c>
      <c r="BO25">
        <v>23</v>
      </c>
      <c r="BP25">
        <v>22</v>
      </c>
      <c r="BV25">
        <v>23</v>
      </c>
      <c r="BW25">
        <v>10</v>
      </c>
      <c r="BX25" s="84">
        <f>(BW25*'Dane dla CO'!$T$53+'Dane dla CO'!$V$53)/(BW25*'Dane dla CO'!$P$35+'Dane dla CO'!$Q$35)</f>
        <v>7.3017939814814818</v>
      </c>
      <c r="BY25" s="84">
        <f>BW25*'Dane dla CO'!$N$96+'Dane dla CO'!$N$97</f>
        <v>43.2</v>
      </c>
      <c r="BZ25" s="84">
        <f>IF(BW25&lt;'Dane dla CO'!$R$67,0,IF(BX25&gt;1,BY25,BX25*BY25))</f>
        <v>43.2</v>
      </c>
      <c r="CA25" s="84">
        <f t="shared" si="54"/>
        <v>0</v>
      </c>
      <c r="CB25" s="84">
        <f>(BW25*'Dane dla CWU'!$T$53+'Dane dla CWU'!$V$53)/(BW25*'Dane dla CO'!$P$35+'Dane dla CO'!$Q$35)</f>
        <v>7.4318287037037045</v>
      </c>
      <c r="CC25" s="84">
        <f t="shared" si="55"/>
        <v>10.319026666666666</v>
      </c>
      <c r="CD25" s="84">
        <f>IF(BW25&lt;'Dane dla CWU'!$R$67,0,IF(CB25&gt;1,CC25,CB25*CC25))</f>
        <v>10.319026666666666</v>
      </c>
      <c r="CE25" s="84">
        <f t="shared" si="56"/>
        <v>0</v>
      </c>
      <c r="CG25">
        <v>23</v>
      </c>
      <c r="CH25">
        <v>9</v>
      </c>
      <c r="CI25" s="84">
        <f>(CH25*'Dane dla CO'!$T$53+'Dane dla CO'!$V$53)/(CH25*'Dane dla CO'!$P$35+'Dane dla CO'!$Q$35)</f>
        <v>5.9926697530864192</v>
      </c>
      <c r="CJ25" s="84">
        <f>CH25*'Dane dla CO'!$N$96+'Dane dla CO'!$N$97</f>
        <v>50.400000000000006</v>
      </c>
      <c r="CK25" s="84">
        <f>IF(CH25&lt;'Dane dla CO'!$R$67,0,IF(CI25&gt;1,CJ25,CI25*CJ25))</f>
        <v>50.400000000000006</v>
      </c>
      <c r="CL25" s="84">
        <f t="shared" si="24"/>
        <v>0</v>
      </c>
      <c r="CM25" s="84">
        <f>(CH25*'Dane dla CWU'!$T$53+'Dane dla CWU'!$V$53)/(CH25*'Dane dla CO'!$P$35+'Dane dla CO'!$Q$35)</f>
        <v>6.0817901234567913</v>
      </c>
      <c r="CN25" s="84">
        <f t="shared" si="1"/>
        <v>10.319026666666666</v>
      </c>
      <c r="CO25" s="84">
        <f>IF(CH25&lt;'Dane dla CWU'!$R$67,0,IF(CM25&gt;1,CN25,CM25*CN25))</f>
        <v>10.319026666666666</v>
      </c>
      <c r="CP25" s="84">
        <f t="shared" si="25"/>
        <v>0</v>
      </c>
      <c r="CR25">
        <v>23</v>
      </c>
      <c r="CS25">
        <v>6</v>
      </c>
      <c r="CT25" s="84">
        <f>(CS25*'Dane dla CO'!$T$53+'Dane dla CO'!$V$53)/(CS25*'Dane dla CO'!$P$35+'Dane dla CO'!$Q$35)</f>
        <v>3.8107960390946491</v>
      </c>
      <c r="CU25" s="84">
        <f>CS25*'Dane dla CO'!$N$96+'Dane dla CO'!$N$97</f>
        <v>72.000000000000014</v>
      </c>
      <c r="CV25" s="84">
        <f>IF(CS25&lt;'Dane dla CO'!$R$67,0,IF(CT25&gt;1,CU25,CT25*CU25))</f>
        <v>72.000000000000014</v>
      </c>
      <c r="CW25" s="84">
        <f t="shared" si="26"/>
        <v>0</v>
      </c>
      <c r="CX25" s="84">
        <f>(CS25*'Dane dla CWU'!$T$53+'Dane dla CWU'!$V$53)/(CS25*'Dane dla CO'!$P$35+'Dane dla CO'!$Q$35)</f>
        <v>3.8317258230452675</v>
      </c>
      <c r="CY25" s="84">
        <f t="shared" si="4"/>
        <v>10.319026666666666</v>
      </c>
      <c r="CZ25" s="84">
        <f>IF(CS25&lt;'Dane dla CWU'!$R$67,0,IF(CX25&gt;1,CY25,CX25*CY25))</f>
        <v>10.319026666666666</v>
      </c>
      <c r="DA25" s="84">
        <f t="shared" si="27"/>
        <v>0</v>
      </c>
      <c r="DC25">
        <v>23</v>
      </c>
      <c r="DD25">
        <v>-2</v>
      </c>
      <c r="DE25" s="84">
        <f>(DD25*'Dane dla CO'!$T$53+'Dane dla CO'!$V$53)/(DD25*'Dane dla CO'!$P$35+'Dane dla CO'!$Q$35)</f>
        <v>1.7572678376906314</v>
      </c>
      <c r="DF25" s="84">
        <f>DD25*'Dane dla CO'!$N$96+'Dane dla CO'!$N$97</f>
        <v>129.60000000000002</v>
      </c>
      <c r="DG25" s="84">
        <f>IF(DD25&lt;'Dane dla CO'!$R$67,0,IF(DE25&gt;1,DF25,DE25*DF25))</f>
        <v>129.60000000000002</v>
      </c>
      <c r="DH25" s="84">
        <f t="shared" si="28"/>
        <v>0</v>
      </c>
      <c r="DI25" s="84">
        <f>(DD25*'Dane dla CWU'!$T$53+'Dane dla CWU'!$V$53)/(DD25*'Dane dla CO'!$P$35+'Dane dla CO'!$Q$35)</f>
        <v>1.7140182461873639</v>
      </c>
      <c r="DJ25" s="84">
        <f t="shared" si="7"/>
        <v>10.319026666666666</v>
      </c>
      <c r="DK25" s="84">
        <f>IF(DD25&lt;'Dane dla CWU'!$R$67,0,IF(DI25&gt;1,DJ25,DI25*DJ25))</f>
        <v>0</v>
      </c>
      <c r="DL25" s="84">
        <f t="shared" si="29"/>
        <v>10.319026666666666</v>
      </c>
      <c r="DM25" s="49">
        <v>-5</v>
      </c>
      <c r="DN25" s="94">
        <f>DO25*'Dane dla CO'!$N$80</f>
        <v>528.97959183673481</v>
      </c>
      <c r="DO25" s="94">
        <f>(15-DS25)/35*'Dane dla CO'!$N$75</f>
        <v>4.628571428571429</v>
      </c>
      <c r="DP25" s="94">
        <f t="shared" si="37"/>
        <v>31.116446578631461</v>
      </c>
      <c r="DQ25" s="51">
        <v>-5</v>
      </c>
      <c r="DR25" s="115">
        <v>17</v>
      </c>
      <c r="DS25" s="115">
        <v>0</v>
      </c>
      <c r="DT25" s="89">
        <f>Wykresy!Y23</f>
        <v>43</v>
      </c>
      <c r="DU25" s="90">
        <f>Wykresy!AE23</f>
        <v>27.666666666666668</v>
      </c>
      <c r="DV25" s="92">
        <f>(($DV$27-$DV$18)/9)*7+$DV$18</f>
        <v>7.1866666666666665</v>
      </c>
      <c r="DW25" s="92">
        <f>(($DW$27-$DW$18)/9)*7+$DW$18</f>
        <v>2.7566666666666668</v>
      </c>
      <c r="DX25" s="92">
        <f t="shared" si="44"/>
        <v>2.6070133010882706</v>
      </c>
      <c r="DY25" s="86">
        <f>(($DY$27-$DY$18)/9)*7+$DY$18</f>
        <v>8.4444444444444446</v>
      </c>
      <c r="DZ25" s="86">
        <f>(($DZ$27-$DZ$18)/9)*7+$DZ$18</f>
        <v>2.2444444444444445</v>
      </c>
      <c r="EA25" s="96">
        <f t="shared" si="45"/>
        <v>3.7623762376237626</v>
      </c>
      <c r="EB25" s="85">
        <f t="shared" si="49"/>
        <v>17</v>
      </c>
      <c r="EC25" s="85">
        <f t="shared" si="43"/>
        <v>0.19697433830444711</v>
      </c>
      <c r="ED25" s="85">
        <f>(SUM(EC25:$EC$40))*$DT$42/(SUM(EB25:$EB$40))</f>
        <v>4.0645913295056983</v>
      </c>
      <c r="EE25" s="86">
        <f t="shared" si="50"/>
        <v>17</v>
      </c>
      <c r="EF25" s="86">
        <f t="shared" si="46"/>
        <v>0.28426842684268427</v>
      </c>
      <c r="EG25" s="86">
        <f>(SUM(EF25:$EF$40))*$DT$42/(SUM(EE25:$EE$40))</f>
        <v>5.1521358201228615</v>
      </c>
      <c r="EI25" s="115">
        <v>17</v>
      </c>
      <c r="EJ25" s="115">
        <f t="shared" si="40"/>
        <v>61</v>
      </c>
      <c r="EK25" s="115">
        <v>0</v>
      </c>
      <c r="EL25" s="89">
        <v>55</v>
      </c>
      <c r="EM25" s="92">
        <f t="shared" si="57"/>
        <v>6.5755555555555567</v>
      </c>
      <c r="EN25" s="92">
        <f t="shared" si="58"/>
        <v>3.1444444444444444</v>
      </c>
      <c r="EO25" s="92">
        <f t="shared" si="47"/>
        <v>2.0911660777385164</v>
      </c>
      <c r="EP25" s="85">
        <f t="shared" si="53"/>
        <v>17</v>
      </c>
      <c r="EQ25" s="85">
        <f t="shared" si="48"/>
        <v>0.15799921476246567</v>
      </c>
      <c r="ER25" s="85">
        <f>(SUM(EQ25:$EQ$53))*$EL$54/(SUM(EP25:$EP$53))</f>
        <v>4.6566108560491255</v>
      </c>
    </row>
    <row r="26" spans="1:165">
      <c r="A26" s="162"/>
      <c r="B26">
        <v>24</v>
      </c>
      <c r="C26">
        <v>1</v>
      </c>
      <c r="D26" s="84">
        <f>(C26*'Dane dla CO'!$T$53+'Dane dla CO'!$V$53)/(C26*'Dane dla CO'!$P$35+'Dane dla CO'!$Q$35)</f>
        <v>2.2523148148148144</v>
      </c>
      <c r="E26" s="84">
        <f>C26*'Dane dla CO'!$N$96+'Dane dla CO'!$N$97</f>
        <v>108.00000000000001</v>
      </c>
      <c r="F26" s="84">
        <f>IF(C26&lt;'Dane dla CO'!$R$67,0,IF(D26&gt;1,E26,D26*E26))</f>
        <v>108.00000000000001</v>
      </c>
      <c r="G26" s="84">
        <f t="shared" si="9"/>
        <v>0</v>
      </c>
      <c r="H26" s="84">
        <f>(C26*'Dane dla CWU'!$AB$53+'Dane dla CWU'!$AD$53)/(C26*'Dane dla CO'!$P$35+'Dane dla CO'!$Q$35)</f>
        <v>1.1471193415637859</v>
      </c>
      <c r="I26" s="84">
        <f t="shared" si="10"/>
        <v>10.319026666666666</v>
      </c>
      <c r="J26" s="84">
        <f>IF(C26&lt;'Dane dla CWU'!$R$67,0,IF(H26&gt;1,I26,H26*I26))</f>
        <v>0</v>
      </c>
      <c r="K26" s="84">
        <f t="shared" si="11"/>
        <v>10.319026666666666</v>
      </c>
      <c r="M26">
        <v>24</v>
      </c>
      <c r="N26">
        <v>8</v>
      </c>
      <c r="O26" s="84">
        <f>(N26*'Dane dla CO'!$T$53+'Dane dla CO'!$V$53)/(N26*'Dane dla CO'!$P$35+'Dane dla CO'!$Q$35)</f>
        <v>5.0575810185185182</v>
      </c>
      <c r="P26" s="84">
        <f>N26*'Dane dla CO'!$N$96+'Dane dla CO'!$N$97</f>
        <v>57.600000000000009</v>
      </c>
      <c r="Q26" s="84">
        <f>IF(N26&lt;'Dane dla CO'!$R$67,0,IF(O26&gt;1,P26,O26*P26))</f>
        <v>57.600000000000009</v>
      </c>
      <c r="R26" s="84">
        <f t="shared" si="12"/>
        <v>0</v>
      </c>
      <c r="S26" s="84">
        <f>(N26*'Dane dla CWU'!$T$53+'Dane dla CWU'!$V$53)/(N26*'Dane dla CO'!$P$35+'Dane dla CO'!$Q$35)</f>
        <v>5.1174768518518521</v>
      </c>
      <c r="T26" s="84">
        <f t="shared" si="13"/>
        <v>10.319026666666666</v>
      </c>
      <c r="U26" s="84">
        <f>IF(N26&lt;'Dane dla CWU'!$R$67,0,IF(S26&gt;1,T26,S26*T26))</f>
        <v>10.319026666666666</v>
      </c>
      <c r="V26" s="84">
        <f t="shared" si="14"/>
        <v>0</v>
      </c>
      <c r="X26">
        <v>24</v>
      </c>
      <c r="Y26">
        <v>9</v>
      </c>
      <c r="Z26" s="84">
        <f>(Y26*'Dane dla CO'!$T$53+'Dane dla CO'!$V$53)/(Y26*'Dane dla CO'!$P$35+'Dane dla CO'!$Q$35)</f>
        <v>5.9926697530864192</v>
      </c>
      <c r="AA26" s="84">
        <f>Y26*'Dane dla CO'!$N$96+'Dane dla CO'!$N$97</f>
        <v>50.400000000000006</v>
      </c>
      <c r="AB26" s="84">
        <f>IF(Y26&lt;'Dane dla CO'!$R$67,0,IF(Z26&gt;1,AA26,Z26*AA26))</f>
        <v>50.400000000000006</v>
      </c>
      <c r="AC26" s="84">
        <f t="shared" si="15"/>
        <v>0</v>
      </c>
      <c r="AD26" s="84">
        <f>(Y26*'Dane dla CWU'!$T$53+'Dane dla CWU'!$V$53)/(Y26*'Dane dla CO'!$P$35+'Dane dla CO'!$Q$35)</f>
        <v>6.0817901234567913</v>
      </c>
      <c r="AE26" s="84">
        <f t="shared" si="16"/>
        <v>10.319026666666666</v>
      </c>
      <c r="AF26" s="84">
        <f>IF(Y26&lt;'Dane dla CWU'!$R$67,0,IF(AD26&gt;1,AE26,AD26*AE26))</f>
        <v>10.319026666666666</v>
      </c>
      <c r="AG26" s="84">
        <f t="shared" si="17"/>
        <v>0</v>
      </c>
      <c r="AI26">
        <v>24</v>
      </c>
      <c r="AJ26">
        <v>13</v>
      </c>
      <c r="AK26" s="84">
        <f>(AJ26*'Dane dla CO'!$T$53+'Dane dla CO'!$V$53)/(AJ26*'Dane dla CO'!$P$35+'Dane dla CO'!$Q$35)</f>
        <v>19.083912037037027</v>
      </c>
      <c r="AL26" s="84">
        <f>AJ26*'Dane dla CO'!$N$96+'Dane dla CO'!$N$97</f>
        <v>21.600000000000009</v>
      </c>
      <c r="AM26" s="84">
        <f>IF(AJ26&lt;'Dane dla CO'!$R$67,0,IF(AK26&gt;1,AL26,AK26*AL26))</f>
        <v>21.600000000000009</v>
      </c>
      <c r="AN26" s="84">
        <f t="shared" si="18"/>
        <v>0</v>
      </c>
      <c r="AO26" s="84">
        <f>(AJ26*'Dane dla CWU'!$T$53+'Dane dla CWU'!$V$53)/(AJ26*'Dane dla CO'!$P$35+'Dane dla CO'!$Q$35)</f>
        <v>19.582175925925917</v>
      </c>
      <c r="AP26" s="84">
        <f t="shared" si="19"/>
        <v>10.319026666666666</v>
      </c>
      <c r="AQ26" s="84">
        <f>IF(AJ26&lt;'Dane dla CWU'!$R$67,0,IF(AO26&gt;1,AP26,AO26*AP26))</f>
        <v>10.319026666666666</v>
      </c>
      <c r="AR26" s="84">
        <f t="shared" si="20"/>
        <v>0</v>
      </c>
      <c r="AT26">
        <v>24</v>
      </c>
      <c r="AU26">
        <v>20</v>
      </c>
      <c r="BA26">
        <v>24</v>
      </c>
      <c r="BB26">
        <v>21</v>
      </c>
      <c r="BH26">
        <v>24</v>
      </c>
      <c r="BI26">
        <v>19</v>
      </c>
      <c r="BO26">
        <v>24</v>
      </c>
      <c r="BP26">
        <v>22</v>
      </c>
      <c r="BV26">
        <v>24</v>
      </c>
      <c r="BW26">
        <v>13</v>
      </c>
      <c r="BX26" s="84">
        <f>(BW26*'Dane dla CO'!$T$53+'Dane dla CO'!$V$53)/(BW26*'Dane dla CO'!$P$35+'Dane dla CO'!$Q$35)</f>
        <v>19.083912037037027</v>
      </c>
      <c r="BY26" s="84">
        <f>BW26*'Dane dla CO'!$N$96+'Dane dla CO'!$N$97</f>
        <v>21.600000000000009</v>
      </c>
      <c r="BZ26" s="84">
        <f>IF(BW26&lt;'Dane dla CO'!$R$67,0,IF(BX26&gt;1,BY26,BX26*BY26))</f>
        <v>21.600000000000009</v>
      </c>
      <c r="CA26" s="84">
        <f t="shared" si="54"/>
        <v>0</v>
      </c>
      <c r="CB26" s="84">
        <f>(BW26*'Dane dla CWU'!$T$53+'Dane dla CWU'!$V$53)/(BW26*'Dane dla CO'!$P$35+'Dane dla CO'!$Q$35)</f>
        <v>19.582175925925917</v>
      </c>
      <c r="CC26" s="84">
        <f t="shared" si="55"/>
        <v>10.319026666666666</v>
      </c>
      <c r="CD26" s="84">
        <f>IF(BW26&lt;'Dane dla CWU'!$R$67,0,IF(CB26&gt;1,CC26,CB26*CC26))</f>
        <v>10.319026666666666</v>
      </c>
      <c r="CE26" s="84">
        <f t="shared" si="56"/>
        <v>0</v>
      </c>
      <c r="CG26">
        <v>24</v>
      </c>
      <c r="CH26">
        <v>8</v>
      </c>
      <c r="CI26" s="84">
        <f>(CH26*'Dane dla CO'!$T$53+'Dane dla CO'!$V$53)/(CH26*'Dane dla CO'!$P$35+'Dane dla CO'!$Q$35)</f>
        <v>5.0575810185185182</v>
      </c>
      <c r="CJ26" s="84">
        <f>CH26*'Dane dla CO'!$N$96+'Dane dla CO'!$N$97</f>
        <v>57.600000000000009</v>
      </c>
      <c r="CK26" s="84">
        <f>IF(CH26&lt;'Dane dla CO'!$R$67,0,IF(CI26&gt;1,CJ26,CI26*CJ26))</f>
        <v>57.600000000000009</v>
      </c>
      <c r="CL26" s="84">
        <f t="shared" si="24"/>
        <v>0</v>
      </c>
      <c r="CM26" s="84">
        <f>(CH26*'Dane dla CWU'!$T$53+'Dane dla CWU'!$V$53)/(CH26*'Dane dla CO'!$P$35+'Dane dla CO'!$Q$35)</f>
        <v>5.1174768518518521</v>
      </c>
      <c r="CN26" s="84">
        <f t="shared" si="1"/>
        <v>10.319026666666666</v>
      </c>
      <c r="CO26" s="84">
        <f>IF(CH26&lt;'Dane dla CWU'!$R$67,0,IF(CM26&gt;1,CN26,CM26*CN26))</f>
        <v>10.319026666666666</v>
      </c>
      <c r="CP26" s="84">
        <f t="shared" si="25"/>
        <v>0</v>
      </c>
      <c r="CR26">
        <v>24</v>
      </c>
      <c r="CS26">
        <v>6</v>
      </c>
      <c r="CT26" s="84">
        <f>(CS26*'Dane dla CO'!$T$53+'Dane dla CO'!$V$53)/(CS26*'Dane dla CO'!$P$35+'Dane dla CO'!$Q$35)</f>
        <v>3.8107960390946491</v>
      </c>
      <c r="CU26" s="84">
        <f>CS26*'Dane dla CO'!$N$96+'Dane dla CO'!$N$97</f>
        <v>72.000000000000014</v>
      </c>
      <c r="CV26" s="84">
        <f>IF(CS26&lt;'Dane dla CO'!$R$67,0,IF(CT26&gt;1,CU26,CT26*CU26))</f>
        <v>72.000000000000014</v>
      </c>
      <c r="CW26" s="84">
        <f t="shared" si="26"/>
        <v>0</v>
      </c>
      <c r="CX26" s="84">
        <f>(CS26*'Dane dla CWU'!$T$53+'Dane dla CWU'!$V$53)/(CS26*'Dane dla CO'!$P$35+'Dane dla CO'!$Q$35)</f>
        <v>3.8317258230452675</v>
      </c>
      <c r="CY26" s="84">
        <f t="shared" si="4"/>
        <v>10.319026666666666</v>
      </c>
      <c r="CZ26" s="84">
        <f>IF(CS26&lt;'Dane dla CWU'!$R$67,0,IF(CX26&gt;1,CY26,CX26*CY26))</f>
        <v>10.319026666666666</v>
      </c>
      <c r="DA26" s="84">
        <f t="shared" si="27"/>
        <v>0</v>
      </c>
      <c r="DC26">
        <v>24</v>
      </c>
      <c r="DD26">
        <v>2</v>
      </c>
      <c r="DE26" s="84">
        <f>(DD26*'Dane dla CO'!$T$53+'Dane dla CO'!$V$53)/(DD26*'Dane dla CO'!$P$35+'Dane dla CO'!$Q$35)</f>
        <v>2.4681045227920229</v>
      </c>
      <c r="DF26" s="84">
        <f>DD26*'Dane dla CO'!$N$96+'Dane dla CO'!$N$97</f>
        <v>100.80000000000001</v>
      </c>
      <c r="DG26" s="84">
        <f>IF(DD26&lt;'Dane dla CO'!$R$67,0,IF(DE26&gt;1,DF26,DE26*DF26))</f>
        <v>100.80000000000001</v>
      </c>
      <c r="DH26" s="84">
        <f t="shared" si="28"/>
        <v>0</v>
      </c>
      <c r="DI26" s="84">
        <f>(DD26*'Dane dla CWU'!$T$53+'Dane dla CWU'!$V$53)/(DD26*'Dane dla CO'!$P$35+'Dane dla CO'!$Q$35)</f>
        <v>2.4470708689458691</v>
      </c>
      <c r="DJ26" s="84">
        <f t="shared" si="7"/>
        <v>10.319026666666666</v>
      </c>
      <c r="DK26" s="84">
        <f>IF(DD26&lt;'Dane dla CWU'!$R$67,0,IF(DI26&gt;1,DJ26,DI26*DJ26))</f>
        <v>0</v>
      </c>
      <c r="DL26" s="84">
        <f t="shared" si="29"/>
        <v>10.319026666666666</v>
      </c>
      <c r="DM26" s="49">
        <v>-5</v>
      </c>
      <c r="DN26" s="94">
        <f>DO26*'Dane dla CO'!$N$80</f>
        <v>493.71428571428578</v>
      </c>
      <c r="DO26" s="94">
        <f>(15-DS26)/35*'Dane dla CO'!$N$75</f>
        <v>4.32</v>
      </c>
      <c r="DP26" s="94">
        <f t="shared" si="37"/>
        <v>70.530612244897966</v>
      </c>
      <c r="DQ26" s="51">
        <v>-5</v>
      </c>
      <c r="DR26" s="115">
        <v>7</v>
      </c>
      <c r="DS26" s="115">
        <v>1</v>
      </c>
      <c r="DT26" s="89">
        <f>Wykresy!Y24</f>
        <v>42.4</v>
      </c>
      <c r="DU26" s="90">
        <f>Wykresy!AE24</f>
        <v>27.3</v>
      </c>
      <c r="DV26" s="92">
        <f>(($DV$27-$DV$18)/9)*8+$DV$18</f>
        <v>7.0183333333333326</v>
      </c>
      <c r="DW26" s="92">
        <f>(($DW$27-$DW$18)/9)*8+$DW$18</f>
        <v>2.6083333333333334</v>
      </c>
      <c r="DX26" s="92">
        <f t="shared" si="44"/>
        <v>2.69073482428115</v>
      </c>
      <c r="DY26" s="86">
        <f>(($DY$27-$DY$18)/9)*8+$DY$18</f>
        <v>8.2222222222222214</v>
      </c>
      <c r="DZ26" s="86">
        <f>(($DZ$27-$DZ$18)/9)*8+$DZ$18</f>
        <v>2.1222222222222222</v>
      </c>
      <c r="EA26" s="96">
        <f t="shared" si="45"/>
        <v>3.8743455497382193</v>
      </c>
      <c r="EB26" s="85">
        <f t="shared" si="49"/>
        <v>7</v>
      </c>
      <c r="EC26" s="85">
        <f t="shared" si="43"/>
        <v>8.3711750088746886E-2</v>
      </c>
      <c r="ED26" s="85">
        <f>(SUM(EC26:$EC$40))*$DT$42/(SUM(EB26:$EB$40))</f>
        <v>4.2156817348904312</v>
      </c>
      <c r="EE26" s="86">
        <f t="shared" si="50"/>
        <v>7</v>
      </c>
      <c r="EF26" s="86">
        <f t="shared" si="46"/>
        <v>0.1205351948807446</v>
      </c>
      <c r="EG26" s="86">
        <f>(SUM(EF26:$EF$40))*$DT$42/(SUM(EE26:$EE$40))</f>
        <v>5.2961962646502068</v>
      </c>
      <c r="EI26" s="115">
        <v>7</v>
      </c>
      <c r="EJ26" s="115">
        <f t="shared" si="40"/>
        <v>68</v>
      </c>
      <c r="EK26" s="115">
        <v>1</v>
      </c>
      <c r="EL26" s="89">
        <v>55</v>
      </c>
      <c r="EM26" s="92">
        <f t="shared" si="57"/>
        <v>6.3777777777777791</v>
      </c>
      <c r="EN26" s="92">
        <f t="shared" si="58"/>
        <v>3.0222222222222221</v>
      </c>
      <c r="EO26" s="92">
        <f t="shared" si="47"/>
        <v>2.1102941176470593</v>
      </c>
      <c r="EP26" s="85">
        <f t="shared" si="53"/>
        <v>7</v>
      </c>
      <c r="EQ26" s="85">
        <f t="shared" si="48"/>
        <v>6.5653594771241844E-2</v>
      </c>
      <c r="ER26" s="85">
        <f>(SUM(EQ26:$EQ$53))*$EL$54/(SUM(EP26:$EP$53))</f>
        <v>4.7265606001467395</v>
      </c>
    </row>
    <row r="27" spans="1:165">
      <c r="A27" s="162"/>
      <c r="B27">
        <v>25</v>
      </c>
      <c r="C27">
        <v>0</v>
      </c>
      <c r="D27" s="84">
        <f>(C27*'Dane dla CO'!$T$53+'Dane dla CO'!$V$53)/(C27*'Dane dla CO'!$P$35+'Dane dla CO'!$Q$35)</f>
        <v>2.0652970679012341</v>
      </c>
      <c r="E27" s="84">
        <f>C27*'Dane dla CO'!$N$96+'Dane dla CO'!$N$97</f>
        <v>115.20000000000002</v>
      </c>
      <c r="F27" s="84">
        <f>IF(C27&lt;'Dane dla CO'!$R$67,0,IF(D27&gt;1,E27,D27*E27))</f>
        <v>115.20000000000002</v>
      </c>
      <c r="G27" s="84">
        <f t="shared" si="9"/>
        <v>0</v>
      </c>
      <c r="H27" s="84">
        <f>(C27*'Dane dla CWU'!$AB$53+'Dane dla CWU'!$AD$53)/(C27*'Dane dla CO'!$P$35+'Dane dla CO'!$Q$35)</f>
        <v>1.0394375857338818</v>
      </c>
      <c r="I27" s="84">
        <f t="shared" si="10"/>
        <v>10.319026666666666</v>
      </c>
      <c r="J27" s="84">
        <f>IF(C27&lt;'Dane dla CWU'!$R$67,0,IF(H27&gt;1,I27,H27*I27))</f>
        <v>0</v>
      </c>
      <c r="K27" s="84">
        <f t="shared" si="11"/>
        <v>10.319026666666666</v>
      </c>
      <c r="M27">
        <v>25</v>
      </c>
      <c r="N27">
        <v>6</v>
      </c>
      <c r="O27" s="84">
        <f>(N27*'Dane dla CO'!$T$53+'Dane dla CO'!$V$53)/(N27*'Dane dla CO'!$P$35+'Dane dla CO'!$Q$35)</f>
        <v>3.8107960390946491</v>
      </c>
      <c r="P27" s="84">
        <f>N27*'Dane dla CO'!$N$96+'Dane dla CO'!$N$97</f>
        <v>72.000000000000014</v>
      </c>
      <c r="Q27" s="84">
        <f>IF(N27&lt;'Dane dla CO'!$R$67,0,IF(O27&gt;1,P27,O27*P27))</f>
        <v>72.000000000000014</v>
      </c>
      <c r="R27" s="84">
        <f t="shared" si="12"/>
        <v>0</v>
      </c>
      <c r="S27" s="84">
        <f>(N27*'Dane dla CWU'!$T$53+'Dane dla CWU'!$V$53)/(N27*'Dane dla CO'!$P$35+'Dane dla CO'!$Q$35)</f>
        <v>3.8317258230452675</v>
      </c>
      <c r="T27" s="84">
        <f t="shared" si="13"/>
        <v>10.319026666666666</v>
      </c>
      <c r="U27" s="84">
        <f>IF(N27&lt;'Dane dla CWU'!$R$67,0,IF(S27&gt;1,T27,S27*T27))</f>
        <v>10.319026666666666</v>
      </c>
      <c r="V27" s="84">
        <f t="shared" si="14"/>
        <v>0</v>
      </c>
      <c r="X27">
        <v>25</v>
      </c>
      <c r="Y27">
        <v>10</v>
      </c>
      <c r="Z27" s="84">
        <f>(Y27*'Dane dla CO'!$T$53+'Dane dla CO'!$V$53)/(Y27*'Dane dla CO'!$P$35+'Dane dla CO'!$Q$35)</f>
        <v>7.3017939814814818</v>
      </c>
      <c r="AA27" s="84">
        <f>Y27*'Dane dla CO'!$N$96+'Dane dla CO'!$N$97</f>
        <v>43.2</v>
      </c>
      <c r="AB27" s="84">
        <f>IF(Y27&lt;'Dane dla CO'!$R$67,0,IF(Z27&gt;1,AA27,Z27*AA27))</f>
        <v>43.2</v>
      </c>
      <c r="AC27" s="84">
        <f t="shared" si="15"/>
        <v>0</v>
      </c>
      <c r="AD27" s="84">
        <f>(Y27*'Dane dla CWU'!$T$53+'Dane dla CWU'!$V$53)/(Y27*'Dane dla CO'!$P$35+'Dane dla CO'!$Q$35)</f>
        <v>7.4318287037037045</v>
      </c>
      <c r="AE27" s="84">
        <f t="shared" si="16"/>
        <v>10.319026666666666</v>
      </c>
      <c r="AF27" s="84">
        <f>IF(Y27&lt;'Dane dla CWU'!$R$67,0,IF(AD27&gt;1,AE27,AD27*AE27))</f>
        <v>10.319026666666666</v>
      </c>
      <c r="AG27" s="84">
        <f t="shared" si="17"/>
        <v>0</v>
      </c>
      <c r="AI27">
        <v>25</v>
      </c>
      <c r="AJ27">
        <v>14</v>
      </c>
      <c r="AK27" s="84">
        <f>(AJ27*'Dane dla CO'!$T$53+'Dane dla CO'!$V$53)/(AJ27*'Dane dla CO'!$P$35+'Dane dla CO'!$Q$35)</f>
        <v>38.720775462962941</v>
      </c>
      <c r="AL27" s="84">
        <f>AJ27*'Dane dla CO'!$N$96+'Dane dla CO'!$N$97</f>
        <v>14.400000000000006</v>
      </c>
      <c r="AM27" s="84">
        <f>IF(AJ27&lt;'Dane dla CO'!$R$67,0,IF(AK27&gt;1,AL27,AK27*AL27))</f>
        <v>14.400000000000006</v>
      </c>
      <c r="AN27" s="84">
        <f t="shared" si="18"/>
        <v>0</v>
      </c>
      <c r="AO27" s="84">
        <f>(AJ27*'Dane dla CWU'!$T$53+'Dane dla CWU'!$V$53)/(AJ27*'Dane dla CO'!$P$35+'Dane dla CO'!$Q$35)</f>
        <v>39.832754629629619</v>
      </c>
      <c r="AP27" s="84">
        <f t="shared" si="19"/>
        <v>10.319026666666666</v>
      </c>
      <c r="AQ27" s="84">
        <f>IF(AJ27&lt;'Dane dla CWU'!$R$67,0,IF(AO27&gt;1,AP27,AO27*AP27))</f>
        <v>10.319026666666666</v>
      </c>
      <c r="AR27" s="84">
        <f t="shared" si="20"/>
        <v>0</v>
      </c>
      <c r="AT27">
        <v>25</v>
      </c>
      <c r="AU27">
        <v>16</v>
      </c>
      <c r="BA27">
        <v>25</v>
      </c>
      <c r="BB27">
        <v>19</v>
      </c>
      <c r="BH27">
        <v>25</v>
      </c>
      <c r="BI27">
        <v>19</v>
      </c>
      <c r="BO27">
        <v>25</v>
      </c>
      <c r="BP27">
        <v>22</v>
      </c>
      <c r="BV27">
        <v>25</v>
      </c>
      <c r="BX27" s="84"/>
      <c r="BY27" s="84"/>
      <c r="BZ27" s="84"/>
      <c r="CA27" s="84"/>
      <c r="CB27" s="84"/>
      <c r="CC27" s="84">
        <f t="shared" si="55"/>
        <v>10.319026666666666</v>
      </c>
      <c r="CD27" s="84">
        <f>IF(BW27&lt;'Dane dla CWU'!$R$67,0,IF(CB27&gt;1,CC27,CB27*CC27))</f>
        <v>0</v>
      </c>
      <c r="CE27" s="84">
        <f t="shared" si="56"/>
        <v>10.319026666666666</v>
      </c>
      <c r="CG27">
        <v>25</v>
      </c>
      <c r="CH27">
        <v>8</v>
      </c>
      <c r="CI27" s="84">
        <f>(CH27*'Dane dla CO'!$T$53+'Dane dla CO'!$V$53)/(CH27*'Dane dla CO'!$P$35+'Dane dla CO'!$Q$35)</f>
        <v>5.0575810185185182</v>
      </c>
      <c r="CJ27" s="84">
        <f>CH27*'Dane dla CO'!$N$96+'Dane dla CO'!$N$97</f>
        <v>57.600000000000009</v>
      </c>
      <c r="CK27" s="84">
        <f>IF(CH27&lt;'Dane dla CO'!$R$67,0,IF(CI27&gt;1,CJ27,CI27*CJ27))</f>
        <v>57.600000000000009</v>
      </c>
      <c r="CL27" s="84">
        <f t="shared" si="24"/>
        <v>0</v>
      </c>
      <c r="CM27" s="84">
        <f>(CH27*'Dane dla CWU'!$T$53+'Dane dla CWU'!$V$53)/(CH27*'Dane dla CO'!$P$35+'Dane dla CO'!$Q$35)</f>
        <v>5.1174768518518521</v>
      </c>
      <c r="CN27" s="84">
        <f t="shared" si="1"/>
        <v>10.319026666666666</v>
      </c>
      <c r="CO27" s="84">
        <f>IF(CH27&lt;'Dane dla CWU'!$R$67,0,IF(CM27&gt;1,CN27,CM27*CN27))</f>
        <v>10.319026666666666</v>
      </c>
      <c r="CP27" s="84">
        <f t="shared" si="25"/>
        <v>0</v>
      </c>
      <c r="CR27">
        <v>25</v>
      </c>
      <c r="CS27">
        <v>4</v>
      </c>
      <c r="CT27" s="84">
        <f>(CS27*'Dane dla CO'!$T$53+'Dane dla CO'!$V$53)/(CS27*'Dane dla CO'!$P$35+'Dane dla CO'!$Q$35)</f>
        <v>3.0173874158249157</v>
      </c>
      <c r="CU27" s="84">
        <f>CS27*'Dane dla CO'!$N$96+'Dane dla CO'!$N$97</f>
        <v>86.4</v>
      </c>
      <c r="CV27" s="84">
        <f>IF(CS27&lt;'Dane dla CO'!$R$67,0,IF(CT27&gt;1,CU27,CT27*CU27))</f>
        <v>86.4</v>
      </c>
      <c r="CW27" s="84">
        <f t="shared" si="26"/>
        <v>0</v>
      </c>
      <c r="CX27" s="84">
        <f>(CS27*'Dane dla CWU'!$T$53+'Dane dla CWU'!$V$53)/(CS27*'Dane dla CO'!$P$35+'Dane dla CO'!$Q$35)</f>
        <v>3.0135206228956233</v>
      </c>
      <c r="CY27" s="84">
        <f t="shared" si="4"/>
        <v>10.319026666666666</v>
      </c>
      <c r="CZ27" s="84">
        <f>IF(CS27&lt;'Dane dla CWU'!$R$67,0,IF(CX27&gt;1,CY27,CX27*CY27))</f>
        <v>10.319026666666666</v>
      </c>
      <c r="DA27" s="84">
        <f t="shared" si="27"/>
        <v>0</v>
      </c>
      <c r="DC27">
        <v>25</v>
      </c>
      <c r="DD27">
        <v>1</v>
      </c>
      <c r="DE27" s="84">
        <f>(DD27*'Dane dla CO'!$T$53+'Dane dla CO'!$V$53)/(DD27*'Dane dla CO'!$P$35+'Dane dla CO'!$Q$35)</f>
        <v>2.2523148148148144</v>
      </c>
      <c r="DF27" s="84">
        <f>DD27*'Dane dla CO'!$N$96+'Dane dla CO'!$N$97</f>
        <v>108.00000000000001</v>
      </c>
      <c r="DG27" s="84">
        <f>IF(DD27&lt;'Dane dla CO'!$R$67,0,IF(DE27&gt;1,DF27,DE27*DF27))</f>
        <v>108.00000000000001</v>
      </c>
      <c r="DH27" s="84">
        <f t="shared" si="28"/>
        <v>0</v>
      </c>
      <c r="DI27" s="84">
        <f>(DD27*'Dane dla CWU'!$T$53+'Dane dla CWU'!$V$53)/(DD27*'Dane dla CO'!$P$35+'Dane dla CO'!$Q$35)</f>
        <v>2.2245370370370372</v>
      </c>
      <c r="DJ27" s="84">
        <f t="shared" si="7"/>
        <v>10.319026666666666</v>
      </c>
      <c r="DK27" s="84">
        <f>IF(DD27&lt;'Dane dla CWU'!$R$67,0,IF(DI27&gt;1,DJ27,DI27*DJ27))</f>
        <v>0</v>
      </c>
      <c r="DL27" s="84">
        <f t="shared" si="29"/>
        <v>10.319026666666666</v>
      </c>
      <c r="DM27" s="49">
        <v>-4</v>
      </c>
      <c r="DN27" s="94">
        <f>DO27*'Dane dla CO'!$N$80</f>
        <v>458.4489795918368</v>
      </c>
      <c r="DO27" s="94">
        <f>(15-DS27)/35*'Dane dla CO'!$N$75</f>
        <v>4.0114285714285716</v>
      </c>
      <c r="DP27" s="94">
        <f t="shared" si="37"/>
        <v>35.265306122448983</v>
      </c>
      <c r="DQ27" s="51">
        <v>-4</v>
      </c>
      <c r="DR27" s="115">
        <v>13</v>
      </c>
      <c r="DS27" s="115">
        <v>2</v>
      </c>
      <c r="DT27" s="89">
        <f>Wykresy!Y25</f>
        <v>41.8</v>
      </c>
      <c r="DU27" s="90">
        <f>Wykresy!AE25</f>
        <v>26.933333333333334</v>
      </c>
      <c r="DV27" s="117">
        <v>6.85</v>
      </c>
      <c r="DW27" s="117">
        <v>2.46</v>
      </c>
      <c r="DX27" s="92">
        <f t="shared" si="44"/>
        <v>2.7845528455284554</v>
      </c>
      <c r="DY27" s="118">
        <v>8</v>
      </c>
      <c r="DZ27" s="118">
        <v>2</v>
      </c>
      <c r="EA27" s="96">
        <f t="shared" si="45"/>
        <v>4</v>
      </c>
      <c r="EB27" s="85">
        <f t="shared" si="49"/>
        <v>13</v>
      </c>
      <c r="EC27" s="85">
        <f t="shared" si="43"/>
        <v>0.16088527551942189</v>
      </c>
      <c r="ED27" s="85">
        <f>(SUM(EC27:$EC$40))*$DT$42/(SUM(EB27:$EB$40))</f>
        <v>4.2836729984207818</v>
      </c>
      <c r="EE27" s="86">
        <f t="shared" si="50"/>
        <v>13</v>
      </c>
      <c r="EF27" s="86">
        <f t="shared" si="46"/>
        <v>0.2311111111111111</v>
      </c>
      <c r="EG27" s="86">
        <f>(SUM(EF27:$EF$40))*$DT$42/(SUM(EE27:$EE$40))</f>
        <v>5.3595908825125242</v>
      </c>
      <c r="EI27" s="115">
        <v>13</v>
      </c>
      <c r="EJ27" s="115">
        <f t="shared" si="40"/>
        <v>81</v>
      </c>
      <c r="EK27" s="115">
        <v>2</v>
      </c>
      <c r="EL27" s="89">
        <v>55</v>
      </c>
      <c r="EM27" s="117">
        <v>6.18</v>
      </c>
      <c r="EN27" s="117">
        <v>2.9</v>
      </c>
      <c r="EO27" s="92">
        <f t="shared" si="47"/>
        <v>2.1310344827586207</v>
      </c>
      <c r="EP27" s="85">
        <f t="shared" si="53"/>
        <v>13</v>
      </c>
      <c r="EQ27" s="85">
        <f t="shared" si="48"/>
        <v>0.1231264367816092</v>
      </c>
      <c r="ER27" s="85">
        <f>(SUM(EQ27:$EQ$53))*$EL$54/(SUM(EP27:$EP$53))</f>
        <v>4.7569522394579904</v>
      </c>
      <c r="ES27">
        <f>(EM32-EM27)/5</f>
        <v>0.29199999999999998</v>
      </c>
      <c r="ET27">
        <f>(EN32-EN27)/5</f>
        <v>6.0000000000000496E-3</v>
      </c>
    </row>
    <row r="28" spans="1:165">
      <c r="A28" s="162"/>
      <c r="B28">
        <v>26</v>
      </c>
      <c r="C28">
        <v>-3</v>
      </c>
      <c r="D28" s="84">
        <f>(C28*'Dane dla CO'!$T$53+'Dane dla CO'!$V$53)/(C28*'Dane dla CO'!$P$35+'Dane dla CO'!$Q$35)</f>
        <v>1.6289223251028804</v>
      </c>
      <c r="E28" s="84">
        <f>C28*'Dane dla CO'!$N$96+'Dane dla CO'!$N$97</f>
        <v>136.80000000000001</v>
      </c>
      <c r="F28" s="84">
        <f>IF(C28&lt;'Dane dla CO'!$R$67,0,IF(D28&gt;1,E28,D28*E28))</f>
        <v>136.80000000000001</v>
      </c>
      <c r="G28" s="84">
        <f t="shared" si="9"/>
        <v>0</v>
      </c>
      <c r="H28" s="84">
        <f>(C28*'Dane dla CWU'!$AB$53+'Dane dla CWU'!$AD$53)/(C28*'Dane dla CO'!$P$35+'Dane dla CO'!$Q$35)</f>
        <v>0.78818015546410591</v>
      </c>
      <c r="I28" s="84">
        <f t="shared" si="10"/>
        <v>10.319026666666666</v>
      </c>
      <c r="J28" s="84">
        <f>IF(C28&lt;'Dane dla CWU'!$R$67,0,IF(H28&gt;1,I28,H28*I28))</f>
        <v>0</v>
      </c>
      <c r="K28" s="84">
        <f t="shared" si="11"/>
        <v>10.319026666666666</v>
      </c>
      <c r="M28">
        <v>26</v>
      </c>
      <c r="N28">
        <v>3</v>
      </c>
      <c r="O28" s="84">
        <f>(N28*'Dane dla CO'!$T$53+'Dane dla CO'!$V$53)/(N28*'Dane dla CO'!$P$35+'Dane dla CO'!$Q$35)</f>
        <v>2.719859182098765</v>
      </c>
      <c r="P28" s="84">
        <f>N28*'Dane dla CO'!$N$96+'Dane dla CO'!$N$97</f>
        <v>93.600000000000023</v>
      </c>
      <c r="Q28" s="84">
        <f>IF(N28&lt;'Dane dla CO'!$R$67,0,IF(O28&gt;1,P28,O28*P28))</f>
        <v>93.600000000000023</v>
      </c>
      <c r="R28" s="84">
        <f t="shared" si="12"/>
        <v>0</v>
      </c>
      <c r="S28" s="84">
        <f>(N28*'Dane dla CWU'!$T$53+'Dane dla CWU'!$V$53)/(N28*'Dane dla CO'!$P$35+'Dane dla CO'!$Q$35)</f>
        <v>2.7066936728395059</v>
      </c>
      <c r="T28" s="84">
        <f t="shared" si="13"/>
        <v>10.319026666666666</v>
      </c>
      <c r="U28" s="84">
        <f>IF(N28&lt;'Dane dla CWU'!$R$67,0,IF(S28&gt;1,T28,S28*T28))</f>
        <v>10.319026666666666</v>
      </c>
      <c r="V28" s="84">
        <f t="shared" si="14"/>
        <v>0</v>
      </c>
      <c r="X28">
        <v>26</v>
      </c>
      <c r="Y28">
        <v>6</v>
      </c>
      <c r="Z28" s="84">
        <f>(Y28*'Dane dla CO'!$T$53+'Dane dla CO'!$V$53)/(Y28*'Dane dla CO'!$P$35+'Dane dla CO'!$Q$35)</f>
        <v>3.8107960390946491</v>
      </c>
      <c r="AA28" s="84">
        <f>Y28*'Dane dla CO'!$N$96+'Dane dla CO'!$N$97</f>
        <v>72.000000000000014</v>
      </c>
      <c r="AB28" s="84">
        <f>IF(Y28&lt;'Dane dla CO'!$R$67,0,IF(Z28&gt;1,AA28,Z28*AA28))</f>
        <v>72.000000000000014</v>
      </c>
      <c r="AC28" s="84">
        <f t="shared" si="15"/>
        <v>0</v>
      </c>
      <c r="AD28" s="84">
        <f>(Y28*'Dane dla CWU'!$T$53+'Dane dla CWU'!$V$53)/(Y28*'Dane dla CO'!$P$35+'Dane dla CO'!$Q$35)</f>
        <v>3.8317258230452675</v>
      </c>
      <c r="AE28" s="84">
        <f t="shared" si="16"/>
        <v>10.319026666666666</v>
      </c>
      <c r="AF28" s="84">
        <f>IF(Y28&lt;'Dane dla CWU'!$R$67,0,IF(AD28&gt;1,AE28,AD28*AE28))</f>
        <v>10.319026666666666</v>
      </c>
      <c r="AG28" s="84">
        <f t="shared" si="17"/>
        <v>0</v>
      </c>
      <c r="AI28">
        <v>26</v>
      </c>
      <c r="AJ28">
        <v>14</v>
      </c>
      <c r="AK28" s="84">
        <f>(AJ28*'Dane dla CO'!$T$53+'Dane dla CO'!$V$53)/(AJ28*'Dane dla CO'!$P$35+'Dane dla CO'!$Q$35)</f>
        <v>38.720775462962941</v>
      </c>
      <c r="AL28" s="84">
        <f>AJ28*'Dane dla CO'!$N$96+'Dane dla CO'!$N$97</f>
        <v>14.400000000000006</v>
      </c>
      <c r="AM28" s="84">
        <f>IF(AJ28&lt;'Dane dla CO'!$R$67,0,IF(AK28&gt;1,AL28,AK28*AL28))</f>
        <v>14.400000000000006</v>
      </c>
      <c r="AN28" s="84">
        <f t="shared" si="18"/>
        <v>0</v>
      </c>
      <c r="AO28" s="84">
        <f>(AJ28*'Dane dla CWU'!$T$53+'Dane dla CWU'!$V$53)/(AJ28*'Dane dla CO'!$P$35+'Dane dla CO'!$Q$35)</f>
        <v>39.832754629629619</v>
      </c>
      <c r="AP28" s="84">
        <f t="shared" si="19"/>
        <v>10.319026666666666</v>
      </c>
      <c r="AQ28" s="84">
        <f>IF(AJ28&lt;'Dane dla CWU'!$R$67,0,IF(AO28&gt;1,AP28,AO28*AP28))</f>
        <v>10.319026666666666</v>
      </c>
      <c r="AR28" s="84">
        <f t="shared" si="20"/>
        <v>0</v>
      </c>
      <c r="AT28">
        <v>26</v>
      </c>
      <c r="AU28">
        <v>16</v>
      </c>
      <c r="BA28">
        <v>26</v>
      </c>
      <c r="BB28">
        <v>16</v>
      </c>
      <c r="BH28">
        <v>26</v>
      </c>
      <c r="BI28">
        <v>20</v>
      </c>
      <c r="BO28">
        <v>26</v>
      </c>
      <c r="BP28">
        <v>17</v>
      </c>
      <c r="BV28">
        <v>26</v>
      </c>
      <c r="BX28" s="84"/>
      <c r="BY28" s="84"/>
      <c r="BZ28" s="84"/>
      <c r="CA28" s="84"/>
      <c r="CB28" s="84"/>
      <c r="CC28" s="84">
        <f t="shared" si="55"/>
        <v>10.319026666666666</v>
      </c>
      <c r="CD28" s="84">
        <f>IF(BW28&lt;'Dane dla CWU'!$R$67,0,IF(CB28&gt;1,CC28,CB28*CC28))</f>
        <v>0</v>
      </c>
      <c r="CE28" s="84">
        <f t="shared" si="56"/>
        <v>10.319026666666666</v>
      </c>
      <c r="CG28">
        <v>26</v>
      </c>
      <c r="CH28">
        <v>6</v>
      </c>
      <c r="CI28" s="84">
        <f>(CH28*'Dane dla CO'!$T$53+'Dane dla CO'!$V$53)/(CH28*'Dane dla CO'!$P$35+'Dane dla CO'!$Q$35)</f>
        <v>3.8107960390946491</v>
      </c>
      <c r="CJ28" s="84">
        <f>CH28*'Dane dla CO'!$N$96+'Dane dla CO'!$N$97</f>
        <v>72.000000000000014</v>
      </c>
      <c r="CK28" s="84">
        <f>IF(CH28&lt;'Dane dla CO'!$R$67,0,IF(CI28&gt;1,CJ28,CI28*CJ28))</f>
        <v>72.000000000000014</v>
      </c>
      <c r="CL28" s="84">
        <f t="shared" si="24"/>
        <v>0</v>
      </c>
      <c r="CM28" s="84">
        <f>(CH28*'Dane dla CWU'!$T$53+'Dane dla CWU'!$V$53)/(CH28*'Dane dla CO'!$P$35+'Dane dla CO'!$Q$35)</f>
        <v>3.8317258230452675</v>
      </c>
      <c r="CN28" s="84">
        <f t="shared" si="1"/>
        <v>10.319026666666666</v>
      </c>
      <c r="CO28" s="84">
        <f>IF(CH28&lt;'Dane dla CWU'!$R$67,0,IF(CM28&gt;1,CN28,CM28*CN28))</f>
        <v>10.319026666666666</v>
      </c>
      <c r="CP28" s="84">
        <f t="shared" si="25"/>
        <v>0</v>
      </c>
      <c r="CR28">
        <v>26</v>
      </c>
      <c r="CS28">
        <v>4</v>
      </c>
      <c r="CT28" s="84">
        <f>(CS28*'Dane dla CO'!$T$53+'Dane dla CO'!$V$53)/(CS28*'Dane dla CO'!$P$35+'Dane dla CO'!$Q$35)</f>
        <v>3.0173874158249157</v>
      </c>
      <c r="CU28" s="84">
        <f>CS28*'Dane dla CO'!$N$96+'Dane dla CO'!$N$97</f>
        <v>86.4</v>
      </c>
      <c r="CV28" s="84">
        <f>IF(CS28&lt;'Dane dla CO'!$R$67,0,IF(CT28&gt;1,CU28,CT28*CU28))</f>
        <v>86.4</v>
      </c>
      <c r="CW28" s="84">
        <f t="shared" si="26"/>
        <v>0</v>
      </c>
      <c r="CX28" s="84">
        <f>(CS28*'Dane dla CWU'!$T$53+'Dane dla CWU'!$V$53)/(CS28*'Dane dla CO'!$P$35+'Dane dla CO'!$Q$35)</f>
        <v>3.0135206228956233</v>
      </c>
      <c r="CY28" s="84">
        <f t="shared" si="4"/>
        <v>10.319026666666666</v>
      </c>
      <c r="CZ28" s="84">
        <f>IF(CS28&lt;'Dane dla CWU'!$R$67,0,IF(CX28&gt;1,CY28,CX28*CY28))</f>
        <v>10.319026666666666</v>
      </c>
      <c r="DA28" s="84">
        <f t="shared" si="27"/>
        <v>0</v>
      </c>
      <c r="DC28">
        <v>26</v>
      </c>
      <c r="DD28">
        <v>3</v>
      </c>
      <c r="DE28" s="84">
        <f>(DD28*'Dane dla CO'!$T$53+'Dane dla CO'!$V$53)/(DD28*'Dane dla CO'!$P$35+'Dane dla CO'!$Q$35)</f>
        <v>2.719859182098765</v>
      </c>
      <c r="DF28" s="84">
        <f>DD28*'Dane dla CO'!$N$96+'Dane dla CO'!$N$97</f>
        <v>93.600000000000023</v>
      </c>
      <c r="DG28" s="84">
        <f>IF(DD28&lt;'Dane dla CO'!$R$67,0,IF(DE28&gt;1,DF28,DE28*DF28))</f>
        <v>93.600000000000023</v>
      </c>
      <c r="DH28" s="84">
        <f t="shared" si="28"/>
        <v>0</v>
      </c>
      <c r="DI28" s="84">
        <f>(DD28*'Dane dla CWU'!$T$53+'Dane dla CWU'!$V$53)/(DD28*'Dane dla CO'!$P$35+'Dane dla CO'!$Q$35)</f>
        <v>2.7066936728395059</v>
      </c>
      <c r="DJ28" s="84">
        <f t="shared" si="7"/>
        <v>10.319026666666666</v>
      </c>
      <c r="DK28" s="84">
        <f>IF(DD28&lt;'Dane dla CWU'!$R$67,0,IF(DI28&gt;1,DJ28,DI28*DJ28))</f>
        <v>10.319026666666666</v>
      </c>
      <c r="DL28" s="84">
        <f t="shared" si="29"/>
        <v>0</v>
      </c>
      <c r="DM28" s="49">
        <v>-4</v>
      </c>
      <c r="DN28" s="94">
        <f>DO28*'Dane dla CO'!$N$80</f>
        <v>423.18367346938783</v>
      </c>
      <c r="DO28" s="94">
        <f>(15-DS28)/35*'Dane dla CO'!$N$75</f>
        <v>3.7028571428571433</v>
      </c>
      <c r="DP28" s="94">
        <f t="shared" si="37"/>
        <v>28.212244897959188</v>
      </c>
      <c r="DQ28" s="51">
        <v>-4</v>
      </c>
      <c r="DR28" s="115">
        <v>15</v>
      </c>
      <c r="DS28" s="115">
        <v>3</v>
      </c>
      <c r="DT28" s="89">
        <f>Wykresy!Y26</f>
        <v>41.2</v>
      </c>
      <c r="DU28" s="90">
        <f>Wykresy!AE26</f>
        <v>26.566666666666666</v>
      </c>
      <c r="DV28" s="92">
        <f>(($DV$32-$DV$27)/5)*1+$DV$27</f>
        <v>7.375</v>
      </c>
      <c r="DW28" s="92">
        <f>(($DW$32-$DW$27)/5)*1+$DW$27</f>
        <v>2.4159999999999999</v>
      </c>
      <c r="DX28" s="92">
        <f t="shared" si="44"/>
        <v>3.0525662251655632</v>
      </c>
      <c r="DY28" s="86">
        <f>(($DY$32-$DY$27)/5)*2+$DY$27</f>
        <v>9.1999999999999993</v>
      </c>
      <c r="DZ28" s="86">
        <f>(($DZ$32-$DZ$27)/5)*1+$DZ$27</f>
        <v>2</v>
      </c>
      <c r="EA28" s="96">
        <f t="shared" si="45"/>
        <v>4.5999999999999996</v>
      </c>
      <c r="EB28" s="85">
        <f t="shared" si="49"/>
        <v>15</v>
      </c>
      <c r="EC28" s="85">
        <f t="shared" si="43"/>
        <v>0.20350441501103755</v>
      </c>
      <c r="ED28" s="85">
        <f>(SUM(EC28:$EC$40))*$DT$42/(SUM(EB28:$EB$40))</f>
        <v>4.4190102344457829</v>
      </c>
      <c r="EE28" s="86">
        <f t="shared" si="50"/>
        <v>15</v>
      </c>
      <c r="EF28" s="86">
        <f t="shared" si="46"/>
        <v>0.30666666666666664</v>
      </c>
      <c r="EG28" s="86">
        <f>(SUM(EF28:$EF$40))*$DT$42/(SUM(EE28:$EE$40))</f>
        <v>5.4823317260726832</v>
      </c>
      <c r="EI28" s="115">
        <v>15</v>
      </c>
      <c r="EJ28" s="115">
        <f t="shared" si="40"/>
        <v>96</v>
      </c>
      <c r="EK28" s="115">
        <v>3</v>
      </c>
      <c r="EL28" s="89">
        <v>55</v>
      </c>
      <c r="EM28" s="92">
        <f>EM27+$ES$27</f>
        <v>6.4719999999999995</v>
      </c>
      <c r="EN28" s="92">
        <f>EN27+$ET$27</f>
        <v>2.9060000000000001</v>
      </c>
      <c r="EO28" s="92">
        <f t="shared" si="47"/>
        <v>2.2271163110805228</v>
      </c>
      <c r="EP28" s="85">
        <f t="shared" si="53"/>
        <v>15</v>
      </c>
      <c r="EQ28" s="85">
        <f t="shared" si="48"/>
        <v>0.14847442073870151</v>
      </c>
      <c r="ER28" s="85">
        <f>(SUM(EQ28:$EQ$53))*$EL$54/(SUM(EP28:$EP$53))</f>
        <v>4.8158157596365347</v>
      </c>
    </row>
    <row r="29" spans="1:165">
      <c r="A29" s="162"/>
      <c r="B29">
        <v>27</v>
      </c>
      <c r="C29">
        <v>-10</v>
      </c>
      <c r="D29" s="84">
        <f>(C29*'Dane dla CO'!$T$53+'Dane dla CO'!$V$53)/(C29*'Dane dla CO'!$P$35+'Dane dla CO'!$Q$35)</f>
        <v>1.0179976851851849</v>
      </c>
      <c r="E29" s="84">
        <f>C29*'Dane dla CO'!$N$96+'Dane dla CO'!$N$97</f>
        <v>187.20000000000005</v>
      </c>
      <c r="F29" s="84">
        <f>IF(C29&lt;'Dane dla CO'!$R$67,0,IF(D29&gt;1,E29,D29*E29))</f>
        <v>0</v>
      </c>
      <c r="G29" s="84">
        <f t="shared" si="9"/>
        <v>187.20000000000005</v>
      </c>
      <c r="H29" s="84">
        <f>(C29*'Dane dla CWU'!$AB$53+'Dane dla CWU'!$AD$53)/(C29*'Dane dla CO'!$P$35+'Dane dla CO'!$Q$35)</f>
        <v>0.43641975308641973</v>
      </c>
      <c r="I29" s="84">
        <f t="shared" si="10"/>
        <v>10.319026666666666</v>
      </c>
      <c r="J29" s="84">
        <f>IF(C29&lt;'Dane dla CWU'!$R$67,0,IF(H29&gt;1,I29,H29*I29))</f>
        <v>0</v>
      </c>
      <c r="K29" s="84">
        <f t="shared" si="11"/>
        <v>10.319026666666666</v>
      </c>
      <c r="M29">
        <v>27</v>
      </c>
      <c r="N29">
        <v>0</v>
      </c>
      <c r="O29" s="84">
        <f>(N29*'Dane dla CO'!$T$53+'Dane dla CO'!$V$53)/(N29*'Dane dla CO'!$P$35+'Dane dla CO'!$Q$35)</f>
        <v>2.0652970679012341</v>
      </c>
      <c r="P29" s="84">
        <f>N29*'Dane dla CO'!$N$96+'Dane dla CO'!$N$97</f>
        <v>115.20000000000002</v>
      </c>
      <c r="Q29" s="84">
        <f>IF(N29&lt;'Dane dla CO'!$R$67,0,IF(O29&gt;1,P29,O29*P29))</f>
        <v>115.20000000000002</v>
      </c>
      <c r="R29" s="84">
        <f t="shared" si="12"/>
        <v>0</v>
      </c>
      <c r="S29" s="84">
        <f>(N29*'Dane dla CWU'!$T$53+'Dane dla CWU'!$V$53)/(N29*'Dane dla CO'!$P$35+'Dane dla CO'!$Q$35)</f>
        <v>2.0316743827160493</v>
      </c>
      <c r="T29" s="84">
        <f t="shared" si="13"/>
        <v>10.319026666666666</v>
      </c>
      <c r="U29" s="84">
        <f>IF(N29&lt;'Dane dla CWU'!$R$67,0,IF(S29&gt;1,T29,S29*T29))</f>
        <v>0</v>
      </c>
      <c r="V29" s="84">
        <f t="shared" si="14"/>
        <v>10.319026666666666</v>
      </c>
      <c r="X29">
        <v>27</v>
      </c>
      <c r="Y29">
        <v>9</v>
      </c>
      <c r="Z29" s="84">
        <f>(Y29*'Dane dla CO'!$T$53+'Dane dla CO'!$V$53)/(Y29*'Dane dla CO'!$P$35+'Dane dla CO'!$Q$35)</f>
        <v>5.9926697530864192</v>
      </c>
      <c r="AA29" s="84">
        <f>Y29*'Dane dla CO'!$N$96+'Dane dla CO'!$N$97</f>
        <v>50.400000000000006</v>
      </c>
      <c r="AB29" s="84">
        <f>IF(Y29&lt;'Dane dla CO'!$R$67,0,IF(Z29&gt;1,AA29,Z29*AA29))</f>
        <v>50.400000000000006</v>
      </c>
      <c r="AC29" s="84">
        <f t="shared" si="15"/>
        <v>0</v>
      </c>
      <c r="AD29" s="84">
        <f>(Y29*'Dane dla CWU'!$T$53+'Dane dla CWU'!$V$53)/(Y29*'Dane dla CO'!$P$35+'Dane dla CO'!$Q$35)</f>
        <v>6.0817901234567913</v>
      </c>
      <c r="AE29" s="84">
        <f t="shared" si="16"/>
        <v>10.319026666666666</v>
      </c>
      <c r="AF29" s="84">
        <f>IF(Y29&lt;'Dane dla CWU'!$R$67,0,IF(AD29&gt;1,AE29,AD29*AE29))</f>
        <v>10.319026666666666</v>
      </c>
      <c r="AG29" s="84">
        <f t="shared" si="17"/>
        <v>0</v>
      </c>
      <c r="AI29">
        <v>27</v>
      </c>
      <c r="AJ29">
        <v>17</v>
      </c>
      <c r="AO29" s="84"/>
      <c r="AP29" s="84">
        <f t="shared" ref="AP29:AP32" si="59">$E$42/365</f>
        <v>10.319026666666666</v>
      </c>
      <c r="AQ29" s="84">
        <f>AP29</f>
        <v>10.319026666666666</v>
      </c>
      <c r="AR29" s="84">
        <f t="shared" ref="AR29:AR32" si="60">AP29-AQ29</f>
        <v>0</v>
      </c>
      <c r="AT29">
        <v>27</v>
      </c>
      <c r="AU29">
        <v>15</v>
      </c>
      <c r="BA29">
        <v>27</v>
      </c>
      <c r="BB29">
        <v>18</v>
      </c>
      <c r="BH29">
        <v>27</v>
      </c>
      <c r="BI29">
        <v>23</v>
      </c>
      <c r="BO29">
        <v>27</v>
      </c>
      <c r="BP29">
        <v>17</v>
      </c>
      <c r="BV29">
        <v>27</v>
      </c>
      <c r="BX29" s="84"/>
      <c r="BY29" s="84"/>
      <c r="BZ29" s="84"/>
      <c r="CA29" s="84"/>
      <c r="CB29" s="84"/>
      <c r="CC29" s="84">
        <f t="shared" si="55"/>
        <v>10.319026666666666</v>
      </c>
      <c r="CD29" s="84">
        <f>IF(BW29&lt;'Dane dla CWU'!$R$67,0,IF(CB29&gt;1,CC29,CB29*CC29))</f>
        <v>0</v>
      </c>
      <c r="CE29" s="84">
        <f t="shared" si="56"/>
        <v>10.319026666666666</v>
      </c>
      <c r="CG29">
        <v>27</v>
      </c>
      <c r="CH29">
        <v>4</v>
      </c>
      <c r="CI29" s="84">
        <f>(CH29*'Dane dla CO'!$T$53+'Dane dla CO'!$V$53)/(CH29*'Dane dla CO'!$P$35+'Dane dla CO'!$Q$35)</f>
        <v>3.0173874158249157</v>
      </c>
      <c r="CJ29" s="84">
        <f>CH29*'Dane dla CO'!$N$96+'Dane dla CO'!$N$97</f>
        <v>86.4</v>
      </c>
      <c r="CK29" s="84">
        <f>IF(CH29&lt;'Dane dla CO'!$R$67,0,IF(CI29&gt;1,CJ29,CI29*CJ29))</f>
        <v>86.4</v>
      </c>
      <c r="CL29" s="84">
        <f t="shared" si="24"/>
        <v>0</v>
      </c>
      <c r="CM29" s="84">
        <f>(CH29*'Dane dla CWU'!$T$53+'Dane dla CWU'!$V$53)/(CH29*'Dane dla CO'!$P$35+'Dane dla CO'!$Q$35)</f>
        <v>3.0135206228956233</v>
      </c>
      <c r="CN29" s="84">
        <f t="shared" si="1"/>
        <v>10.319026666666666</v>
      </c>
      <c r="CO29" s="84">
        <f>IF(CH29&lt;'Dane dla CWU'!$R$67,0,IF(CM29&gt;1,CN29,CM29*CN29))</f>
        <v>10.319026666666666</v>
      </c>
      <c r="CP29" s="84">
        <f t="shared" si="25"/>
        <v>0</v>
      </c>
      <c r="CR29">
        <v>27</v>
      </c>
      <c r="CS29">
        <v>4</v>
      </c>
      <c r="CT29" s="84">
        <f>(CS29*'Dane dla CO'!$T$53+'Dane dla CO'!$V$53)/(CS29*'Dane dla CO'!$P$35+'Dane dla CO'!$Q$35)</f>
        <v>3.0173874158249157</v>
      </c>
      <c r="CU29" s="84">
        <f>CS29*'Dane dla CO'!$N$96+'Dane dla CO'!$N$97</f>
        <v>86.4</v>
      </c>
      <c r="CV29" s="84">
        <f>IF(CS29&lt;'Dane dla CO'!$R$67,0,IF(CT29&gt;1,CU29,CT29*CU29))</f>
        <v>86.4</v>
      </c>
      <c r="CW29" s="84">
        <f t="shared" si="26"/>
        <v>0</v>
      </c>
      <c r="CX29" s="84">
        <f>(CS29*'Dane dla CWU'!$T$53+'Dane dla CWU'!$V$53)/(CS29*'Dane dla CO'!$P$35+'Dane dla CO'!$Q$35)</f>
        <v>3.0135206228956233</v>
      </c>
      <c r="CY29" s="84">
        <f t="shared" si="4"/>
        <v>10.319026666666666</v>
      </c>
      <c r="CZ29" s="84">
        <f>IF(CS29&lt;'Dane dla CWU'!$R$67,0,IF(CX29&gt;1,CY29,CX29*CY29))</f>
        <v>10.319026666666666</v>
      </c>
      <c r="DA29" s="84">
        <f t="shared" si="27"/>
        <v>0</v>
      </c>
      <c r="DC29">
        <v>27</v>
      </c>
      <c r="DD29">
        <v>5</v>
      </c>
      <c r="DE29" s="84">
        <f>(DD29*'Dane dla CO'!$T$53+'Dane dla CO'!$V$53)/(DD29*'Dane dla CO'!$P$35+'Dane dla CO'!$Q$35)</f>
        <v>3.3744212962962958</v>
      </c>
      <c r="DF29" s="84">
        <f>DD29*'Dane dla CO'!$N$96+'Dane dla CO'!$N$97</f>
        <v>79.200000000000017</v>
      </c>
      <c r="DG29" s="84">
        <f>IF(DD29&lt;'Dane dla CO'!$R$67,0,IF(DE29&gt;1,DF29,DE29*DF29))</f>
        <v>79.200000000000017</v>
      </c>
      <c r="DH29" s="84">
        <f t="shared" si="28"/>
        <v>0</v>
      </c>
      <c r="DI29" s="84">
        <f>(DD29*'Dane dla CWU'!$T$53+'Dane dla CWU'!$V$53)/(DD29*'Dane dla CO'!$P$35+'Dane dla CO'!$Q$35)</f>
        <v>3.381712962962963</v>
      </c>
      <c r="DJ29" s="84">
        <f t="shared" si="7"/>
        <v>10.319026666666666</v>
      </c>
      <c r="DK29" s="84">
        <f>IF(DD29&lt;'Dane dla CWU'!$R$67,0,IF(DI29&gt;1,DJ29,DI29*DJ29))</f>
        <v>10.319026666666666</v>
      </c>
      <c r="DL29" s="84">
        <f t="shared" si="29"/>
        <v>0</v>
      </c>
      <c r="DM29" s="49">
        <v>-4</v>
      </c>
      <c r="DN29" s="94">
        <f>DO29*'Dane dla CO'!$N$80</f>
        <v>387.91836734693885</v>
      </c>
      <c r="DO29" s="94">
        <f>(15-DS29)/35*'Dane dla CO'!$N$75</f>
        <v>3.3942857142857146</v>
      </c>
      <c r="DP29" s="94">
        <f t="shared" si="37"/>
        <v>29.83987441130299</v>
      </c>
      <c r="DQ29" s="51">
        <v>-4</v>
      </c>
      <c r="DR29" s="115">
        <v>13</v>
      </c>
      <c r="DS29" s="115">
        <v>4</v>
      </c>
      <c r="DT29" s="89">
        <f>Wykresy!Y27</f>
        <v>40.6</v>
      </c>
      <c r="DU29" s="90">
        <f>Wykresy!AE27</f>
        <v>26.200000000000003</v>
      </c>
      <c r="DV29" s="92">
        <f>(($DV$32-$DV$27)/5)*2+$DV$27</f>
        <v>7.8999999999999995</v>
      </c>
      <c r="DW29" s="92">
        <f>(($DW$32-$DW$27)/5)*2+$DW$27</f>
        <v>2.3719999999999999</v>
      </c>
      <c r="DX29" s="92">
        <f t="shared" si="44"/>
        <v>3.3305227655986509</v>
      </c>
      <c r="DY29" s="86">
        <f>(($DY$32-$DY$27)/5)*3+$DY$27</f>
        <v>9.8000000000000007</v>
      </c>
      <c r="DZ29" s="86">
        <f>(($DZ$32-$DZ$27)/5)*2+$DZ$27</f>
        <v>2</v>
      </c>
      <c r="EA29" s="96">
        <f t="shared" si="45"/>
        <v>4.9000000000000004</v>
      </c>
      <c r="EB29" s="85">
        <f t="shared" si="49"/>
        <v>13</v>
      </c>
      <c r="EC29" s="85">
        <f t="shared" si="43"/>
        <v>0.1924302042345887</v>
      </c>
      <c r="ED29" s="85">
        <f>(SUM(EC29:$EC$40))*$DT$42/(SUM(EB29:$EB$40))</f>
        <v>4.57789907273418</v>
      </c>
      <c r="EE29" s="86">
        <f t="shared" si="50"/>
        <v>13</v>
      </c>
      <c r="EF29" s="86">
        <f t="shared" si="46"/>
        <v>0.28311111111111115</v>
      </c>
      <c r="EG29" s="86">
        <f>(SUM(EF29:$EF$40))*$DT$42/(SUM(EE29:$EE$40))</f>
        <v>5.5849284384067168</v>
      </c>
      <c r="EI29" s="115">
        <v>13</v>
      </c>
      <c r="EJ29" s="115">
        <f t="shared" si="40"/>
        <v>109</v>
      </c>
      <c r="EK29" s="115">
        <v>4</v>
      </c>
      <c r="EL29" s="89">
        <v>55</v>
      </c>
      <c r="EM29" s="92">
        <f>EM28+$ES$27</f>
        <v>6.7639999999999993</v>
      </c>
      <c r="EN29" s="92">
        <f>EN28+$ET$27</f>
        <v>2.9120000000000004</v>
      </c>
      <c r="EO29" s="92">
        <f t="shared" si="47"/>
        <v>2.3228021978021971</v>
      </c>
      <c r="EP29" s="85">
        <f t="shared" si="53"/>
        <v>13</v>
      </c>
      <c r="EQ29" s="85">
        <f t="shared" si="48"/>
        <v>0.13420634920634916</v>
      </c>
      <c r="ER29" s="85">
        <f>(SUM(EQ29:$EQ$53))*$EL$54/(SUM(EP29:$EP$53))</f>
        <v>4.8820957537261016</v>
      </c>
    </row>
    <row r="30" spans="1:165">
      <c r="A30" s="162"/>
      <c r="B30">
        <v>28</v>
      </c>
      <c r="C30">
        <v>-10</v>
      </c>
      <c r="D30" s="84">
        <f>(C30*'Dane dla CO'!$T$53+'Dane dla CO'!$V$53)/(C30*'Dane dla CO'!$P$35+'Dane dla CO'!$Q$35)</f>
        <v>1.0179976851851849</v>
      </c>
      <c r="E30" s="84">
        <f>C30*'Dane dla CO'!$N$96+'Dane dla CO'!$N$97</f>
        <v>187.20000000000005</v>
      </c>
      <c r="F30" s="84">
        <f>IF(C30&lt;'Dane dla CO'!$R$67,0,IF(D30&gt;1,E30,D30*E30))</f>
        <v>0</v>
      </c>
      <c r="G30" s="84">
        <f t="shared" si="9"/>
        <v>187.20000000000005</v>
      </c>
      <c r="H30" s="84">
        <f>(C30*'Dane dla CWU'!$AB$53+'Dane dla CWU'!$AD$53)/(C30*'Dane dla CO'!$P$35+'Dane dla CO'!$Q$35)</f>
        <v>0.43641975308641973</v>
      </c>
      <c r="I30" s="84">
        <f t="shared" si="10"/>
        <v>10.319026666666666</v>
      </c>
      <c r="J30" s="84">
        <f>IF(C30&lt;'Dane dla CWU'!$R$67,0,IF(H30&gt;1,I30,H30*I30))</f>
        <v>0</v>
      </c>
      <c r="K30" s="84">
        <f t="shared" si="11"/>
        <v>10.319026666666666</v>
      </c>
      <c r="M30">
        <v>28</v>
      </c>
      <c r="N30">
        <v>0</v>
      </c>
      <c r="O30" s="84">
        <f>(N30*'Dane dla CO'!$T$53+'Dane dla CO'!$V$53)/(N30*'Dane dla CO'!$P$35+'Dane dla CO'!$Q$35)</f>
        <v>2.0652970679012341</v>
      </c>
      <c r="P30" s="84">
        <f>N30*'Dane dla CO'!$N$96+'Dane dla CO'!$N$97</f>
        <v>115.20000000000002</v>
      </c>
      <c r="Q30" s="84">
        <f>IF(N30&lt;'Dane dla CO'!$R$67,0,IF(O30&gt;1,P30,O30*P30))</f>
        <v>115.20000000000002</v>
      </c>
      <c r="R30" s="84">
        <f t="shared" si="12"/>
        <v>0</v>
      </c>
      <c r="S30" s="84">
        <f>(N30*'Dane dla CWU'!$T$53+'Dane dla CWU'!$V$53)/(N30*'Dane dla CO'!$P$35+'Dane dla CO'!$Q$35)</f>
        <v>2.0316743827160493</v>
      </c>
      <c r="T30" s="84">
        <f t="shared" si="13"/>
        <v>10.319026666666666</v>
      </c>
      <c r="U30" s="84">
        <f>IF(N30&lt;'Dane dla CWU'!$R$67,0,IF(S30&gt;1,T30,S30*T30))</f>
        <v>0</v>
      </c>
      <c r="V30" s="84">
        <f t="shared" si="14"/>
        <v>10.319026666666666</v>
      </c>
      <c r="X30">
        <v>28</v>
      </c>
      <c r="Y30">
        <v>11</v>
      </c>
      <c r="Z30" s="84">
        <f>(Y30*'Dane dla CO'!$T$53+'Dane dla CO'!$V$53)/(Y30*'Dane dla CO'!$P$35+'Dane dla CO'!$Q$35)</f>
        <v>9.2654803240740726</v>
      </c>
      <c r="AA30" s="84">
        <f>Y30*'Dane dla CO'!$N$96+'Dane dla CO'!$N$97</f>
        <v>36</v>
      </c>
      <c r="AB30" s="84">
        <f>IF(Y30&lt;'Dane dla CO'!$R$67,0,IF(Z30&gt;1,AA30,Z30*AA30))</f>
        <v>36</v>
      </c>
      <c r="AC30" s="84">
        <f t="shared" si="15"/>
        <v>0</v>
      </c>
      <c r="AD30" s="84">
        <f>(Y30*'Dane dla CWU'!$T$53+'Dane dla CWU'!$V$53)/(Y30*'Dane dla CO'!$P$35+'Dane dla CO'!$Q$35)</f>
        <v>9.4568865740740744</v>
      </c>
      <c r="AE30" s="84">
        <f t="shared" si="16"/>
        <v>10.319026666666666</v>
      </c>
      <c r="AF30" s="84">
        <f>IF(Y30&lt;'Dane dla CWU'!$R$67,0,IF(AD30&gt;1,AE30,AD30*AE30))</f>
        <v>10.319026666666666</v>
      </c>
      <c r="AG30" s="84">
        <f t="shared" si="17"/>
        <v>0</v>
      </c>
      <c r="AI30">
        <v>28</v>
      </c>
      <c r="AJ30">
        <v>19</v>
      </c>
      <c r="AO30" s="84"/>
      <c r="AP30" s="84">
        <f t="shared" si="59"/>
        <v>10.319026666666666</v>
      </c>
      <c r="AQ30" s="84">
        <f t="shared" ref="AQ30:AQ32" si="61">AP30</f>
        <v>10.319026666666666</v>
      </c>
      <c r="AR30" s="84">
        <f t="shared" si="60"/>
        <v>0</v>
      </c>
      <c r="AT30">
        <v>28</v>
      </c>
      <c r="AU30">
        <v>16</v>
      </c>
      <c r="BA30">
        <v>28</v>
      </c>
      <c r="BB30">
        <v>18</v>
      </c>
      <c r="BH30">
        <v>28</v>
      </c>
      <c r="BI30">
        <v>25</v>
      </c>
      <c r="BO30">
        <v>28</v>
      </c>
      <c r="BP30">
        <v>14</v>
      </c>
      <c r="BV30">
        <v>28</v>
      </c>
      <c r="BW30">
        <v>14</v>
      </c>
      <c r="BX30" s="84">
        <f>(BW30*'Dane dla CO'!$T$53+'Dane dla CO'!$V$53)/(BW30*'Dane dla CO'!$P$35+'Dane dla CO'!$Q$35)</f>
        <v>38.720775462962941</v>
      </c>
      <c r="BY30" s="84">
        <f>BW30*'Dane dla CO'!$N$96+'Dane dla CO'!$N$97</f>
        <v>14.400000000000006</v>
      </c>
      <c r="BZ30" s="84">
        <f>IF(BW30&lt;'Dane dla CO'!$R$67,0,IF(BX30&gt;1,BY30,BX30*BY30))</f>
        <v>14.400000000000006</v>
      </c>
      <c r="CA30" s="84">
        <f t="shared" si="54"/>
        <v>0</v>
      </c>
      <c r="CB30" s="84">
        <f>(BW30*'Dane dla CWU'!$T$53+'Dane dla CWU'!$V$53)/(BW30*'Dane dla CO'!$P$35+'Dane dla CO'!$Q$35)</f>
        <v>39.832754629629619</v>
      </c>
      <c r="CC30" s="84">
        <f t="shared" si="55"/>
        <v>10.319026666666666</v>
      </c>
      <c r="CD30" s="84">
        <f>IF(BW30&lt;'Dane dla CWU'!$R$67,0,IF(CB30&gt;1,CC30,CB30*CC30))</f>
        <v>10.319026666666666</v>
      </c>
      <c r="CE30" s="84">
        <f t="shared" si="56"/>
        <v>0</v>
      </c>
      <c r="CG30">
        <v>28</v>
      </c>
      <c r="CH30">
        <v>0</v>
      </c>
      <c r="CI30" s="84">
        <f>(CH30*'Dane dla CO'!$T$53+'Dane dla CO'!$V$53)/(CH30*'Dane dla CO'!$P$35+'Dane dla CO'!$Q$35)</f>
        <v>2.0652970679012341</v>
      </c>
      <c r="CJ30" s="84">
        <f>CH30*'Dane dla CO'!$N$96+'Dane dla CO'!$N$97</f>
        <v>115.20000000000002</v>
      </c>
      <c r="CK30" s="84">
        <f>IF(CH30&lt;'Dane dla CO'!$R$67,0,IF(CI30&gt;1,CJ30,CI30*CJ30))</f>
        <v>115.20000000000002</v>
      </c>
      <c r="CL30" s="84">
        <f t="shared" si="24"/>
        <v>0</v>
      </c>
      <c r="CM30" s="84">
        <f>(CH30*'Dane dla CWU'!$T$53+'Dane dla CWU'!$V$53)/(CH30*'Dane dla CO'!$P$35+'Dane dla CO'!$Q$35)</f>
        <v>2.0316743827160493</v>
      </c>
      <c r="CN30" s="84">
        <f t="shared" si="1"/>
        <v>10.319026666666666</v>
      </c>
      <c r="CO30" s="84">
        <f>IF(CH30&lt;'Dane dla CWU'!$R$67,0,IF(CM30&gt;1,CN30,CM30*CN30))</f>
        <v>0</v>
      </c>
      <c r="CP30" s="84">
        <f t="shared" si="25"/>
        <v>10.319026666666666</v>
      </c>
      <c r="CR30">
        <v>28</v>
      </c>
      <c r="CS30">
        <v>6</v>
      </c>
      <c r="CT30" s="84">
        <f>(CS30*'Dane dla CO'!$T$53+'Dane dla CO'!$V$53)/(CS30*'Dane dla CO'!$P$35+'Dane dla CO'!$Q$35)</f>
        <v>3.8107960390946491</v>
      </c>
      <c r="CU30" s="84">
        <f>CS30*'Dane dla CO'!$N$96+'Dane dla CO'!$N$97</f>
        <v>72.000000000000014</v>
      </c>
      <c r="CV30" s="84">
        <f>IF(CS30&lt;'Dane dla CO'!$R$67,0,IF(CT30&gt;1,CU30,CT30*CU30))</f>
        <v>72.000000000000014</v>
      </c>
      <c r="CW30" s="84">
        <f t="shared" si="26"/>
        <v>0</v>
      </c>
      <c r="CX30" s="84">
        <f>(CS30*'Dane dla CWU'!$T$53+'Dane dla CWU'!$V$53)/(CS30*'Dane dla CO'!$P$35+'Dane dla CO'!$Q$35)</f>
        <v>3.8317258230452675</v>
      </c>
      <c r="CY30" s="84">
        <f t="shared" si="4"/>
        <v>10.319026666666666</v>
      </c>
      <c r="CZ30" s="84">
        <f>IF(CS30&lt;'Dane dla CWU'!$R$67,0,IF(CX30&gt;1,CY30,CX30*CY30))</f>
        <v>10.319026666666666</v>
      </c>
      <c r="DA30" s="84">
        <f t="shared" si="27"/>
        <v>0</v>
      </c>
      <c r="DC30">
        <v>28</v>
      </c>
      <c r="DD30">
        <v>1</v>
      </c>
      <c r="DE30" s="84">
        <f>(DD30*'Dane dla CO'!$T$53+'Dane dla CO'!$V$53)/(DD30*'Dane dla CO'!$P$35+'Dane dla CO'!$Q$35)</f>
        <v>2.2523148148148144</v>
      </c>
      <c r="DF30" s="84">
        <f>DD30*'Dane dla CO'!$N$96+'Dane dla CO'!$N$97</f>
        <v>108.00000000000001</v>
      </c>
      <c r="DG30" s="84">
        <f>IF(DD30&lt;'Dane dla CO'!$R$67,0,IF(DE30&gt;1,DF30,DE30*DF30))</f>
        <v>108.00000000000001</v>
      </c>
      <c r="DH30" s="84">
        <f t="shared" si="28"/>
        <v>0</v>
      </c>
      <c r="DI30" s="84">
        <f>(DD30*'Dane dla CWU'!$T$53+'Dane dla CWU'!$V$53)/(DD30*'Dane dla CO'!$P$35+'Dane dla CO'!$Q$35)</f>
        <v>2.2245370370370372</v>
      </c>
      <c r="DJ30" s="84">
        <f t="shared" si="7"/>
        <v>10.319026666666666</v>
      </c>
      <c r="DK30" s="84">
        <f>IF(DD30&lt;'Dane dla CWU'!$R$67,0,IF(DI30&gt;1,DJ30,DI30*DJ30))</f>
        <v>0</v>
      </c>
      <c r="DL30" s="84">
        <f t="shared" si="29"/>
        <v>10.319026666666666</v>
      </c>
      <c r="DM30" s="49">
        <v>-3</v>
      </c>
      <c r="DN30" s="94">
        <f>DO30*'Dane dla CO'!$N$80</f>
        <v>352.65306122448982</v>
      </c>
      <c r="DO30" s="94">
        <f>(15-DS30)/35*'Dane dla CO'!$N$75</f>
        <v>3.0857142857142859</v>
      </c>
      <c r="DP30" s="94">
        <f t="shared" si="37"/>
        <v>32.05936920222635</v>
      </c>
      <c r="DQ30" s="51">
        <v>-3</v>
      </c>
      <c r="DR30" s="115">
        <v>11</v>
      </c>
      <c r="DS30" s="115">
        <v>5</v>
      </c>
      <c r="DT30" s="89">
        <f>Wykresy!Y28</f>
        <v>40</v>
      </c>
      <c r="DU30" s="90">
        <f>Wykresy!AE28</f>
        <v>25.833333333333336</v>
      </c>
      <c r="DV30" s="92">
        <f>(($DV$32-$DV$27)/5)*3+$DV$27</f>
        <v>8.4250000000000007</v>
      </c>
      <c r="DW30" s="92">
        <f>(($DW$32-$DW$27)/5)*3+$DW$27</f>
        <v>2.3280000000000003</v>
      </c>
      <c r="DX30" s="92">
        <f t="shared" si="44"/>
        <v>3.6189862542955327</v>
      </c>
      <c r="DY30" s="86">
        <f>(($DY$32-$DY$27)/5)*4+$DY$27</f>
        <v>10.4</v>
      </c>
      <c r="DZ30" s="86">
        <f>(($DZ$32-$DZ$27)/5)*3+$DZ$27</f>
        <v>2</v>
      </c>
      <c r="EA30" s="96">
        <f t="shared" si="45"/>
        <v>5.2</v>
      </c>
      <c r="EB30" s="85">
        <f t="shared" si="49"/>
        <v>11</v>
      </c>
      <c r="EC30" s="85">
        <f t="shared" si="43"/>
        <v>0.17692821687667049</v>
      </c>
      <c r="ED30" s="85">
        <f>(SUM(EC30:$EC$40))*$DT$42/(SUM(EB30:$EB$40))</f>
        <v>4.7176912450855761</v>
      </c>
      <c r="EE30" s="86">
        <f t="shared" si="50"/>
        <v>11</v>
      </c>
      <c r="EF30" s="86">
        <f t="shared" si="46"/>
        <v>0.25422222222222224</v>
      </c>
      <c r="EG30" s="86">
        <f>(SUM(EF30:$EF$40))*$DT$42/(SUM(EE30:$EE$40))</f>
        <v>5.6616876599522978</v>
      </c>
      <c r="EI30" s="115">
        <v>11</v>
      </c>
      <c r="EJ30" s="115">
        <f t="shared" si="40"/>
        <v>120</v>
      </c>
      <c r="EK30" s="115">
        <v>5</v>
      </c>
      <c r="EL30" s="89">
        <v>55</v>
      </c>
      <c r="EM30" s="92">
        <f>EM29+$ES$27</f>
        <v>7.0559999999999992</v>
      </c>
      <c r="EN30" s="92">
        <f>EN29+$ET$27</f>
        <v>2.9180000000000006</v>
      </c>
      <c r="EO30" s="92">
        <f t="shared" si="47"/>
        <v>2.4180945853324185</v>
      </c>
      <c r="EP30" s="85">
        <f t="shared" si="53"/>
        <v>11</v>
      </c>
      <c r="EQ30" s="85">
        <f t="shared" si="48"/>
        <v>0.11821795750514047</v>
      </c>
      <c r="ER30" s="85">
        <f>(SUM(EQ30:$EQ$53))*$EL$54/(SUM(EP30:$EP$53))</f>
        <v>4.9379234618541776</v>
      </c>
    </row>
    <row r="31" spans="1:165">
      <c r="A31" s="162"/>
      <c r="B31">
        <v>29</v>
      </c>
      <c r="C31">
        <v>-10</v>
      </c>
      <c r="D31" s="84">
        <f>(C31*'Dane dla CO'!$T$53+'Dane dla CO'!$V$53)/(C31*'Dane dla CO'!$P$35+'Dane dla CO'!$Q$35)</f>
        <v>1.0179976851851849</v>
      </c>
      <c r="E31" s="84">
        <f>C31*'Dane dla CO'!$N$96+'Dane dla CO'!$N$97</f>
        <v>187.20000000000005</v>
      </c>
      <c r="F31" s="84">
        <f>IF(C31&lt;'Dane dla CO'!$R$67,0,IF(D31&gt;1,E31,D31*E31))</f>
        <v>0</v>
      </c>
      <c r="G31" s="84">
        <f t="shared" si="9"/>
        <v>187.20000000000005</v>
      </c>
      <c r="H31" s="84">
        <f>(C31*'Dane dla CWU'!$AB$53+'Dane dla CWU'!$AD$53)/(C31*'Dane dla CO'!$P$35+'Dane dla CO'!$Q$35)</f>
        <v>0.43641975308641973</v>
      </c>
      <c r="I31" s="84">
        <f t="shared" si="10"/>
        <v>10.319026666666666</v>
      </c>
      <c r="J31" s="84">
        <f>IF(C31&lt;'Dane dla CWU'!$R$67,0,IF(H31&gt;1,I31,H31*I31))</f>
        <v>0</v>
      </c>
      <c r="K31" s="84">
        <f t="shared" si="11"/>
        <v>10.319026666666666</v>
      </c>
      <c r="M31">
        <v>29</v>
      </c>
      <c r="N31">
        <v>6</v>
      </c>
      <c r="O31" s="84">
        <f>(N31*'Dane dla CO'!$T$53+'Dane dla CO'!$V$53)/(N31*'Dane dla CO'!$P$35+'Dane dla CO'!$Q$35)</f>
        <v>3.8107960390946491</v>
      </c>
      <c r="P31" s="84">
        <f>N31*'Dane dla CO'!$N$96+'Dane dla CO'!$N$97</f>
        <v>72.000000000000014</v>
      </c>
      <c r="Q31" s="84">
        <f>IF(N31&lt;'Dane dla CO'!$R$67,0,IF(O31&gt;1,P31,O31*P31))</f>
        <v>72.000000000000014</v>
      </c>
      <c r="R31" s="84">
        <f t="shared" si="12"/>
        <v>0</v>
      </c>
      <c r="S31" s="84">
        <f>(N31*'Dane dla CWU'!$T$53+'Dane dla CWU'!$V$53)/(N31*'Dane dla CO'!$P$35+'Dane dla CO'!$Q$35)</f>
        <v>3.8317258230452675</v>
      </c>
      <c r="T31" s="84">
        <f t="shared" si="13"/>
        <v>10.319026666666666</v>
      </c>
      <c r="U31" s="84">
        <f>IF(N31&lt;'Dane dla CWU'!$R$67,0,IF(S31&gt;1,T31,S31*T31))</f>
        <v>10.319026666666666</v>
      </c>
      <c r="V31" s="84">
        <f t="shared" si="14"/>
        <v>0</v>
      </c>
      <c r="X31">
        <v>29</v>
      </c>
      <c r="Y31">
        <v>10</v>
      </c>
      <c r="Z31" s="84">
        <f>(Y31*'Dane dla CO'!$T$53+'Dane dla CO'!$V$53)/(Y31*'Dane dla CO'!$P$35+'Dane dla CO'!$Q$35)</f>
        <v>7.3017939814814818</v>
      </c>
      <c r="AA31" s="84">
        <f>Y31*'Dane dla CO'!$N$96+'Dane dla CO'!$N$97</f>
        <v>43.2</v>
      </c>
      <c r="AB31" s="84">
        <f>IF(Y31&lt;'Dane dla CO'!$R$67,0,IF(Z31&gt;1,AA31,Z31*AA31))</f>
        <v>43.2</v>
      </c>
      <c r="AC31" s="84">
        <f t="shared" si="15"/>
        <v>0</v>
      </c>
      <c r="AD31" s="84">
        <f>(Y31*'Dane dla CWU'!$T$53+'Dane dla CWU'!$V$53)/(Y31*'Dane dla CO'!$P$35+'Dane dla CO'!$Q$35)</f>
        <v>7.4318287037037045</v>
      </c>
      <c r="AE31" s="84">
        <f t="shared" si="16"/>
        <v>10.319026666666666</v>
      </c>
      <c r="AF31" s="84">
        <f>IF(Y31&lt;'Dane dla CWU'!$R$67,0,IF(AD31&gt;1,AE31,AD31*AE31))</f>
        <v>10.319026666666666</v>
      </c>
      <c r="AG31" s="84">
        <f t="shared" si="17"/>
        <v>0</v>
      </c>
      <c r="AI31">
        <v>29</v>
      </c>
      <c r="AJ31">
        <v>21</v>
      </c>
      <c r="AO31" s="84"/>
      <c r="AP31" s="84">
        <f t="shared" si="59"/>
        <v>10.319026666666666</v>
      </c>
      <c r="AQ31" s="84">
        <f t="shared" si="61"/>
        <v>10.319026666666666</v>
      </c>
      <c r="AR31" s="84">
        <f t="shared" si="60"/>
        <v>0</v>
      </c>
      <c r="AT31">
        <v>29</v>
      </c>
      <c r="AU31">
        <v>18</v>
      </c>
      <c r="BA31">
        <v>29</v>
      </c>
      <c r="BB31">
        <v>22</v>
      </c>
      <c r="BH31">
        <v>29</v>
      </c>
      <c r="BI31">
        <v>23</v>
      </c>
      <c r="BO31">
        <v>29</v>
      </c>
      <c r="BP31">
        <v>16</v>
      </c>
      <c r="BV31">
        <v>29</v>
      </c>
      <c r="BW31">
        <v>13</v>
      </c>
      <c r="BX31" s="84">
        <f>(BW31*'Dane dla CO'!$T$53+'Dane dla CO'!$V$53)/(BW31*'Dane dla CO'!$P$35+'Dane dla CO'!$Q$35)</f>
        <v>19.083912037037027</v>
      </c>
      <c r="BY31" s="84">
        <f>BW31*'Dane dla CO'!$N$96+'Dane dla CO'!$N$97</f>
        <v>21.600000000000009</v>
      </c>
      <c r="BZ31" s="84">
        <f>IF(BW31&lt;'Dane dla CO'!$R$67,0,IF(BX31&gt;1,BY31,BX31*BY31))</f>
        <v>21.600000000000009</v>
      </c>
      <c r="CA31" s="84">
        <f t="shared" si="54"/>
        <v>0</v>
      </c>
      <c r="CB31" s="84">
        <f>(BW31*'Dane dla CWU'!$T$53+'Dane dla CWU'!$V$53)/(BW31*'Dane dla CO'!$P$35+'Dane dla CO'!$Q$35)</f>
        <v>19.582175925925917</v>
      </c>
      <c r="CC31" s="84">
        <f t="shared" si="55"/>
        <v>10.319026666666666</v>
      </c>
      <c r="CD31" s="84">
        <f>IF(BW31&lt;'Dane dla CWU'!$R$67,0,IF(CB31&gt;1,CC31,CB31*CC31))</f>
        <v>10.319026666666666</v>
      </c>
      <c r="CE31" s="84">
        <f t="shared" si="56"/>
        <v>0</v>
      </c>
      <c r="CG31">
        <v>29</v>
      </c>
      <c r="CH31">
        <v>0</v>
      </c>
      <c r="CI31" s="84">
        <f>(CH31*'Dane dla CO'!$T$53+'Dane dla CO'!$V$53)/(CH31*'Dane dla CO'!$P$35+'Dane dla CO'!$Q$35)</f>
        <v>2.0652970679012341</v>
      </c>
      <c r="CJ31" s="84">
        <f>CH31*'Dane dla CO'!$N$96+'Dane dla CO'!$N$97</f>
        <v>115.20000000000002</v>
      </c>
      <c r="CK31" s="84">
        <f>IF(CH31&lt;'Dane dla CO'!$R$67,0,IF(CI31&gt;1,CJ31,CI31*CJ31))</f>
        <v>115.20000000000002</v>
      </c>
      <c r="CL31" s="84">
        <f t="shared" si="24"/>
        <v>0</v>
      </c>
      <c r="CM31" s="84">
        <f>(CH31*'Dane dla CWU'!$T$53+'Dane dla CWU'!$V$53)/(CH31*'Dane dla CO'!$P$35+'Dane dla CO'!$Q$35)</f>
        <v>2.0316743827160493</v>
      </c>
      <c r="CN31" s="84">
        <f t="shared" si="1"/>
        <v>10.319026666666666</v>
      </c>
      <c r="CO31" s="84">
        <f>IF(CH31&lt;'Dane dla CWU'!$R$67,0,IF(CM31&gt;1,CN31,CM31*CN31))</f>
        <v>0</v>
      </c>
      <c r="CP31" s="84">
        <f t="shared" si="25"/>
        <v>10.319026666666666</v>
      </c>
      <c r="CR31">
        <v>29</v>
      </c>
      <c r="CS31">
        <v>7</v>
      </c>
      <c r="CT31" s="84">
        <f>(CS31*'Dane dla CO'!$T$53+'Dane dla CO'!$V$53)/(CS31*'Dane dla CO'!$P$35+'Dane dla CO'!$Q$35)</f>
        <v>4.3562644675925926</v>
      </c>
      <c r="CU31" s="84">
        <f>CS31*'Dane dla CO'!$N$96+'Dane dla CO'!$N$97</f>
        <v>64.800000000000011</v>
      </c>
      <c r="CV31" s="84">
        <f>IF(CS31&lt;'Dane dla CO'!$R$67,0,IF(CT31&gt;1,CU31,CT31*CU31))</f>
        <v>64.800000000000011</v>
      </c>
      <c r="CW31" s="84">
        <f t="shared" si="26"/>
        <v>0</v>
      </c>
      <c r="CX31" s="84">
        <f>(CS31*'Dane dla CWU'!$T$53+'Dane dla CWU'!$V$53)/(CS31*'Dane dla CO'!$P$35+'Dane dla CO'!$Q$35)</f>
        <v>4.3942418981481479</v>
      </c>
      <c r="CY31" s="84">
        <f t="shared" si="4"/>
        <v>10.319026666666666</v>
      </c>
      <c r="CZ31" s="84">
        <f>IF(CS31&lt;'Dane dla CWU'!$R$67,0,IF(CX31&gt;1,CY31,CX31*CY31))</f>
        <v>10.319026666666666</v>
      </c>
      <c r="DA31" s="84">
        <f t="shared" si="27"/>
        <v>0</v>
      </c>
      <c r="DC31">
        <v>29</v>
      </c>
      <c r="DD31">
        <v>-4</v>
      </c>
      <c r="DE31" s="84">
        <f>(DD31*'Dane dla CO'!$T$53+'Dane dla CO'!$V$53)/(DD31*'Dane dla CO'!$P$35+'Dane dla CO'!$Q$35)</f>
        <v>1.5140868664717346</v>
      </c>
      <c r="DF31" s="84">
        <f>DD31*'Dane dla CO'!$N$96+'Dane dla CO'!$N$97</f>
        <v>144.00000000000003</v>
      </c>
      <c r="DG31" s="84">
        <f>IF(DD31&lt;'Dane dla CO'!$R$67,0,IF(DE31&gt;1,DF31,DE31*DF31))</f>
        <v>144.00000000000003</v>
      </c>
      <c r="DH31" s="84">
        <f t="shared" si="28"/>
        <v>0</v>
      </c>
      <c r="DI31" s="84">
        <f>(DD31*'Dane dla CWU'!$T$53+'Dane dla CWU'!$V$53)/(DD31*'Dane dla CO'!$P$35+'Dane dla CO'!$Q$35)</f>
        <v>1.4632370857699804</v>
      </c>
      <c r="DJ31" s="84">
        <f t="shared" si="7"/>
        <v>10.319026666666666</v>
      </c>
      <c r="DK31" s="84">
        <f>IF(DD31&lt;'Dane dla CWU'!$R$67,0,IF(DI31&gt;1,DJ31,DI31*DJ31))</f>
        <v>0</v>
      </c>
      <c r="DL31" s="84">
        <f t="shared" si="29"/>
        <v>10.319026666666666</v>
      </c>
      <c r="DM31" s="49">
        <v>-3</v>
      </c>
      <c r="DN31" s="94">
        <f>DO31*'Dane dla CO'!$N$80</f>
        <v>317.38775510204084</v>
      </c>
      <c r="DO31" s="94">
        <f>(15-DS31)/35*'Dane dla CO'!$N$75</f>
        <v>2.7771428571428571</v>
      </c>
      <c r="DP31" s="94">
        <f t="shared" si="37"/>
        <v>15.869387755102043</v>
      </c>
      <c r="DQ31" s="51">
        <v>-3</v>
      </c>
      <c r="DR31" s="115">
        <v>20</v>
      </c>
      <c r="DS31" s="115">
        <v>6</v>
      </c>
      <c r="DT31" s="89">
        <f>Wykresy!Y29</f>
        <v>39.4</v>
      </c>
      <c r="DU31" s="90">
        <f>Wykresy!AE29</f>
        <v>25.466666666666669</v>
      </c>
      <c r="DV31" s="92">
        <f>(($DV$32-$DV$27)/5)*4+$DV$27</f>
        <v>8.9499999999999993</v>
      </c>
      <c r="DW31" s="92">
        <f>(($DW$32-$DW$27)/5)*4+$DW$27</f>
        <v>2.2840000000000003</v>
      </c>
      <c r="DX31" s="92">
        <f t="shared" si="44"/>
        <v>3.918563922942206</v>
      </c>
      <c r="DY31" s="86">
        <f>(($DY$32-$DY$27)/5)*1+$DY$27</f>
        <v>8.6</v>
      </c>
      <c r="DZ31" s="86">
        <f>(($DZ$32-$DZ$27)/5)*4+$DZ$27</f>
        <v>2</v>
      </c>
      <c r="EA31" s="96">
        <f t="shared" si="45"/>
        <v>4.3</v>
      </c>
      <c r="EB31" s="85">
        <f t="shared" si="49"/>
        <v>20</v>
      </c>
      <c r="EC31" s="85">
        <f t="shared" si="43"/>
        <v>0.3483167931504183</v>
      </c>
      <c r="ED31" s="85">
        <f>(SUM(EC31:$EC$40))*$DT$42/(SUM(EB31:$EB$40))</f>
        <v>4.8327936726921532</v>
      </c>
      <c r="EE31" s="86">
        <f t="shared" si="50"/>
        <v>20</v>
      </c>
      <c r="EF31" s="86">
        <f t="shared" si="46"/>
        <v>0.38222222222222224</v>
      </c>
      <c r="EG31" s="86">
        <f>(SUM(EF31:$EF$40))*$DT$42/(SUM(EE31:$EE$40))</f>
        <v>5.7100549386139647</v>
      </c>
      <c r="EI31" s="115">
        <v>20</v>
      </c>
      <c r="EJ31" s="115">
        <f t="shared" si="40"/>
        <v>140</v>
      </c>
      <c r="EK31" s="115">
        <v>6</v>
      </c>
      <c r="EL31" s="89">
        <v>55</v>
      </c>
      <c r="EM31" s="92">
        <f>EM30+$ES$27</f>
        <v>7.347999999999999</v>
      </c>
      <c r="EN31" s="92">
        <f>EN30+$ET$27</f>
        <v>2.9240000000000008</v>
      </c>
      <c r="EO31" s="92">
        <f t="shared" si="47"/>
        <v>2.5129958960328307</v>
      </c>
      <c r="EP31" s="85">
        <f t="shared" si="53"/>
        <v>20</v>
      </c>
      <c r="EQ31" s="85">
        <f t="shared" si="48"/>
        <v>0.22337741298069605</v>
      </c>
      <c r="ER31" s="85">
        <f>(SUM(EQ31:$EQ$53))*$EL$54/(SUM(EP31:$EP$53))</f>
        <v>4.9828396636164314</v>
      </c>
    </row>
    <row r="32" spans="1:165">
      <c r="A32" s="162"/>
      <c r="B32">
        <v>30</v>
      </c>
      <c r="C32">
        <v>-12</v>
      </c>
      <c r="D32" s="84">
        <f>(C32*'Dane dla CO'!$T$53+'Dane dla CO'!$V$53)/(C32*'Dane dla CO'!$P$35+'Dane dla CO'!$Q$35)</f>
        <v>0.9016310871056239</v>
      </c>
      <c r="E32" s="84">
        <f>C32*'Dane dla CO'!$N$96+'Dane dla CO'!$N$97</f>
        <v>201.60000000000002</v>
      </c>
      <c r="F32" s="84">
        <f>IF(C32&lt;'Dane dla CO'!$R$67,0,IF(D32&gt;1,E32,D32*E32))</f>
        <v>0</v>
      </c>
      <c r="G32" s="84">
        <f t="shared" si="9"/>
        <v>201.60000000000002</v>
      </c>
      <c r="H32" s="84">
        <f>(C32*'Dane dla CWU'!$AB$53+'Dane dla CWU'!$AD$53)/(C32*'Dane dla CO'!$P$35+'Dane dla CO'!$Q$35)</f>
        <v>0.36941777168114609</v>
      </c>
      <c r="I32" s="84">
        <f t="shared" si="10"/>
        <v>10.319026666666666</v>
      </c>
      <c r="J32" s="84">
        <f>IF(C32&lt;'Dane dla CWU'!$R$67,0,IF(H32&gt;1,I32,H32*I32))</f>
        <v>0</v>
      </c>
      <c r="K32" s="84">
        <f t="shared" si="11"/>
        <v>10.319026666666666</v>
      </c>
      <c r="X32">
        <v>30</v>
      </c>
      <c r="Y32">
        <v>6</v>
      </c>
      <c r="Z32" s="84">
        <f>(Y32*'Dane dla CO'!$T$53+'Dane dla CO'!$V$53)/(Y32*'Dane dla CO'!$P$35+'Dane dla CO'!$Q$35)</f>
        <v>3.8107960390946491</v>
      </c>
      <c r="AA32" s="84">
        <f>Y32*'Dane dla CO'!$N$96+'Dane dla CO'!$N$97</f>
        <v>72.000000000000014</v>
      </c>
      <c r="AB32" s="84">
        <f>IF(Y32&lt;'Dane dla CO'!$R$67,0,IF(Z32&gt;1,AA32,Z32*AA32))</f>
        <v>72.000000000000014</v>
      </c>
      <c r="AC32" s="84">
        <f t="shared" si="15"/>
        <v>0</v>
      </c>
      <c r="AD32" s="84">
        <f>(Y32*'Dane dla CWU'!$T$53+'Dane dla CWU'!$V$53)/(Y32*'Dane dla CO'!$P$35+'Dane dla CO'!$Q$35)</f>
        <v>3.8317258230452675</v>
      </c>
      <c r="AE32" s="84">
        <f t="shared" si="16"/>
        <v>10.319026666666666</v>
      </c>
      <c r="AF32" s="84">
        <f>IF(Y32&lt;'Dane dla CWU'!$R$67,0,IF(AD32&gt;1,AE32,AD32*AE32))</f>
        <v>10.319026666666666</v>
      </c>
      <c r="AG32" s="84">
        <f t="shared" si="17"/>
        <v>0</v>
      </c>
      <c r="AI32">
        <v>30</v>
      </c>
      <c r="AJ32">
        <v>22</v>
      </c>
      <c r="AO32" s="84"/>
      <c r="AP32" s="84">
        <f t="shared" si="59"/>
        <v>10.319026666666666</v>
      </c>
      <c r="AQ32" s="84">
        <f t="shared" si="61"/>
        <v>10.319026666666666</v>
      </c>
      <c r="AR32" s="84">
        <f t="shared" si="60"/>
        <v>0</v>
      </c>
      <c r="AT32">
        <v>30</v>
      </c>
      <c r="AU32">
        <v>18</v>
      </c>
      <c r="BA32">
        <v>30</v>
      </c>
      <c r="BB32">
        <v>25</v>
      </c>
      <c r="BH32">
        <v>30</v>
      </c>
      <c r="BI32">
        <v>21</v>
      </c>
      <c r="BO32">
        <v>30</v>
      </c>
      <c r="BP32">
        <v>18</v>
      </c>
      <c r="BV32">
        <v>30</v>
      </c>
      <c r="BW32">
        <v>14</v>
      </c>
      <c r="BX32" s="84">
        <f>(BW32*'Dane dla CO'!$T$53+'Dane dla CO'!$V$53)/(BW32*'Dane dla CO'!$P$35+'Dane dla CO'!$Q$35)</f>
        <v>38.720775462962941</v>
      </c>
      <c r="BY32" s="84">
        <f>BW32*'Dane dla CO'!$N$96+'Dane dla CO'!$N$97</f>
        <v>14.400000000000006</v>
      </c>
      <c r="BZ32" s="84">
        <f>IF(BW32&lt;'Dane dla CO'!$R$67,0,IF(BX32&gt;1,BY32,BX32*BY32))</f>
        <v>14.400000000000006</v>
      </c>
      <c r="CA32" s="84">
        <f t="shared" si="54"/>
        <v>0</v>
      </c>
      <c r="CB32" s="84">
        <f>(BW32*'Dane dla CWU'!$T$53+'Dane dla CWU'!$V$53)/(BW32*'Dane dla CO'!$P$35+'Dane dla CO'!$Q$35)</f>
        <v>39.832754629629619</v>
      </c>
      <c r="CC32" s="84">
        <f t="shared" si="55"/>
        <v>10.319026666666666</v>
      </c>
      <c r="CD32" s="84">
        <f>IF(BW32&lt;'Dane dla CWU'!$R$67,0,IF(CB32&gt;1,CC32,CB32*CC32))</f>
        <v>10.319026666666666</v>
      </c>
      <c r="CE32" s="84">
        <f t="shared" si="56"/>
        <v>0</v>
      </c>
      <c r="CG32">
        <v>30</v>
      </c>
      <c r="CH32">
        <v>1</v>
      </c>
      <c r="CI32" s="84">
        <f>(CH32*'Dane dla CO'!$T$53+'Dane dla CO'!$V$53)/(CH32*'Dane dla CO'!$P$35+'Dane dla CO'!$Q$35)</f>
        <v>2.2523148148148144</v>
      </c>
      <c r="CJ32" s="84">
        <f>CH32*'Dane dla CO'!$N$96+'Dane dla CO'!$N$97</f>
        <v>108.00000000000001</v>
      </c>
      <c r="CK32" s="84">
        <f>IF(CH32&lt;'Dane dla CO'!$R$67,0,IF(CI32&gt;1,CJ32,CI32*CJ32))</f>
        <v>108.00000000000001</v>
      </c>
      <c r="CL32" s="84">
        <f t="shared" si="24"/>
        <v>0</v>
      </c>
      <c r="CM32" s="84">
        <f>(CH32*'Dane dla CWU'!$T$53+'Dane dla CWU'!$V$53)/(CH32*'Dane dla CO'!$P$35+'Dane dla CO'!$Q$35)</f>
        <v>2.2245370370370372</v>
      </c>
      <c r="CN32" s="84">
        <f t="shared" si="1"/>
        <v>10.319026666666666</v>
      </c>
      <c r="CO32" s="84">
        <f>IF(CH32&lt;'Dane dla CWU'!$R$67,0,IF(CM32&gt;1,CN32,CM32*CN32))</f>
        <v>0</v>
      </c>
      <c r="CP32" s="84">
        <f t="shared" si="25"/>
        <v>10.319026666666666</v>
      </c>
      <c r="CR32">
        <v>30</v>
      </c>
      <c r="CS32">
        <v>4</v>
      </c>
      <c r="CT32" s="84">
        <f>(CS32*'Dane dla CO'!$T$53+'Dane dla CO'!$V$53)/(CS32*'Dane dla CO'!$P$35+'Dane dla CO'!$Q$35)</f>
        <v>3.0173874158249157</v>
      </c>
      <c r="CU32" s="84">
        <f>CS32*'Dane dla CO'!$N$96+'Dane dla CO'!$N$97</f>
        <v>86.4</v>
      </c>
      <c r="CV32" s="84">
        <f>IF(CS32&lt;'Dane dla CO'!$R$67,0,IF(CT32&gt;1,CU32,CT32*CU32))</f>
        <v>86.4</v>
      </c>
      <c r="CW32" s="84">
        <f t="shared" si="26"/>
        <v>0</v>
      </c>
      <c r="CX32" s="84">
        <f>(CS32*'Dane dla CWU'!$T$53+'Dane dla CWU'!$V$53)/(CS32*'Dane dla CO'!$P$35+'Dane dla CO'!$Q$35)</f>
        <v>3.0135206228956233</v>
      </c>
      <c r="CY32" s="84">
        <f t="shared" si="4"/>
        <v>10.319026666666666</v>
      </c>
      <c r="CZ32" s="84">
        <f>IF(CS32&lt;'Dane dla CWU'!$R$67,0,IF(CX32&gt;1,CY32,CX32*CY32))</f>
        <v>10.319026666666666</v>
      </c>
      <c r="DA32" s="84">
        <f t="shared" si="27"/>
        <v>0</v>
      </c>
      <c r="DC32">
        <v>30</v>
      </c>
      <c r="DD32">
        <v>0</v>
      </c>
      <c r="DE32" s="84">
        <f>(DD32*'Dane dla CO'!$T$53+'Dane dla CO'!$V$53)/(DD32*'Dane dla CO'!$P$35+'Dane dla CO'!$Q$35)</f>
        <v>2.0652970679012341</v>
      </c>
      <c r="DF32" s="84">
        <f>DD32*'Dane dla CO'!$N$96+'Dane dla CO'!$N$97</f>
        <v>115.20000000000002</v>
      </c>
      <c r="DG32" s="84">
        <f>IF(DD32&lt;'Dane dla CO'!$R$67,0,IF(DE32&gt;1,DF32,DE32*DF32))</f>
        <v>115.20000000000002</v>
      </c>
      <c r="DH32" s="84">
        <f t="shared" si="28"/>
        <v>0</v>
      </c>
      <c r="DI32" s="84">
        <f>(DD32*'Dane dla CWU'!$T$53+'Dane dla CWU'!$V$53)/(DD32*'Dane dla CO'!$P$35+'Dane dla CO'!$Q$35)</f>
        <v>2.0316743827160493</v>
      </c>
      <c r="DJ32" s="84">
        <f t="shared" si="7"/>
        <v>10.319026666666666</v>
      </c>
      <c r="DK32" s="84">
        <f>IF(DD32&lt;'Dane dla CWU'!$R$67,0,IF(DI32&gt;1,DJ32,DI32*DJ32))</f>
        <v>0</v>
      </c>
      <c r="DL32" s="84">
        <f t="shared" si="29"/>
        <v>10.319026666666666</v>
      </c>
      <c r="DM32" s="49">
        <v>-3</v>
      </c>
      <c r="DN32" s="94">
        <f>DO32*'Dane dla CO'!$N$80</f>
        <v>282.12244897959187</v>
      </c>
      <c r="DO32" s="94">
        <f>(15-DS32)/35*'Dane dla CO'!$N$75</f>
        <v>2.4685714285714289</v>
      </c>
      <c r="DP32" s="94">
        <f t="shared" si="37"/>
        <v>21.701726844583991</v>
      </c>
      <c r="DQ32" s="51">
        <v>-3</v>
      </c>
      <c r="DR32" s="115">
        <v>13</v>
      </c>
      <c r="DS32" s="115">
        <v>7</v>
      </c>
      <c r="DT32" s="89">
        <f>Wykresy!Y30</f>
        <v>38.799999999999997</v>
      </c>
      <c r="DU32" s="90">
        <f>Wykresy!AE30</f>
        <v>25.1</v>
      </c>
      <c r="DV32" s="117">
        <f>(10.16+8.79)/2</f>
        <v>9.4749999999999996</v>
      </c>
      <c r="DW32" s="117">
        <f>(2+2.48)/2</f>
        <v>2.2400000000000002</v>
      </c>
      <c r="DX32" s="92">
        <f t="shared" si="44"/>
        <v>4.2299107142857135</v>
      </c>
      <c r="DY32" s="118">
        <v>11</v>
      </c>
      <c r="DZ32" s="118">
        <v>2</v>
      </c>
      <c r="EA32" s="96">
        <f t="shared" si="45"/>
        <v>5.5</v>
      </c>
      <c r="EB32" s="85">
        <f t="shared" si="49"/>
        <v>13</v>
      </c>
      <c r="EC32" s="85">
        <f t="shared" si="43"/>
        <v>0.24439484126984123</v>
      </c>
      <c r="ED32" s="85">
        <f>(SUM(EC32:$EC$40))*$DT$42/(SUM(EB32:$EB$40))</f>
        <v>5.047906554986259</v>
      </c>
      <c r="EE32" s="86">
        <f t="shared" si="50"/>
        <v>13</v>
      </c>
      <c r="EF32" s="86">
        <f t="shared" si="46"/>
        <v>0.31777777777777777</v>
      </c>
      <c r="EG32" s="86">
        <f>(SUM(EF32:$EF$40))*$DT$42/(SUM(EE32:$EE$40))</f>
        <v>6.0418325712290146</v>
      </c>
      <c r="EI32" s="115">
        <v>13</v>
      </c>
      <c r="EJ32" s="115">
        <f t="shared" si="40"/>
        <v>153</v>
      </c>
      <c r="EK32" s="115">
        <v>7</v>
      </c>
      <c r="EL32" s="89">
        <v>55</v>
      </c>
      <c r="EM32" s="117">
        <v>7.64</v>
      </c>
      <c r="EN32" s="117">
        <v>2.93</v>
      </c>
      <c r="EO32" s="92">
        <f t="shared" si="47"/>
        <v>2.6075085324232079</v>
      </c>
      <c r="EP32" s="85">
        <f t="shared" si="53"/>
        <v>13</v>
      </c>
      <c r="EQ32" s="85">
        <f t="shared" si="48"/>
        <v>0.15065604854000755</v>
      </c>
      <c r="ER32" s="85">
        <f>(SUM(EQ32:$EQ$53))*$EL$54/(SUM(EP32:$EP$53))</f>
        <v>5.0620461243305641</v>
      </c>
      <c r="ES32">
        <f>(EM35-EM32)/3</f>
        <v>0.12666666666666662</v>
      </c>
      <c r="ET32">
        <f>(EN35-EN32)/3</f>
        <v>-1.3333333333333345E-2</v>
      </c>
    </row>
    <row r="33" spans="1:163">
      <c r="A33" s="162"/>
      <c r="B33">
        <v>31</v>
      </c>
      <c r="C33">
        <v>-12</v>
      </c>
      <c r="D33" s="84">
        <f>(C33*'Dane dla CO'!$T$53+'Dane dla CO'!$V$53)/(C33*'Dane dla CO'!$P$35+'Dane dla CO'!$Q$35)</f>
        <v>0.9016310871056239</v>
      </c>
      <c r="E33" s="84">
        <f>C33*'Dane dla CO'!$N$96+'Dane dla CO'!$N$97</f>
        <v>201.60000000000002</v>
      </c>
      <c r="F33" s="84">
        <f>IF(C33&lt;'Dane dla CO'!$R$67,0,IF(D33&gt;1,E33,D33*E33))</f>
        <v>0</v>
      </c>
      <c r="G33" s="84">
        <f t="shared" si="9"/>
        <v>201.60000000000002</v>
      </c>
      <c r="H33" s="84">
        <f>(C33*'Dane dla CWU'!$AB$53+'Dane dla CWU'!$AD$53)/(C33*'Dane dla CO'!$P$35+'Dane dla CO'!$Q$35)</f>
        <v>0.36941777168114609</v>
      </c>
      <c r="I33" s="84">
        <f t="shared" si="10"/>
        <v>10.319026666666666</v>
      </c>
      <c r="J33" s="84">
        <f>IF(C33&lt;'Dane dla CWU'!$R$67,0,IF(H33&gt;1,I33,H33*I33))</f>
        <v>0</v>
      </c>
      <c r="K33" s="84">
        <f t="shared" si="11"/>
        <v>10.319026666666666</v>
      </c>
      <c r="X33">
        <v>31</v>
      </c>
      <c r="Y33">
        <v>6</v>
      </c>
      <c r="Z33" s="84">
        <f>(Y33*'Dane dla CO'!$T$53+'Dane dla CO'!$V$53)/(Y33*'Dane dla CO'!$P$35+'Dane dla CO'!$Q$35)</f>
        <v>3.8107960390946491</v>
      </c>
      <c r="AA33" s="84">
        <f>Y33*'Dane dla CO'!$N$96+'Dane dla CO'!$N$97</f>
        <v>72.000000000000014</v>
      </c>
      <c r="AB33" s="84">
        <f>IF(Y33&lt;'Dane dla CO'!$R$67,0,IF(Z33&gt;1,AA33,Z33*AA33))</f>
        <v>72.000000000000014</v>
      </c>
      <c r="AC33" s="84">
        <f t="shared" si="15"/>
        <v>0</v>
      </c>
      <c r="AD33" s="84">
        <f>(Y33*'Dane dla CWU'!$T$53+'Dane dla CWU'!$V$53)/(Y33*'Dane dla CO'!$P$35+'Dane dla CO'!$Q$35)</f>
        <v>3.8317258230452675</v>
      </c>
      <c r="AE33" s="84">
        <f t="shared" si="16"/>
        <v>10.319026666666666</v>
      </c>
      <c r="AF33" s="84">
        <f>IF(Y33&lt;'Dane dla CWU'!$R$67,0,IF(AD33&gt;1,AE33,AD33*AE33))</f>
        <v>10.319026666666666</v>
      </c>
      <c r="AG33" s="84">
        <f t="shared" si="17"/>
        <v>0</v>
      </c>
      <c r="AT33">
        <v>31</v>
      </c>
      <c r="AU33">
        <v>17</v>
      </c>
      <c r="BH33">
        <v>31</v>
      </c>
      <c r="BI33">
        <v>21</v>
      </c>
      <c r="BO33">
        <v>31</v>
      </c>
      <c r="BP33">
        <v>20</v>
      </c>
      <c r="CG33">
        <v>31</v>
      </c>
      <c r="CH33">
        <v>3</v>
      </c>
      <c r="CI33" s="84">
        <f>(CH33*'Dane dla CO'!$T$53+'Dane dla CO'!$V$53)/(CH33*'Dane dla CO'!$P$35+'Dane dla CO'!$Q$35)</f>
        <v>2.719859182098765</v>
      </c>
      <c r="CJ33" s="84">
        <f>CH33*'Dane dla CO'!$N$96+'Dane dla CO'!$N$97</f>
        <v>93.600000000000023</v>
      </c>
      <c r="CK33" s="84">
        <f>IF(CH33&lt;'Dane dla CO'!$R$67,0,IF(CI33&gt;1,CJ33,CI33*CJ33))</f>
        <v>93.600000000000023</v>
      </c>
      <c r="CL33" s="84">
        <f t="shared" si="24"/>
        <v>0</v>
      </c>
      <c r="CM33" s="84">
        <f>(CH33*'Dane dla CWU'!$T$53+'Dane dla CWU'!$V$53)/(CH33*'Dane dla CO'!$P$35+'Dane dla CO'!$Q$35)</f>
        <v>2.7066936728395059</v>
      </c>
      <c r="CN33" s="84">
        <f t="shared" si="1"/>
        <v>10.319026666666666</v>
      </c>
      <c r="CO33" s="84">
        <f>IF(CH33&lt;'Dane dla CWU'!$R$67,0,IF(CM33&gt;1,CN33,CM33*CN33))</f>
        <v>10.319026666666666</v>
      </c>
      <c r="CP33" s="84">
        <f t="shared" si="25"/>
        <v>0</v>
      </c>
      <c r="DC33">
        <v>31</v>
      </c>
      <c r="DD33">
        <v>2</v>
      </c>
      <c r="DE33" s="84">
        <f>(DD33*'Dane dla CO'!$T$53+'Dane dla CO'!$V$53)/(DD33*'Dane dla CO'!$P$35+'Dane dla CO'!$Q$35)</f>
        <v>2.4681045227920229</v>
      </c>
      <c r="DF33" s="84">
        <f>DD33*'Dane dla CO'!$N$96+'Dane dla CO'!$N$97</f>
        <v>100.80000000000001</v>
      </c>
      <c r="DG33" s="84">
        <f>IF(DD33&lt;'Dane dla CO'!$R$67,0,IF(DE33&gt;1,DF33,DE33*DF33))</f>
        <v>100.80000000000001</v>
      </c>
      <c r="DH33" s="84">
        <f t="shared" si="28"/>
        <v>0</v>
      </c>
      <c r="DI33" s="84">
        <f>(DD33*'Dane dla CWU'!$T$53+'Dane dla CWU'!$V$53)/(DD33*'Dane dla CO'!$P$35+'Dane dla CO'!$Q$35)</f>
        <v>2.4470708689458691</v>
      </c>
      <c r="DJ33" s="84">
        <f t="shared" si="7"/>
        <v>10.319026666666666</v>
      </c>
      <c r="DK33" s="84">
        <f>IF(DD33&lt;'Dane dla CWU'!$R$67,0,IF(DI33&gt;1,DJ33,DI33*DJ33))</f>
        <v>0</v>
      </c>
      <c r="DL33" s="84">
        <f t="shared" si="29"/>
        <v>10.319026666666666</v>
      </c>
      <c r="DM33" s="49">
        <v>-3</v>
      </c>
      <c r="DN33" s="94">
        <f>DO33*'Dane dla CO'!$N$80</f>
        <v>246.85714285714289</v>
      </c>
      <c r="DO33" s="94">
        <f>(15-DS33)/35*'Dane dla CO'!$N$75</f>
        <v>2.16</v>
      </c>
      <c r="DP33" s="94">
        <f t="shared" si="37"/>
        <v>14.521008403361346</v>
      </c>
      <c r="DQ33" s="51">
        <v>-3</v>
      </c>
      <c r="DR33" s="115">
        <v>17</v>
      </c>
      <c r="DS33" s="115">
        <v>8</v>
      </c>
      <c r="DT33" s="89">
        <f>Wykresy!Y31</f>
        <v>38.200000000000003</v>
      </c>
      <c r="DU33" s="90">
        <f>Wykresy!AE31</f>
        <v>24.733333333333334</v>
      </c>
      <c r="DV33" s="92">
        <f>(($DV$35-$DV$32)/3)*1+$DV$32</f>
        <v>9.82</v>
      </c>
      <c r="DW33" s="92">
        <f>(($DW$35-$DW$32)/3)*1+$DW$32</f>
        <v>2.1533333333333333</v>
      </c>
      <c r="DX33" s="92">
        <f t="shared" si="44"/>
        <v>4.560371517027864</v>
      </c>
      <c r="DY33" s="86">
        <f>(($DY$35-$DY$32)/3)*1+$DY$32</f>
        <v>11.333333333333334</v>
      </c>
      <c r="DZ33" s="86">
        <f>(($DZ$35-$DZ$32)/3)*1+$DZ$32</f>
        <v>1.9933333333333334</v>
      </c>
      <c r="EA33" s="96">
        <f t="shared" si="45"/>
        <v>5.6856187290969897</v>
      </c>
      <c r="EB33" s="85">
        <f t="shared" si="49"/>
        <v>17</v>
      </c>
      <c r="EC33" s="85">
        <f t="shared" si="43"/>
        <v>0.34456140350877196</v>
      </c>
      <c r="ED33" s="85">
        <f>(SUM(EC33:$EC$40))*$DT$42/(SUM(EB33:$EB$40))</f>
        <v>5.1956002484460795</v>
      </c>
      <c r="EE33" s="86">
        <f t="shared" si="50"/>
        <v>17</v>
      </c>
      <c r="EF33" s="86">
        <f t="shared" si="46"/>
        <v>0.42958008175399476</v>
      </c>
      <c r="EG33" s="86">
        <f>(SUM(EF33:$EF$40))*$DT$42/(SUM(EE33:$EE$40))</f>
        <v>6.1396634521453652</v>
      </c>
      <c r="EI33" s="115">
        <v>17</v>
      </c>
      <c r="EJ33" s="115">
        <f t="shared" si="40"/>
        <v>170</v>
      </c>
      <c r="EK33" s="115">
        <v>8</v>
      </c>
      <c r="EL33" s="89">
        <v>55</v>
      </c>
      <c r="EM33" s="92">
        <f>EM32+$ES$32</f>
        <v>7.7666666666666666</v>
      </c>
      <c r="EN33" s="92">
        <f>EN32+$ET$32</f>
        <v>2.916666666666667</v>
      </c>
      <c r="EO33" s="92">
        <f t="shared" si="47"/>
        <v>2.6628571428571424</v>
      </c>
      <c r="EP33" s="85">
        <f t="shared" si="53"/>
        <v>17</v>
      </c>
      <c r="EQ33" s="85">
        <f t="shared" si="48"/>
        <v>0.20119365079365076</v>
      </c>
      <c r="ER33" s="85">
        <f>(SUM(EQ33:$EQ$53))*$EL$54/(SUM(EP33:$EP$53))</f>
        <v>5.1121235226904442</v>
      </c>
    </row>
    <row r="34" spans="1:163">
      <c r="DM34" s="49">
        <v>-2</v>
      </c>
      <c r="DN34" s="94">
        <f>DO34*'Dane dla CO'!$N$80</f>
        <v>211.59183673469391</v>
      </c>
      <c r="DO34" s="94">
        <f>(15-DS34)/35*'Dane dla CO'!$N$75</f>
        <v>1.8514285714285716</v>
      </c>
      <c r="DP34" s="94">
        <f t="shared" si="37"/>
        <v>23.510204081632658</v>
      </c>
      <c r="DQ34" s="51">
        <v>-2</v>
      </c>
      <c r="DR34" s="115">
        <v>9</v>
      </c>
      <c r="DS34" s="115">
        <v>9</v>
      </c>
      <c r="DT34" s="89">
        <f>Wykresy!Y32</f>
        <v>37.6</v>
      </c>
      <c r="DU34" s="90">
        <f>Wykresy!AE32</f>
        <v>24.366666666666667</v>
      </c>
      <c r="DV34" s="92">
        <f>(($DV$35-$DV$32)/3)*2+$DV$32</f>
        <v>10.164999999999999</v>
      </c>
      <c r="DW34" s="92">
        <f>(($DW$35-$DW$32)/3)*2+$DW$32</f>
        <v>2.0666666666666669</v>
      </c>
      <c r="DX34" s="92">
        <f t="shared" si="44"/>
        <v>4.9185483870967737</v>
      </c>
      <c r="DY34" s="86">
        <f>(($DY$35-$DY$32)/3)*2+$DY$32</f>
        <v>11.666666666666666</v>
      </c>
      <c r="DZ34" s="86">
        <f>(($DZ$35-$DZ$32)/3)*2+$DZ$32</f>
        <v>1.9866666666666666</v>
      </c>
      <c r="EA34" s="96">
        <f t="shared" si="45"/>
        <v>5.8724832214765099</v>
      </c>
      <c r="EB34" s="85">
        <f t="shared" si="49"/>
        <v>9</v>
      </c>
      <c r="EC34" s="85">
        <f t="shared" si="43"/>
        <v>0.19674193548387095</v>
      </c>
      <c r="ED34" s="85">
        <f>(SUM(EC34:$EC$40))*$DT$42/(SUM(EB34:$EB$40))</f>
        <v>5.3919436745208014</v>
      </c>
      <c r="EE34" s="86">
        <f t="shared" si="50"/>
        <v>9</v>
      </c>
      <c r="EF34" s="86">
        <f t="shared" si="46"/>
        <v>0.2348993288590604</v>
      </c>
      <c r="EG34" s="86">
        <f>(SUM(EF34:$EF$40))*$DT$42/(SUM(EE34:$EE$40))</f>
        <v>6.2800045483603189</v>
      </c>
      <c r="EI34" s="115">
        <v>9</v>
      </c>
      <c r="EJ34" s="115">
        <f t="shared" si="40"/>
        <v>179</v>
      </c>
      <c r="EK34" s="115">
        <v>9</v>
      </c>
      <c r="EL34" s="89">
        <v>55</v>
      </c>
      <c r="EM34" s="92">
        <f>EM33+$ES$32</f>
        <v>7.8933333333333335</v>
      </c>
      <c r="EN34" s="92">
        <f>EN33+$ET$32</f>
        <v>2.9033333333333338</v>
      </c>
      <c r="EO34" s="92">
        <f t="shared" si="47"/>
        <v>2.7187141216991959</v>
      </c>
      <c r="EP34" s="85">
        <f t="shared" si="53"/>
        <v>9</v>
      </c>
      <c r="EQ34" s="85">
        <f t="shared" si="48"/>
        <v>0.10874856486796784</v>
      </c>
      <c r="ER34" s="85">
        <f>(SUM(EQ34:$EQ$53))*$EL$54/(SUM(EP34:$EP$53))</f>
        <v>5.1798236435846343</v>
      </c>
    </row>
    <row r="35" spans="1:163">
      <c r="DM35" s="49">
        <v>-2</v>
      </c>
      <c r="DN35" s="94">
        <f>DO35*'Dane dla CO'!$N$80</f>
        <v>176.32653061224491</v>
      </c>
      <c r="DO35" s="94">
        <f>(15-DS35)/35*'Dane dla CO'!$N$75</f>
        <v>1.5428571428571429</v>
      </c>
      <c r="DP35" s="94">
        <f t="shared" si="37"/>
        <v>16.029684601113175</v>
      </c>
      <c r="DQ35" s="51">
        <v>-2</v>
      </c>
      <c r="DR35" s="115">
        <v>11</v>
      </c>
      <c r="DS35" s="115">
        <v>10</v>
      </c>
      <c r="DT35" s="89">
        <f>Wykresy!Y33</f>
        <v>37</v>
      </c>
      <c r="DU35" s="90">
        <f>Wykresy!AE33</f>
        <v>24</v>
      </c>
      <c r="DV35" s="117">
        <v>10.51</v>
      </c>
      <c r="DW35" s="117">
        <v>1.98</v>
      </c>
      <c r="DX35" s="92">
        <f t="shared" si="44"/>
        <v>5.308080808080808</v>
      </c>
      <c r="DY35" s="118">
        <v>12</v>
      </c>
      <c r="DZ35" s="118">
        <v>1.98</v>
      </c>
      <c r="EA35" s="96">
        <f t="shared" si="45"/>
        <v>6.0606060606060606</v>
      </c>
      <c r="EB35" s="85">
        <f t="shared" si="49"/>
        <v>11</v>
      </c>
      <c r="EC35" s="85">
        <f t="shared" si="43"/>
        <v>0.25950617283950617</v>
      </c>
      <c r="ED35" s="85">
        <f>(SUM(EC35:$EC$40))*$DT$42/(SUM(EB35:$EB$40))</f>
        <v>5.484564491625501</v>
      </c>
      <c r="EE35" s="86">
        <f t="shared" si="50"/>
        <v>11</v>
      </c>
      <c r="EF35" s="86">
        <f t="shared" si="46"/>
        <v>0.29629629629629634</v>
      </c>
      <c r="EG35" s="86">
        <f>(SUM(EF35:$EF$40))*$DT$42/(SUM(EE35:$EE$40))</f>
        <v>6.3597369818810634</v>
      </c>
      <c r="EI35" s="115">
        <v>17</v>
      </c>
      <c r="EJ35" s="115">
        <f t="shared" si="40"/>
        <v>196</v>
      </c>
      <c r="EK35" s="115">
        <v>10</v>
      </c>
      <c r="EL35" s="89">
        <v>55</v>
      </c>
      <c r="EM35" s="117">
        <v>8.02</v>
      </c>
      <c r="EN35" s="117">
        <v>2.89</v>
      </c>
      <c r="EO35" s="92">
        <f t="shared" si="47"/>
        <v>2.7750865051903113</v>
      </c>
      <c r="EP35" s="85">
        <f t="shared" si="53"/>
        <v>17</v>
      </c>
      <c r="EQ35" s="85">
        <f t="shared" si="48"/>
        <v>0.20967320261437908</v>
      </c>
      <c r="ER35" s="85">
        <f>(SUM(EQ35:$EQ$53))*$EL$54/(SUM(EP35:$EP$53))</f>
        <v>5.2162751839620976</v>
      </c>
      <c r="ES35">
        <f>(EM45-EM35)/10</f>
        <v>0.13000000000000006</v>
      </c>
      <c r="ET35">
        <f>(EN45-EN35)/10</f>
        <v>-1.3000000000000034E-2</v>
      </c>
    </row>
    <row r="36" spans="1:163">
      <c r="DM36" s="49">
        <v>-2</v>
      </c>
      <c r="DN36" s="94">
        <f>DO36*'Dane dla CO'!$N$80</f>
        <v>141.06122448979593</v>
      </c>
      <c r="DO36" s="94">
        <f>(15-DS36)/35*'Dane dla CO'!$N$75</f>
        <v>1.2342857142857144</v>
      </c>
      <c r="DP36" s="94">
        <f t="shared" si="37"/>
        <v>15.673469387755103</v>
      </c>
      <c r="DQ36" s="51">
        <v>-2</v>
      </c>
      <c r="DR36" s="115">
        <v>9</v>
      </c>
      <c r="DS36" s="115">
        <v>11</v>
      </c>
      <c r="DT36" s="89">
        <f>Wykresy!Y34</f>
        <v>36.4</v>
      </c>
      <c r="DU36" s="90">
        <f>Wykresy!AE34</f>
        <v>23.633333333333333</v>
      </c>
      <c r="DV36" s="92">
        <f>(($DV$45-$DV$35)/10)*1+$DV$35</f>
        <v>10.625999999999999</v>
      </c>
      <c r="DW36" s="92">
        <f>(($DW$45-$DW$35)/10)*1+$DW$35</f>
        <v>1.972</v>
      </c>
      <c r="DX36" s="92">
        <f t="shared" si="44"/>
        <v>5.3884381338742395</v>
      </c>
      <c r="DY36" s="86">
        <f>(($DY$45-$DY$35)/10)*1+$DY$35</f>
        <v>12.1</v>
      </c>
      <c r="DZ36" s="86">
        <v>1.91</v>
      </c>
      <c r="EA36" s="96">
        <f t="shared" si="45"/>
        <v>6.335078534031414</v>
      </c>
      <c r="EB36" s="85">
        <f t="shared" si="49"/>
        <v>9</v>
      </c>
      <c r="EC36" s="85">
        <f t="shared" si="43"/>
        <v>0.21553752535496959</v>
      </c>
      <c r="ED36" s="85">
        <f>(SUM(EC36:$EC$40))*$DT$42/(SUM(EB36:$EB$40))</f>
        <v>5.5400307921681202</v>
      </c>
      <c r="EE36" s="86">
        <f t="shared" si="50"/>
        <v>9</v>
      </c>
      <c r="EF36" s="86">
        <f t="shared" si="46"/>
        <v>0.25340314136125652</v>
      </c>
      <c r="EG36" s="86">
        <f>(SUM(EF36:$EF$40))*$DT$42/(SUM(EE36:$EE$40))</f>
        <v>6.453749557138921</v>
      </c>
      <c r="EI36" s="115">
        <v>10</v>
      </c>
      <c r="EJ36" s="115">
        <f t="shared" si="40"/>
        <v>206</v>
      </c>
      <c r="EK36" s="115">
        <v>11</v>
      </c>
      <c r="EL36" s="89">
        <v>55</v>
      </c>
      <c r="EM36" s="92">
        <f>EM35+$ES$35</f>
        <v>8.15</v>
      </c>
      <c r="EN36" s="92">
        <f>EN35+$ET$35</f>
        <v>2.8770000000000002</v>
      </c>
      <c r="EO36" s="92">
        <f t="shared" si="47"/>
        <v>2.832811956899548</v>
      </c>
      <c r="EP36" s="85">
        <f t="shared" si="53"/>
        <v>10</v>
      </c>
      <c r="EQ36" s="85">
        <f t="shared" si="48"/>
        <v>0.12590275363997991</v>
      </c>
      <c r="ER36" s="85">
        <f>(SUM(EQ36:$EQ$53))*$EL$54/(SUM(EP36:$EP$53))</f>
        <v>5.2864886308473507</v>
      </c>
    </row>
    <row r="37" spans="1:163">
      <c r="E37">
        <f>G37+F37</f>
        <v>3506.4000000000005</v>
      </c>
      <c r="F37">
        <f>SUM(F3:F36)</f>
        <v>2541.6000000000004</v>
      </c>
      <c r="G37">
        <f>SUM(G3:G36)</f>
        <v>964.80000000000018</v>
      </c>
      <c r="I37">
        <f>K37+J37</f>
        <v>319.88982666666675</v>
      </c>
      <c r="J37">
        <f>SUM(J3:J36)</f>
        <v>144.46637333333337</v>
      </c>
      <c r="K37">
        <f>SUM(K3:K36)</f>
        <v>175.42345333333338</v>
      </c>
      <c r="P37">
        <f>R37+Q37</f>
        <v>4183.2000000000007</v>
      </c>
      <c r="Q37">
        <f>SUM(Q3:Q36)</f>
        <v>1699.1999999999998</v>
      </c>
      <c r="R37">
        <f>SUM(R3:R36)</f>
        <v>2484.0000000000005</v>
      </c>
      <c r="T37">
        <f>V37+U37</f>
        <v>299.2517733333334</v>
      </c>
      <c r="U37">
        <f>SUM(U3:U36)</f>
        <v>92.87124</v>
      </c>
      <c r="V37">
        <f>SUM(V3:V36)</f>
        <v>206.3805333333334</v>
      </c>
      <c r="AA37">
        <f>AC37+AB37</f>
        <v>2268</v>
      </c>
      <c r="AB37">
        <f>SUM(AB3:AB36)</f>
        <v>2268</v>
      </c>
      <c r="AC37">
        <f>SUM(AC3:AC36)</f>
        <v>0</v>
      </c>
      <c r="AE37">
        <f>AG37+AF37</f>
        <v>319.88982666666675</v>
      </c>
      <c r="AF37">
        <f>SUM(AF3:AF36)</f>
        <v>257.97566666666677</v>
      </c>
      <c r="AG37">
        <f>SUM(AG3:AG36)</f>
        <v>61.914159999999995</v>
      </c>
      <c r="AL37">
        <f>AN37+AM37</f>
        <v>1252.8000000000002</v>
      </c>
      <c r="AM37">
        <f>SUM(AM3:AM36)</f>
        <v>1252.8000000000002</v>
      </c>
      <c r="AN37">
        <f>SUM(AN3:AN36)</f>
        <v>0</v>
      </c>
      <c r="AP37">
        <f>AR37+AQ37</f>
        <v>309.57080000000013</v>
      </c>
      <c r="AQ37">
        <f>SUM(AQ3:AQ36)</f>
        <v>288.93274666666679</v>
      </c>
      <c r="AR37">
        <f>SUM(AR3:AR36)</f>
        <v>20.638053333333332</v>
      </c>
      <c r="BY37">
        <f>CA37+BZ37</f>
        <v>367.20000000000016</v>
      </c>
      <c r="BZ37">
        <f>SUM(BZ3:BZ36)</f>
        <v>367.20000000000016</v>
      </c>
      <c r="CA37">
        <f>SUM(CA3:CA36)</f>
        <v>0</v>
      </c>
      <c r="CC37">
        <f>CE37+CD37</f>
        <v>309.57080000000008</v>
      </c>
      <c r="CD37">
        <f>SUM(CD3:CD36)</f>
        <v>257.97566666666677</v>
      </c>
      <c r="CE37">
        <f>SUM(CE3:CE36)</f>
        <v>51.59513333333333</v>
      </c>
      <c r="CJ37">
        <f>CL37+CK37</f>
        <v>1728</v>
      </c>
      <c r="CK37">
        <f>SUM(CK3:CK36)</f>
        <v>1728</v>
      </c>
      <c r="CL37">
        <f>SUM(CL3:CL36)</f>
        <v>0</v>
      </c>
      <c r="CN37">
        <f>CP37+CO37</f>
        <v>319.88982666666675</v>
      </c>
      <c r="CO37">
        <f>SUM(CO3:CO36)</f>
        <v>278.61372000000011</v>
      </c>
      <c r="CP37">
        <f>SUM(CP3:CP36)</f>
        <v>41.276106666666664</v>
      </c>
      <c r="CU37">
        <f>CW37+CV37</f>
        <v>2397.6000000000013</v>
      </c>
      <c r="CV37">
        <f>SUM(CV3:CV36)</f>
        <v>2397.6000000000013</v>
      </c>
      <c r="CW37">
        <f>SUM(CW3:CW36)</f>
        <v>0</v>
      </c>
      <c r="CY37">
        <f>DA37+CZ37</f>
        <v>309.57080000000008</v>
      </c>
      <c r="CZ37">
        <f>SUM(CZ3:CZ36)</f>
        <v>257.97566666666677</v>
      </c>
      <c r="DA37">
        <f>SUM(DA3:DA36)</f>
        <v>51.59513333333333</v>
      </c>
      <c r="DF37">
        <f>DH37+DG37</f>
        <v>3931.2</v>
      </c>
      <c r="DG37">
        <f>SUM(DG3:DG36)</f>
        <v>3549.6</v>
      </c>
      <c r="DH37">
        <f>SUM(DH3:DH36)</f>
        <v>381.60000000000008</v>
      </c>
      <c r="DJ37">
        <f>DL37+DK37</f>
        <v>319.88982666666681</v>
      </c>
      <c r="DK37">
        <f>SUM(DK3:DK36)</f>
        <v>30.957079999999998</v>
      </c>
      <c r="DL37">
        <f>SUM(DL3:DL36)</f>
        <v>288.93274666666679</v>
      </c>
      <c r="DM37" s="49">
        <v>-2</v>
      </c>
      <c r="DN37" s="94">
        <f>DO37*'Dane dla CO'!$N$80</f>
        <v>105.79591836734696</v>
      </c>
      <c r="DO37" s="94">
        <f>(15-DS37)/35*'Dane dla CO'!$N$75</f>
        <v>0.92571428571428582</v>
      </c>
      <c r="DP37" s="94">
        <f t="shared" si="37"/>
        <v>26.448979591836739</v>
      </c>
      <c r="DQ37" s="51">
        <v>-2</v>
      </c>
      <c r="DR37" s="115">
        <v>4</v>
      </c>
      <c r="DS37" s="115">
        <v>12</v>
      </c>
      <c r="DT37" s="89">
        <f>Wykresy!Y35</f>
        <v>35.799999999999997</v>
      </c>
      <c r="DU37" s="90">
        <f>Wykresy!AE35</f>
        <v>23.266666666666669</v>
      </c>
      <c r="DV37" s="92">
        <f>(($DV$45-$DV$35)/10)*2+$DV$35</f>
        <v>10.741999999999999</v>
      </c>
      <c r="DW37" s="92">
        <f>(($DW$45-$DW$35)/10)*2+$DW$35</f>
        <v>1.964</v>
      </c>
      <c r="DX37" s="92">
        <f t="shared" si="44"/>
        <v>5.4694501018329937</v>
      </c>
      <c r="DY37" s="86">
        <f>(($DY$45-$DY$35)/10)*2+$DY$35</f>
        <v>12.2</v>
      </c>
      <c r="DZ37" s="86">
        <v>1.91</v>
      </c>
      <c r="EA37" s="96">
        <f t="shared" si="45"/>
        <v>6.3874345549738223</v>
      </c>
      <c r="EB37" s="85">
        <f t="shared" si="49"/>
        <v>4</v>
      </c>
      <c r="EC37" s="85">
        <f t="shared" si="43"/>
        <v>9.7234668477030994E-2</v>
      </c>
      <c r="ED37" s="85">
        <f>(SUM(EC37:$EC$40))*$DT$42/(SUM(EB37:$EB$40))</f>
        <v>5.5925051738852307</v>
      </c>
      <c r="EE37" s="86">
        <f t="shared" si="50"/>
        <v>4</v>
      </c>
      <c r="EF37" s="86">
        <f t="shared" si="46"/>
        <v>0.11355439208842351</v>
      </c>
      <c r="EG37" s="86">
        <f>(SUM(EF37:$EF$40))*$DT$42/(SUM(EE37:$EE$40))</f>
        <v>6.4948279882145963</v>
      </c>
      <c r="EI37" s="115">
        <v>7</v>
      </c>
      <c r="EJ37" s="115">
        <f t="shared" si="40"/>
        <v>213</v>
      </c>
      <c r="EK37" s="115">
        <v>12</v>
      </c>
      <c r="EL37" s="89">
        <v>55</v>
      </c>
      <c r="EM37" s="92">
        <f t="shared" ref="EM37:EM44" si="62">EM36+$ES$35</f>
        <v>8.2800000000000011</v>
      </c>
      <c r="EN37" s="92">
        <f t="shared" ref="EN37:EN44" si="63">EN36+$ET$35</f>
        <v>2.8640000000000003</v>
      </c>
      <c r="EO37" s="92">
        <f t="shared" si="47"/>
        <v>2.8910614525139664</v>
      </c>
      <c r="EP37" s="85">
        <f t="shared" si="53"/>
        <v>7</v>
      </c>
      <c r="EQ37" s="85">
        <f t="shared" si="48"/>
        <v>8.9944134078212293E-2</v>
      </c>
      <c r="ER37" s="85">
        <f>(SUM(EQ37:$EQ$53))*$EL$54/(SUM(EP37:$EP$53))</f>
        <v>5.3288916213238569</v>
      </c>
    </row>
    <row r="38" spans="1:163">
      <c r="DM38" s="49">
        <v>-1</v>
      </c>
      <c r="DN38" s="94">
        <f>DO38*'Dane dla CO'!$N$80</f>
        <v>70.530612244897966</v>
      </c>
      <c r="DO38" s="94">
        <f>(15-DS38)/35*'Dane dla CO'!$N$75</f>
        <v>0.61714285714285722</v>
      </c>
      <c r="DP38" s="94">
        <f t="shared" si="37"/>
        <v>7.8367346938775517</v>
      </c>
      <c r="DQ38" s="51">
        <v>-1</v>
      </c>
      <c r="DR38" s="115">
        <v>9</v>
      </c>
      <c r="DS38" s="115">
        <v>13</v>
      </c>
      <c r="DT38" s="89">
        <f>Wykresy!Y36</f>
        <v>35.200000000000003</v>
      </c>
      <c r="DU38" s="90">
        <f>Wykresy!AE36</f>
        <v>22.900000000000002</v>
      </c>
      <c r="DV38" s="92">
        <f>(($DV$45-$DV$35)/10)*3+$DV$35</f>
        <v>10.858000000000001</v>
      </c>
      <c r="DW38" s="92">
        <f>(($DW$45-$DW$35)/10)*3+$DW$35</f>
        <v>1.956</v>
      </c>
      <c r="DX38" s="92">
        <f t="shared" si="44"/>
        <v>5.5511247443762786</v>
      </c>
      <c r="DY38" s="86">
        <f>(($DY$45-$DY$35)/10)*3+$DY$35</f>
        <v>12.3</v>
      </c>
      <c r="DZ38" s="86">
        <v>1.9</v>
      </c>
      <c r="EA38" s="96">
        <f t="shared" si="45"/>
        <v>6.4736842105263168</v>
      </c>
      <c r="EB38" s="85">
        <f t="shared" si="49"/>
        <v>9</v>
      </c>
      <c r="EC38" s="85">
        <f t="shared" si="43"/>
        <v>0.22204498977505116</v>
      </c>
      <c r="ED38" s="85">
        <f>(SUM(EC38:EC40))*$DT$42/(SUM(EB38:EB40))</f>
        <v>5.614878823349275</v>
      </c>
      <c r="EE38" s="86">
        <f t="shared" si="50"/>
        <v>9</v>
      </c>
      <c r="EF38" s="86">
        <f t="shared" si="46"/>
        <v>0.25894736842105265</v>
      </c>
      <c r="EG38" s="86">
        <f>(SUM(EF38:EF40))*$DT$42/(SUM(EE38:EE40))</f>
        <v>6.5143540669856463</v>
      </c>
      <c r="EI38" s="115">
        <v>12</v>
      </c>
      <c r="EJ38" s="115">
        <f t="shared" si="40"/>
        <v>225</v>
      </c>
      <c r="EK38" s="115">
        <v>13</v>
      </c>
      <c r="EL38" s="89">
        <v>55</v>
      </c>
      <c r="EM38" s="92">
        <f t="shared" si="62"/>
        <v>8.4100000000000019</v>
      </c>
      <c r="EN38" s="92">
        <f t="shared" si="63"/>
        <v>2.8510000000000004</v>
      </c>
      <c r="EO38" s="92">
        <f t="shared" si="47"/>
        <v>2.949842160645388</v>
      </c>
      <c r="EP38" s="85">
        <f t="shared" si="53"/>
        <v>12</v>
      </c>
      <c r="EQ38" s="85">
        <f t="shared" si="48"/>
        <v>0.15732491523442069</v>
      </c>
      <c r="ER38" s="85">
        <f>(SUM(EQ38:$EQ$53))*$EL$54/(SUM(EP38:$EP$53))</f>
        <v>5.3575366427398121</v>
      </c>
    </row>
    <row r="39" spans="1:163">
      <c r="DM39" s="49">
        <v>-1</v>
      </c>
      <c r="DN39" s="94">
        <f>DO39*'Dane dla CO'!$N$80</f>
        <v>35.265306122448983</v>
      </c>
      <c r="DO39" s="94">
        <f>(15-DS39)/35*'Dane dla CO'!$N$75</f>
        <v>0.30857142857142861</v>
      </c>
      <c r="DP39" s="94">
        <f t="shared" si="37"/>
        <v>3.9183673469387759</v>
      </c>
      <c r="DQ39" s="51">
        <v>-1</v>
      </c>
      <c r="DR39" s="115">
        <v>9</v>
      </c>
      <c r="DS39" s="115">
        <v>14</v>
      </c>
      <c r="DT39" s="89">
        <f>Wykresy!Y37</f>
        <v>34.6</v>
      </c>
      <c r="DU39" s="90">
        <f>Wykresy!AE37</f>
        <v>22.533333333333335</v>
      </c>
      <c r="DV39" s="92">
        <f>(($DV$45-$DV$35)/10)*4+$DV$35</f>
        <v>10.974</v>
      </c>
      <c r="DW39" s="92">
        <f>(($DW$45-$DW$35)/10)*4+$DW$35</f>
        <v>1.948</v>
      </c>
      <c r="DX39" s="92">
        <f t="shared" si="44"/>
        <v>5.6334702258726903</v>
      </c>
      <c r="DY39" s="86">
        <f>(($DY$45-$DY$35)/10)*4+$DY$35</f>
        <v>12.4</v>
      </c>
      <c r="DZ39" s="86">
        <v>1.9</v>
      </c>
      <c r="EA39" s="96">
        <f t="shared" si="45"/>
        <v>6.526315789473685</v>
      </c>
      <c r="EB39" s="85">
        <f t="shared" si="49"/>
        <v>9</v>
      </c>
      <c r="EC39" s="85">
        <f t="shared" si="43"/>
        <v>0.22533880903490763</v>
      </c>
      <c r="ED39" s="85">
        <f>(SUM(EC39:EC40))*$DT$42/(SUM(EB39:EB40))</f>
        <v>5.6590162626382705</v>
      </c>
      <c r="EE39" s="86">
        <f t="shared" si="50"/>
        <v>9</v>
      </c>
      <c r="EF39" s="86">
        <f t="shared" si="46"/>
        <v>0.26105263157894742</v>
      </c>
      <c r="EG39" s="86">
        <f>(SUM(EF39:EF40))*$DT$42/(SUM(EE39:EE40))</f>
        <v>6.5425101214574912</v>
      </c>
      <c r="EI39" s="115">
        <v>17</v>
      </c>
      <c r="EJ39" s="115">
        <f t="shared" si="40"/>
        <v>242</v>
      </c>
      <c r="EK39" s="115">
        <v>14</v>
      </c>
      <c r="EL39" s="89">
        <v>55</v>
      </c>
      <c r="EM39" s="92">
        <f t="shared" si="62"/>
        <v>8.5400000000000027</v>
      </c>
      <c r="EN39" s="92">
        <f t="shared" si="63"/>
        <v>2.8380000000000005</v>
      </c>
      <c r="EO39" s="92">
        <f t="shared" si="47"/>
        <v>3.0091613812544047</v>
      </c>
      <c r="EP39" s="85">
        <f t="shared" si="53"/>
        <v>17</v>
      </c>
      <c r="EQ39" s="85">
        <f t="shared" si="48"/>
        <v>0.22735885991699945</v>
      </c>
      <c r="ER39" s="85">
        <f>(SUM(EQ39:$EQ$53))*$EL$54/(SUM(EP39:$EP$53))</f>
        <v>5.4051218961942782</v>
      </c>
    </row>
    <row r="40" spans="1:163">
      <c r="E40" t="s">
        <v>223</v>
      </c>
      <c r="DM40" s="49">
        <v>-1</v>
      </c>
      <c r="DN40" s="94">
        <f>DO40*'Dane dla CO'!$N$80</f>
        <v>0</v>
      </c>
      <c r="DO40" s="94">
        <f>(15-DS40)/35*'Dane dla CO'!$N$75</f>
        <v>0</v>
      </c>
      <c r="DP40" s="94">
        <f t="shared" si="37"/>
        <v>0</v>
      </c>
      <c r="DQ40" s="51">
        <v>-1</v>
      </c>
      <c r="DR40" s="115">
        <v>4</v>
      </c>
      <c r="DS40" s="115">
        <v>15</v>
      </c>
      <c r="DT40" s="89">
        <f>Wykresy!Y38</f>
        <v>34</v>
      </c>
      <c r="DU40" s="90">
        <f>Wykresy!AE38</f>
        <v>22.166666666666668</v>
      </c>
      <c r="DV40" s="92">
        <f>(($DV$45-$DV$35)/10)*5+$DV$35</f>
        <v>11.09</v>
      </c>
      <c r="DW40" s="92">
        <f>(($DW$45-$DW$35)/10)*5+$DW$35</f>
        <v>1.94</v>
      </c>
      <c r="DX40" s="92">
        <f t="shared" si="44"/>
        <v>5.7164948453608249</v>
      </c>
      <c r="DY40" s="86">
        <f>(($DY$45-$DY$35)/10)*5+$DY$35</f>
        <v>12.5</v>
      </c>
      <c r="DZ40" s="86">
        <v>1.9</v>
      </c>
      <c r="EA40" s="96">
        <f t="shared" si="45"/>
        <v>6.5789473684210531</v>
      </c>
      <c r="EB40" s="85">
        <f t="shared" si="49"/>
        <v>4</v>
      </c>
      <c r="EC40" s="85">
        <f t="shared" si="43"/>
        <v>0.10162657502863688</v>
      </c>
      <c r="ED40" s="85">
        <f>EC40*$DT$42/EB40</f>
        <v>5.7164948453608249</v>
      </c>
      <c r="EE40" s="86">
        <f t="shared" si="50"/>
        <v>4</v>
      </c>
      <c r="EF40" s="86">
        <f t="shared" si="46"/>
        <v>0.11695906432748539</v>
      </c>
      <c r="EG40" s="86">
        <f>EF40*$DT$42/EE40</f>
        <v>6.5789473684210531</v>
      </c>
      <c r="EI40" s="115">
        <v>8</v>
      </c>
      <c r="EJ40" s="115">
        <f t="shared" si="40"/>
        <v>250</v>
      </c>
      <c r="EK40" s="115">
        <v>15</v>
      </c>
      <c r="EL40" s="89">
        <v>55</v>
      </c>
      <c r="EM40" s="92">
        <f t="shared" si="62"/>
        <v>8.6700000000000035</v>
      </c>
      <c r="EN40" s="92">
        <f t="shared" si="63"/>
        <v>2.8250000000000006</v>
      </c>
      <c r="EO40" s="92">
        <f t="shared" si="47"/>
        <v>3.069026548672567</v>
      </c>
      <c r="EP40" s="85">
        <f t="shared" si="53"/>
        <v>8</v>
      </c>
      <c r="EQ40" s="85">
        <f t="shared" si="48"/>
        <v>0.10912094395280238</v>
      </c>
      <c r="ER40" s="85">
        <f>(SUM(EQ40:$EQ$53))*$EL$54/(SUM(EP40:$EP$53))</f>
        <v>5.4750713276917073</v>
      </c>
    </row>
    <row r="41" spans="1:163">
      <c r="D41" t="s">
        <v>238</v>
      </c>
      <c r="E41">
        <f>(E37+P37+AA37+AL37+BY37+CJ37+CU37+DF37)*'Dane dla CO'!H42</f>
        <v>17474.616000000005</v>
      </c>
      <c r="F41" t="s">
        <v>61</v>
      </c>
      <c r="DM41" s="49">
        <v>-1</v>
      </c>
      <c r="DQ41" s="51">
        <v>-1</v>
      </c>
      <c r="DR41" s="115"/>
      <c r="DS41" s="115"/>
      <c r="EI41" s="115">
        <v>15</v>
      </c>
      <c r="EJ41" s="115">
        <f t="shared" si="40"/>
        <v>265</v>
      </c>
      <c r="EK41" s="115">
        <v>16</v>
      </c>
      <c r="EL41" s="89">
        <v>55</v>
      </c>
      <c r="EM41" s="92">
        <f t="shared" si="62"/>
        <v>8.8000000000000043</v>
      </c>
      <c r="EN41" s="92">
        <f t="shared" si="63"/>
        <v>2.8120000000000007</v>
      </c>
      <c r="EO41" s="92">
        <f t="shared" si="47"/>
        <v>3.1294452347083932</v>
      </c>
      <c r="EP41" s="85">
        <f t="shared" si="53"/>
        <v>15</v>
      </c>
      <c r="EQ41" s="85">
        <f t="shared" si="48"/>
        <v>0.20862968231389289</v>
      </c>
      <c r="ER41" s="85">
        <f>(SUM(EQ41:$EQ$53))*$EL$54/(SUM(EP41:$EP$53))</f>
        <v>5.508367061612466</v>
      </c>
    </row>
    <row r="42" spans="1:163">
      <c r="D42" t="s">
        <v>239</v>
      </c>
      <c r="E42">
        <f>'Dane dla CWU'!H43</f>
        <v>3766.4447333333333</v>
      </c>
      <c r="DM42" s="49">
        <v>-1</v>
      </c>
      <c r="DQ42" s="51">
        <v>-1</v>
      </c>
      <c r="DR42" s="115"/>
      <c r="DS42" s="115"/>
      <c r="DT42" s="95">
        <f>SUM(DR5:DR40)</f>
        <v>225</v>
      </c>
      <c r="EI42" s="115">
        <v>19</v>
      </c>
      <c r="EJ42" s="115">
        <f t="shared" si="40"/>
        <v>284</v>
      </c>
      <c r="EK42" s="115">
        <v>17</v>
      </c>
      <c r="EL42" s="89">
        <v>55</v>
      </c>
      <c r="EM42" s="92">
        <f t="shared" si="62"/>
        <v>8.930000000000005</v>
      </c>
      <c r="EN42" s="92">
        <f t="shared" si="63"/>
        <v>2.7990000000000008</v>
      </c>
      <c r="EO42" s="92">
        <f t="shared" si="47"/>
        <v>3.1904251518399436</v>
      </c>
      <c r="EP42" s="85">
        <f t="shared" si="53"/>
        <v>19</v>
      </c>
      <c r="EQ42" s="85">
        <f t="shared" si="48"/>
        <v>0.26941367948870637</v>
      </c>
      <c r="ER42" s="85">
        <f>(SUM(EQ42:$EQ$53))*$EL$54/(SUM(EP42:$EP$53))</f>
        <v>5.5704169843580331</v>
      </c>
    </row>
    <row r="43" spans="1:163">
      <c r="D43" t="s">
        <v>232</v>
      </c>
      <c r="E43" t="s">
        <v>233</v>
      </c>
      <c r="F43" t="s">
        <v>234</v>
      </c>
      <c r="G43" t="s">
        <v>235</v>
      </c>
      <c r="I43" t="s">
        <v>253</v>
      </c>
      <c r="J43" t="s">
        <v>254</v>
      </c>
      <c r="DM43" s="49">
        <v>-1</v>
      </c>
      <c r="DQ43" s="51">
        <v>-1</v>
      </c>
      <c r="DR43" s="115">
        <v>13</v>
      </c>
      <c r="DS43" s="115">
        <v>16</v>
      </c>
      <c r="EI43" s="115">
        <v>12</v>
      </c>
      <c r="EJ43" s="115">
        <f t="shared" si="40"/>
        <v>296</v>
      </c>
      <c r="EK43" s="115">
        <v>18</v>
      </c>
      <c r="EL43" s="89">
        <v>55</v>
      </c>
      <c r="EM43" s="92">
        <f t="shared" si="62"/>
        <v>9.0600000000000058</v>
      </c>
      <c r="EN43" s="92">
        <f t="shared" si="63"/>
        <v>2.7860000000000009</v>
      </c>
      <c r="EO43" s="92">
        <f t="shared" si="47"/>
        <v>3.2519741564967708</v>
      </c>
      <c r="EP43" s="85">
        <f t="shared" si="53"/>
        <v>12</v>
      </c>
      <c r="EQ43" s="85">
        <f t="shared" si="48"/>
        <v>0.17343862167982776</v>
      </c>
      <c r="ER43" s="85">
        <f>(SUM(EQ43:$EQ$53))*$EL$54/(SUM(EP43:$EP$53))</f>
        <v>5.6586183991133492</v>
      </c>
      <c r="EY43" t="s">
        <v>196</v>
      </c>
      <c r="FD43" t="s">
        <v>204</v>
      </c>
    </row>
    <row r="44" spans="1:163">
      <c r="B44" t="s">
        <v>241</v>
      </c>
      <c r="D44">
        <f>F37</f>
        <v>2541.6000000000004</v>
      </c>
      <c r="E44">
        <f>G37</f>
        <v>964.80000000000018</v>
      </c>
      <c r="F44">
        <f>J37</f>
        <v>144.46637333333337</v>
      </c>
      <c r="G44">
        <f>K37</f>
        <v>175.42345333333338</v>
      </c>
      <c r="I44" s="84">
        <f>D44+E44</f>
        <v>3506.4000000000005</v>
      </c>
      <c r="J44" s="84">
        <f>F44+G44</f>
        <v>319.88982666666675</v>
      </c>
      <c r="DM44" s="49">
        <v>-1</v>
      </c>
      <c r="DQ44" s="51">
        <v>-1</v>
      </c>
      <c r="DR44" s="115">
        <v>10</v>
      </c>
      <c r="DS44" s="115">
        <v>17</v>
      </c>
      <c r="EI44" s="115">
        <v>13</v>
      </c>
      <c r="EJ44" s="115">
        <f t="shared" si="40"/>
        <v>309</v>
      </c>
      <c r="EK44" s="115">
        <v>19</v>
      </c>
      <c r="EL44" s="89">
        <v>55</v>
      </c>
      <c r="EM44" s="92">
        <f t="shared" si="62"/>
        <v>9.1900000000000066</v>
      </c>
      <c r="EN44" s="92">
        <f t="shared" si="63"/>
        <v>2.773000000000001</v>
      </c>
      <c r="EO44" s="92">
        <f t="shared" si="47"/>
        <v>3.314100252434188</v>
      </c>
      <c r="EP44" s="85">
        <f t="shared" si="53"/>
        <v>13</v>
      </c>
      <c r="EQ44" s="85">
        <f t="shared" si="48"/>
        <v>0.19148134791841975</v>
      </c>
      <c r="ER44" s="85">
        <f>(SUM(EQ44:$EQ$53))*$EL$54/(SUM(EP44:$EP$53))</f>
        <v>5.7218310456068258</v>
      </c>
      <c r="EY44" t="s">
        <v>197</v>
      </c>
      <c r="EZ44">
        <f>(2*'Dane dla CO'!H35)/(30*Dobór!$P$27)</f>
        <v>147.82743662551439</v>
      </c>
      <c r="FD44" t="s">
        <v>197</v>
      </c>
      <c r="FE44">
        <f>'Dane dla CWU'!H43/30</f>
        <v>125.54815777777777</v>
      </c>
    </row>
    <row r="45" spans="1:163">
      <c r="B45" t="s">
        <v>242</v>
      </c>
      <c r="D45">
        <f>Q37</f>
        <v>1699.1999999999998</v>
      </c>
      <c r="E45">
        <f>R37</f>
        <v>2484.0000000000005</v>
      </c>
      <c r="F45">
        <f>U37</f>
        <v>92.87124</v>
      </c>
      <c r="G45">
        <f>V37</f>
        <v>206.3805333333334</v>
      </c>
      <c r="I45" s="84">
        <f t="shared" ref="I45:I55" si="64">D45+E45</f>
        <v>4183.2000000000007</v>
      </c>
      <c r="J45" s="84">
        <f t="shared" ref="J45:J55" si="65">F45+G45</f>
        <v>299.2517733333334</v>
      </c>
      <c r="DM45" s="49">
        <v>-1</v>
      </c>
      <c r="DQ45" s="51">
        <v>-1</v>
      </c>
      <c r="DR45" s="115">
        <v>12</v>
      </c>
      <c r="DS45" s="115">
        <v>18</v>
      </c>
      <c r="DT45" s="95"/>
      <c r="DU45" s="95"/>
      <c r="DV45" s="118">
        <v>11.67</v>
      </c>
      <c r="DW45" s="118">
        <v>1.9</v>
      </c>
      <c r="DX45" s="95"/>
      <c r="DY45" s="118">
        <v>13</v>
      </c>
      <c r="DZ45" s="118">
        <v>1.9</v>
      </c>
      <c r="EI45" s="115">
        <v>10</v>
      </c>
      <c r="EJ45" s="115">
        <f t="shared" si="40"/>
        <v>319</v>
      </c>
      <c r="EK45" s="115">
        <v>20</v>
      </c>
      <c r="EL45" s="89">
        <v>55</v>
      </c>
      <c r="EM45" s="117">
        <v>9.32</v>
      </c>
      <c r="EN45" s="117">
        <v>2.76</v>
      </c>
      <c r="EO45" s="92">
        <f t="shared" si="47"/>
        <v>3.3768115942028989</v>
      </c>
      <c r="EP45" s="85">
        <f t="shared" si="53"/>
        <v>10</v>
      </c>
      <c r="EQ45" s="85">
        <f t="shared" si="48"/>
        <v>0.15008051529790664</v>
      </c>
      <c r="ER45" s="85">
        <f>(SUM(EQ45:$EQ$53))*$EL$54/(SUM(EP45:$EP$53))</f>
        <v>5.7972982430585267</v>
      </c>
      <c r="ES45">
        <f>(EM53-EM45)/8</f>
        <v>0.16124999999999989</v>
      </c>
      <c r="ET45">
        <f>(EN53-EN45)/8</f>
        <v>-1.6249999999999987E-2</v>
      </c>
    </row>
    <row r="46" spans="1:163">
      <c r="B46" t="s">
        <v>243</v>
      </c>
      <c r="D46">
        <f>AB37</f>
        <v>2268</v>
      </c>
      <c r="E46">
        <f>AC37</f>
        <v>0</v>
      </c>
      <c r="F46">
        <f>AF37</f>
        <v>257.97566666666677</v>
      </c>
      <c r="G46">
        <f>AG37</f>
        <v>61.914159999999995</v>
      </c>
      <c r="I46" s="84">
        <f t="shared" si="64"/>
        <v>2268</v>
      </c>
      <c r="J46" s="84">
        <f t="shared" si="65"/>
        <v>319.88982666666675</v>
      </c>
      <c r="DM46" s="49">
        <v>0</v>
      </c>
      <c r="DQ46" s="51">
        <v>0</v>
      </c>
      <c r="DR46" s="115">
        <v>9</v>
      </c>
      <c r="DS46" s="115">
        <v>19</v>
      </c>
      <c r="EI46" s="115">
        <v>15</v>
      </c>
      <c r="EJ46" s="115">
        <f t="shared" si="40"/>
        <v>334</v>
      </c>
      <c r="EK46" s="115">
        <v>21</v>
      </c>
      <c r="EL46" s="89">
        <v>55</v>
      </c>
      <c r="EM46" s="92">
        <f>EM45+$ES$45</f>
        <v>9.4812499999999993</v>
      </c>
      <c r="EN46" s="92">
        <f>EN45+$ET$45</f>
        <v>2.7437499999999999</v>
      </c>
      <c r="EO46" s="92">
        <f t="shared" si="47"/>
        <v>3.4555808656036446</v>
      </c>
      <c r="EP46" s="85">
        <f t="shared" si="53"/>
        <v>15</v>
      </c>
      <c r="EQ46" s="85">
        <f t="shared" si="48"/>
        <v>0.23037205770690966</v>
      </c>
      <c r="ER46" s="85">
        <f>(SUM(EQ46:$EQ$53))*$EL$54/(SUM(EP46:$EP$53))</f>
        <v>5.8620538564957911</v>
      </c>
      <c r="EY46" t="s">
        <v>198</v>
      </c>
      <c r="FD46" t="s">
        <v>205</v>
      </c>
    </row>
    <row r="47" spans="1:163">
      <c r="B47" t="s">
        <v>244</v>
      </c>
      <c r="D47">
        <f>AL37</f>
        <v>1252.8000000000002</v>
      </c>
      <c r="E47">
        <f>AN37</f>
        <v>0</v>
      </c>
      <c r="F47">
        <f>AQ37</f>
        <v>288.93274666666679</v>
      </c>
      <c r="G47">
        <f>AR37</f>
        <v>20.638053333333332</v>
      </c>
      <c r="I47" s="84">
        <f t="shared" si="64"/>
        <v>1252.8000000000002</v>
      </c>
      <c r="J47" s="84">
        <f t="shared" si="65"/>
        <v>309.57080000000013</v>
      </c>
      <c r="DM47" s="49">
        <v>0</v>
      </c>
      <c r="DQ47" s="51">
        <v>0</v>
      </c>
      <c r="DR47" s="115">
        <v>10</v>
      </c>
      <c r="DS47" s="115">
        <v>20</v>
      </c>
      <c r="EI47" s="115">
        <v>9</v>
      </c>
      <c r="EJ47" s="115">
        <f t="shared" si="40"/>
        <v>343</v>
      </c>
      <c r="EK47" s="115">
        <v>22</v>
      </c>
      <c r="EL47" s="89">
        <v>55</v>
      </c>
      <c r="EM47" s="92">
        <f t="shared" ref="EM47:EM52" si="66">EM46+$ES$45</f>
        <v>9.6424999999999983</v>
      </c>
      <c r="EN47" s="92">
        <f t="shared" ref="EN47:EN52" si="67">EN46+$ET$45</f>
        <v>2.7275</v>
      </c>
      <c r="EO47" s="92">
        <f t="shared" si="47"/>
        <v>3.5352887259395045</v>
      </c>
      <c r="EP47" s="85">
        <f t="shared" si="53"/>
        <v>9</v>
      </c>
      <c r="EQ47" s="85">
        <f t="shared" si="48"/>
        <v>0.14141154903758019</v>
      </c>
      <c r="ER47" s="85">
        <f>(SUM(EQ47:$EQ$53))*$EL$54/(SUM(EP47:$EP$53))</f>
        <v>5.9750111917054136</v>
      </c>
      <c r="EY47" t="s">
        <v>199</v>
      </c>
      <c r="EZ47" s="84">
        <f>EZ44*EZ48</f>
        <v>443.48230987654318</v>
      </c>
      <c r="FA47" t="s">
        <v>61</v>
      </c>
      <c r="FB47">
        <f>(ABS(EZ47))</f>
        <v>443.48230987654318</v>
      </c>
      <c r="FD47" t="s">
        <v>199</v>
      </c>
      <c r="FE47" s="84">
        <f>FE48*FE44</f>
        <v>1506.5778933333333</v>
      </c>
      <c r="FF47" t="s">
        <v>61</v>
      </c>
      <c r="FG47">
        <f>ABS(FE47)</f>
        <v>1506.5778933333333</v>
      </c>
    </row>
    <row r="48" spans="1:163">
      <c r="B48" t="s">
        <v>245</v>
      </c>
      <c r="F48">
        <f>31*E42/365</f>
        <v>319.88982666666664</v>
      </c>
      <c r="G48">
        <v>0</v>
      </c>
      <c r="I48" s="84">
        <f t="shared" si="64"/>
        <v>0</v>
      </c>
      <c r="J48" s="84">
        <f t="shared" si="65"/>
        <v>319.88982666666664</v>
      </c>
      <c r="DM48" s="49">
        <v>0</v>
      </c>
      <c r="DQ48" s="51">
        <v>0</v>
      </c>
      <c r="DR48" s="115">
        <v>14</v>
      </c>
      <c r="DS48" s="115">
        <v>21</v>
      </c>
      <c r="EI48" s="115">
        <v>9</v>
      </c>
      <c r="EJ48" s="115">
        <f t="shared" si="40"/>
        <v>352</v>
      </c>
      <c r="EK48" s="115">
        <v>23</v>
      </c>
      <c r="EL48" s="89">
        <v>55</v>
      </c>
      <c r="EM48" s="92">
        <f t="shared" si="66"/>
        <v>9.8037499999999973</v>
      </c>
      <c r="EN48" s="92">
        <f t="shared" si="67"/>
        <v>2.7112500000000002</v>
      </c>
      <c r="EO48" s="92">
        <f t="shared" si="47"/>
        <v>3.6159520516366976</v>
      </c>
      <c r="EP48" s="85">
        <f t="shared" si="53"/>
        <v>9</v>
      </c>
      <c r="EQ48" s="85">
        <f t="shared" si="48"/>
        <v>0.14463808206546791</v>
      </c>
      <c r="ER48" s="85">
        <f>(SUM(EQ48:$EQ$53))*$EL$54/(SUM(EP48:$EP$53))</f>
        <v>6.0627709211660417</v>
      </c>
      <c r="EY48" t="s">
        <v>200</v>
      </c>
      <c r="EZ48" s="84">
        <f>EZ4-EZ3</f>
        <v>3</v>
      </c>
      <c r="FD48" t="s">
        <v>200</v>
      </c>
      <c r="FE48" s="84">
        <f>EZ7-EZ6</f>
        <v>12</v>
      </c>
    </row>
    <row r="49" spans="2:162">
      <c r="B49" t="s">
        <v>246</v>
      </c>
      <c r="F49">
        <f>31*E42/365</f>
        <v>319.88982666666664</v>
      </c>
      <c r="G49">
        <v>0</v>
      </c>
      <c r="I49" s="84">
        <f t="shared" si="64"/>
        <v>0</v>
      </c>
      <c r="J49" s="84">
        <f t="shared" si="65"/>
        <v>319.88982666666664</v>
      </c>
      <c r="DM49" s="49">
        <v>0</v>
      </c>
      <c r="DQ49" s="51">
        <v>0</v>
      </c>
      <c r="DR49" s="115">
        <v>8</v>
      </c>
      <c r="DS49" s="115">
        <v>22</v>
      </c>
      <c r="EI49" s="115">
        <v>3</v>
      </c>
      <c r="EJ49" s="115">
        <f t="shared" si="40"/>
        <v>355</v>
      </c>
      <c r="EK49" s="115">
        <v>24</v>
      </c>
      <c r="EL49" s="89">
        <v>55</v>
      </c>
      <c r="EM49" s="92">
        <f t="shared" si="66"/>
        <v>9.9649999999999963</v>
      </c>
      <c r="EN49" s="92">
        <f t="shared" si="67"/>
        <v>2.6950000000000003</v>
      </c>
      <c r="EO49" s="92">
        <f t="shared" si="47"/>
        <v>3.6975881261595531</v>
      </c>
      <c r="EP49" s="85">
        <f t="shared" si="53"/>
        <v>3</v>
      </c>
      <c r="EQ49" s="85">
        <f t="shared" si="48"/>
        <v>4.9301175015460705E-2</v>
      </c>
      <c r="ER49" s="85">
        <f>(SUM(EQ49:$EQ$53))*$EL$54/(SUM(EP49:$EP$53))</f>
        <v>6.1790137964898335</v>
      </c>
    </row>
    <row r="50" spans="2:162">
      <c r="B50" t="s">
        <v>247</v>
      </c>
      <c r="F50">
        <f>31*E42/365</f>
        <v>319.88982666666664</v>
      </c>
      <c r="G50">
        <v>0</v>
      </c>
      <c r="I50" s="84">
        <f t="shared" si="64"/>
        <v>0</v>
      </c>
      <c r="J50" s="84">
        <f t="shared" si="65"/>
        <v>319.88982666666664</v>
      </c>
      <c r="DM50" s="49">
        <v>0</v>
      </c>
      <c r="DQ50" s="51">
        <v>0</v>
      </c>
      <c r="DR50" s="115">
        <v>9</v>
      </c>
      <c r="DS50" s="115">
        <v>23</v>
      </c>
      <c r="EI50" s="115">
        <v>7</v>
      </c>
      <c r="EJ50" s="115">
        <f t="shared" si="40"/>
        <v>362</v>
      </c>
      <c r="EK50" s="115">
        <v>25</v>
      </c>
      <c r="EL50" s="89">
        <v>55</v>
      </c>
      <c r="EM50" s="92">
        <f t="shared" si="66"/>
        <v>10.126249999999995</v>
      </c>
      <c r="EN50" s="92">
        <f t="shared" si="67"/>
        <v>2.6787500000000004</v>
      </c>
      <c r="EO50" s="92">
        <f t="shared" si="47"/>
        <v>3.7802146523565074</v>
      </c>
      <c r="EP50" s="85">
        <f t="shared" si="53"/>
        <v>7</v>
      </c>
      <c r="EQ50" s="85">
        <f t="shared" si="48"/>
        <v>0.11760667807331357</v>
      </c>
      <c r="ER50" s="85">
        <f>(SUM(EQ50:$EQ$53))*$EL$54/(SUM(EP50:$EP$53))</f>
        <v>6.2238148268362785</v>
      </c>
    </row>
    <row r="51" spans="2:162">
      <c r="B51" t="s">
        <v>248</v>
      </c>
      <c r="F51">
        <f>31*E42/365</f>
        <v>319.88982666666664</v>
      </c>
      <c r="G51">
        <v>0</v>
      </c>
      <c r="I51" s="84">
        <f t="shared" si="64"/>
        <v>0</v>
      </c>
      <c r="J51" s="84">
        <f t="shared" si="65"/>
        <v>319.88982666666664</v>
      </c>
      <c r="DM51" s="49">
        <v>0</v>
      </c>
      <c r="DQ51" s="51">
        <v>0</v>
      </c>
      <c r="DR51" s="115">
        <v>3</v>
      </c>
      <c r="DS51" s="115">
        <v>24</v>
      </c>
      <c r="EI51" s="115">
        <v>3</v>
      </c>
      <c r="EJ51" s="115">
        <f t="shared" si="40"/>
        <v>365</v>
      </c>
      <c r="EK51" s="115">
        <v>26</v>
      </c>
      <c r="EL51" s="89">
        <v>55</v>
      </c>
      <c r="EM51" s="92">
        <f t="shared" si="66"/>
        <v>10.287499999999994</v>
      </c>
      <c r="EN51" s="92">
        <f t="shared" si="67"/>
        <v>2.6625000000000005</v>
      </c>
      <c r="EO51" s="92">
        <f t="shared" si="47"/>
        <v>3.8638497652582129</v>
      </c>
      <c r="EP51" s="85">
        <f t="shared" si="53"/>
        <v>3</v>
      </c>
      <c r="EQ51" s="85">
        <f t="shared" si="48"/>
        <v>5.1517996870109509E-2</v>
      </c>
      <c r="ER51" s="85">
        <f>(SUM(EQ51:$EQ$53))*$EL$54/(SUM(EP51:$EP$53))</f>
        <v>6.3544797300915725</v>
      </c>
    </row>
    <row r="52" spans="2:162">
      <c r="B52" t="s">
        <v>249</v>
      </c>
      <c r="D52">
        <f>BZ37</f>
        <v>367.20000000000016</v>
      </c>
      <c r="E52">
        <f>CA37</f>
        <v>0</v>
      </c>
      <c r="F52">
        <f>CD37</f>
        <v>257.97566666666677</v>
      </c>
      <c r="G52">
        <f>CE37</f>
        <v>51.59513333333333</v>
      </c>
      <c r="I52" s="84">
        <f t="shared" si="64"/>
        <v>367.20000000000016</v>
      </c>
      <c r="J52" s="84">
        <f t="shared" si="65"/>
        <v>309.57080000000008</v>
      </c>
      <c r="DM52" s="49">
        <v>0</v>
      </c>
      <c r="DQ52" s="51">
        <v>0</v>
      </c>
      <c r="DR52" s="115">
        <v>7</v>
      </c>
      <c r="DS52" s="115">
        <v>25</v>
      </c>
      <c r="EI52" s="115">
        <v>0</v>
      </c>
      <c r="EJ52" s="115">
        <f t="shared" si="40"/>
        <v>365</v>
      </c>
      <c r="EK52" s="115">
        <v>27</v>
      </c>
      <c r="EL52" s="89">
        <v>55</v>
      </c>
      <c r="EM52" s="92">
        <f t="shared" si="66"/>
        <v>10.448749999999993</v>
      </c>
      <c r="EN52" s="92">
        <f t="shared" si="67"/>
        <v>2.6462500000000007</v>
      </c>
      <c r="EO52" s="92">
        <f t="shared" si="47"/>
        <v>3.948512045347186</v>
      </c>
      <c r="EP52" s="85">
        <f t="shared" si="53"/>
        <v>0</v>
      </c>
      <c r="EQ52" s="85">
        <f t="shared" si="48"/>
        <v>0</v>
      </c>
      <c r="ER52" s="85">
        <f>(SUM(EQ52:$EQ$53))*$EL$54/(SUM(EP52:$EP$53))</f>
        <v>6.5623320659062099</v>
      </c>
    </row>
    <row r="53" spans="2:162">
      <c r="B53" t="s">
        <v>250</v>
      </c>
      <c r="D53">
        <f>CK37</f>
        <v>1728</v>
      </c>
      <c r="E53">
        <f>CL37</f>
        <v>0</v>
      </c>
      <c r="F53">
        <f>CO37</f>
        <v>278.61372000000011</v>
      </c>
      <c r="G53">
        <f>CP37</f>
        <v>41.276106666666664</v>
      </c>
      <c r="I53" s="84">
        <f t="shared" si="64"/>
        <v>1728</v>
      </c>
      <c r="J53" s="84">
        <f t="shared" si="65"/>
        <v>319.88982666666675</v>
      </c>
      <c r="DM53" s="49">
        <v>0</v>
      </c>
      <c r="DQ53" s="51">
        <v>0</v>
      </c>
      <c r="DR53" s="115">
        <v>3</v>
      </c>
      <c r="DS53" s="115">
        <v>26</v>
      </c>
      <c r="EI53" s="115">
        <v>1</v>
      </c>
      <c r="EJ53" s="115">
        <f t="shared" si="40"/>
        <v>366</v>
      </c>
      <c r="EK53" s="115">
        <v>28</v>
      </c>
      <c r="EL53" s="89">
        <v>55</v>
      </c>
      <c r="EM53" s="117">
        <v>10.61</v>
      </c>
      <c r="EN53" s="117">
        <v>2.63</v>
      </c>
      <c r="EO53" s="92">
        <f t="shared" si="47"/>
        <v>4.0342205323193916</v>
      </c>
      <c r="EP53" s="85">
        <f t="shared" si="53"/>
        <v>1</v>
      </c>
      <c r="EQ53" s="85">
        <f t="shared" si="48"/>
        <v>1.7929869032530629E-2</v>
      </c>
      <c r="ER53" s="85">
        <f>EQ53*$EL$54/EP53</f>
        <v>6.5623320659062099</v>
      </c>
    </row>
    <row r="54" spans="2:162">
      <c r="B54" t="s">
        <v>251</v>
      </c>
      <c r="D54">
        <f>CV37</f>
        <v>2397.6000000000013</v>
      </c>
      <c r="E54">
        <f>CW37</f>
        <v>0</v>
      </c>
      <c r="F54">
        <f>CZ37</f>
        <v>257.97566666666677</v>
      </c>
      <c r="G54">
        <f>DA37</f>
        <v>51.59513333333333</v>
      </c>
      <c r="I54" s="84">
        <f t="shared" si="64"/>
        <v>2397.6000000000013</v>
      </c>
      <c r="J54" s="84">
        <f t="shared" si="65"/>
        <v>309.57080000000008</v>
      </c>
      <c r="DM54" s="49">
        <v>0</v>
      </c>
      <c r="DQ54" s="51">
        <v>0</v>
      </c>
      <c r="DR54" s="115">
        <v>0</v>
      </c>
      <c r="DS54" s="115">
        <v>27</v>
      </c>
      <c r="EL54" s="95">
        <f>SUM(EI5:EI53)</f>
        <v>366</v>
      </c>
    </row>
    <row r="55" spans="2:162">
      <c r="B55" t="s">
        <v>252</v>
      </c>
      <c r="D55">
        <f>DG37</f>
        <v>3549.6</v>
      </c>
      <c r="E55">
        <f>DH37</f>
        <v>381.60000000000008</v>
      </c>
      <c r="F55">
        <f>DK37</f>
        <v>30.957079999999998</v>
      </c>
      <c r="G55">
        <f>DL37</f>
        <v>288.93274666666679</v>
      </c>
      <c r="I55" s="84">
        <f t="shared" si="64"/>
        <v>3931.2</v>
      </c>
      <c r="J55" s="84">
        <f t="shared" si="65"/>
        <v>319.88982666666681</v>
      </c>
      <c r="DM55" s="49">
        <v>0</v>
      </c>
      <c r="DQ55" s="51">
        <v>0</v>
      </c>
      <c r="DR55" s="115">
        <v>1</v>
      </c>
      <c r="DS55" s="115">
        <v>28</v>
      </c>
      <c r="DT55" s="95">
        <f>SUM(DR43:DR55)</f>
        <v>99</v>
      </c>
      <c r="EL55" s="101"/>
    </row>
    <row r="56" spans="2:162">
      <c r="D56" s="128">
        <f>(D44+D45+D46+D47+D52+D53+D54+D55)/(I44+I45+I46+I47+I48+I49+I50+I51+I52+I53+I54+I55)</f>
        <v>0.80491382471580475</v>
      </c>
      <c r="F56" s="128">
        <f>(F44+F45+F46+F47+F52+F53+F54+F55+F48+F49+F50+F51)/(J44+J45+J46+J47+J48+J49+J50+J51+J52+J53+J54+J55)</f>
        <v>0.76294277929155307</v>
      </c>
      <c r="DM56" s="49">
        <v>0</v>
      </c>
      <c r="DQ56" s="51">
        <v>0</v>
      </c>
      <c r="EI56" s="115">
        <v>0</v>
      </c>
      <c r="EJ56" s="115">
        <f>EI56</f>
        <v>0</v>
      </c>
      <c r="EK56" s="115">
        <v>-20</v>
      </c>
      <c r="ER56">
        <f>IF(Dobór!$M$18="Ogrzewanie podłogowe 35/28",EG5,IF(Dobór!$M$18="Grzejniki niskotemperaturowe 55/45",ED5,Error))</f>
        <v>3.7085345517261197</v>
      </c>
    </row>
    <row r="57" spans="2:162">
      <c r="DM57" s="49">
        <v>0</v>
      </c>
      <c r="DQ57" s="51">
        <v>0</v>
      </c>
      <c r="EI57" s="115">
        <v>0</v>
      </c>
      <c r="EJ57" s="115">
        <f>EJ56+EI57</f>
        <v>0</v>
      </c>
      <c r="EK57" s="115">
        <v>-19</v>
      </c>
      <c r="ER57">
        <f>IF(Dobór!$M$18="Ogrzewanie podłogowe 35/28",EG6,IF(Dobór!$M$18="Grzejniki niskotemperaturowe 55/45",ED6,Error))</f>
        <v>3.7085345517261197</v>
      </c>
      <c r="EZ57" s="84">
        <f>EZ3</f>
        <v>-10</v>
      </c>
      <c r="FA57" s="84"/>
      <c r="FB57" s="84">
        <f>IF(EZ57=EK56,ER56,IF(EZ57=EK57,ER57,IF(EZ57=EK58,ER58,IF(EZ57=EK59,ER59,IF(EZ57=EK60,ER60,IF(EZ57=EK61,ER61,IF(EZ57=EK62,ER62,IF(EZ57=EK63,ER63,IF(EZ57=EK64,ER64,IF(EZ57=EK65,ER65,IF(EZ57=EK66,ER66,IF(EZ57=EK67,ER67,IF(EZ57=EK68,ER68,IF(EZ57=EK69,ER69,IF(EZ57=EK70,ER70,IF(EZ57=EK71,ER71,IF(EZ57=EK72,ER72,IF(EZ57=EK73,ER73,IF(EZ57=EK74,ER74,IF(EZ57=EK75,ER75,IF(EZ57=EK76,ER76,IF(EZ57=EK77,ER77,IF(EZ57=EK78,ER78,IF(EZ57=EK79,ER79,IF(EZ57=EK80,ER80,IF(EZ57=EK81,ER81,IF(EZ57=EK82,ER82,IF(EZ57=EK83,ER83,IF(EZ57=EK84,ER84,IF(EZ57=EK85,ER85,IF(EZ57=EK86,ER86,IF(EZ57=EK87,ER87,IF(EZ57=EK88,ER88,IF(EZ57=EK89,ER89,IF(EZ57=EK90,ER90,IF(EZ57=EK91,ER91,IF(EZ57=EK92,ER92,IF(EZ57=EK93,ER93,IF(EZ57=EK94,ER94,IF(EZ57=EK95,ER95,IF(EZ57=EK96,ER96,IF(EZ57=EK97,ER97,IF(EZ57=EK98,ER98,IF(EZ57=EK99,ER99,IF(EZ57=EK100,ER100,IF(EZ57=EK101,ER101,IF(EZ57=EK102,ER102,ER103)))))))))))))))))))))))))))))))))))))))))))))))</f>
        <v>3.804935485604561</v>
      </c>
      <c r="FF57">
        <f>IF(EZ57=EK56,EJ56,IF(EZ57=EK57,EJ57,IF(EZ57=EK58,EJ58,IF(EZ57=EK59,EJ59,IF(EZ57=EK60,EJ60,IF(EZ57=EK60,EJ60,IF(EZ57=EK61,EJ61,IF(EZ57=EK62,EJ62,IF(EZ57=EK63,EJ63,IF(EZ57=EK64,EJ64,IF(EZ57=EK65,EJ65,IF(EZ57=EK66,EJ66,IF(EZ57=EK67,EJ67,IF(EZ57=EK68,EJ68,IF(EZ57=EK69,EJ69,IF(EZ57=EK70,EJ70,IF(EZ57=EK71,EJ71,IF(EZ57=EK72,EJ72,IF(EZ57=EK73,EJ73,IF(EZ57=EK74,EJ74,IF(EZ57=EK75,EJ75,IF(EZ57=EK76,EJ76,IF(EZ57=EK77,EJ77,IF(EZ57=EK78,EJ78,IF(EZ57=EK79,EJ79,IF(EZ57=EK80,EJ80,IF(EZ57=EK81,EJ81,IF(EZ57=EK82,EJ82,IF(EZ57=EK83,EJ83,IF(EZ57=EK84,EJ84,IF(EZ57=EK85,EJ85,IF(EZ57=EK86,EJ86,IF(EZ57=EK87,EJ87,IF(EZ57=EK88,EJ88,IF(EZ57=EK89,EJ89,IF(EZ57=EK90,EJ90,IF(EZ57=EK91,EJ91,IF(EZ57=EK92,EJ92,IF(EZ57=EK93,EJ93,IF(EZ57=EK94,EJ94,IF(EZ57=EK95,EJ95,IF(EZ57=EK96,EJ96,IF(EZ57=EK97,EJ97,IF(EZ57=EK98,EJ98,IF(EZ57=EK99,EJ99,IF(EZ57=EK100,EJ100,IF(EZ57=EK101,EJ101,IF(EZ57=EK102,BSK52,EJ103))))))))))))))))))))))))))))))))))))))))))))))))</f>
        <v>18</v>
      </c>
    </row>
    <row r="58" spans="2:162">
      <c r="DM58" s="49">
        <v>0</v>
      </c>
      <c r="DQ58" s="51">
        <v>0</v>
      </c>
      <c r="EI58" s="115">
        <v>1</v>
      </c>
      <c r="EJ58" s="115">
        <f t="shared" ref="EJ58:EJ106" si="68">EJ57+EI58</f>
        <v>1</v>
      </c>
      <c r="EK58" s="115">
        <v>-18</v>
      </c>
      <c r="ER58">
        <f>IF(Dobór!$M$18="Ogrzewanie podłogowe 35/28",EG7,IF(Dobór!$M$18="Grzejniki niskotemperaturowe 55/45",ED7,Error))</f>
        <v>3.7085345517261197</v>
      </c>
      <c r="EZ58" s="84">
        <f>EZ4</f>
        <v>-7</v>
      </c>
      <c r="FA58" s="84"/>
      <c r="FB58" s="84">
        <f>IF(EZ58=EK56,ER56,IF(EZ58=EK57,ER57,IF(EZ58=EK58,ER58,IF(EZ58=EK59,ER59,IF(EZ58=EK60,ER60,IF(EZ58=EK61,ER61,IF(EZ58=EK62,ER62,IF(EZ58=EK63,ER63,IF(EZ58=EK64,ER64,IF(EZ58=EK65,ER65,IF(EZ58=EK66,ER66,IF(EZ58=EK67,ER67,IF(EZ58=EK68,ER68,IF(EZ58=EK69,ER69,IF(EZ58=EK70,ER70,IF(EZ58=EK71,ER71,IF(EZ58=EK72,ER72,IF(EZ58=EK73,ER73,IF(EZ58=EK74,ER74,IF(EZ58=EK75,ER75,IF(EZ58=EK76,ER76,IF(EZ58=EK77,ER77,IF(EZ58=EK78,ER78,IF(EZ58=EK79,ER79,IF(EZ58=EK80,ER80,IF(EZ58=EK81,ER81,IF(EZ58=EK82,ER82,IF(EZ58=EK83,ER83,IF(EZ58=EK84,ER84,IF(EZ58=EK85,ER85,IF(EZ58=EK86,ER86,IF(EZ58=EK87,ER87,IF(EZ58=EK88,ER88,IF(EZ58=EK89,ER89,IF(EZ58=EK90,ER90,IF(EZ58=EK91,ER91,IF(EZ58=EK92,ER92,IF(EZ58=EK93,ER93,IF(EZ58=EK94,ER94,IF(EZ58=EK95,ER95,IF(EZ58=EK96,ER96,IF(EZ58=EK97,ER97,IF(EZ58=EK98,ER98,IF(EZ58=EK99,ER99,IF(EZ58=EK100,ER100,IF(EZ58=EK101,ER101,IF(EZ58=EK102,ER102,IF(EZ58=EK103,ER103,ER104))))))))))))))))))))))))))))))))))))))))))))))))</f>
        <v>3.8642446410853979</v>
      </c>
      <c r="FF58">
        <f>IF(EZ58=EK56,EJ56,IF(EZ58=EK57,EJ57,IF(EZ58=EK57,EJ57,IF(EZ58=EK58,EJ58,IF(EZ58=EK59,EJ59,IF(EZ58=EK60,EJ60,IF(EZ58=EK61,EJ61,IF(EZ58=EK62,EJ62,IF(EZ58=EK63,EJ63,IF(EZ58=EK64,EJ64,IF(EZ58=EK65,EJ65,IF(EZ58=EK66,EJ66,IF(EZ58=EK67,EJ67,IF(EZ58=EK68,EJ68,IF(EZ58=EK69,EJ69,IF(EZ58=EK70,EJ70,IF(EZ58=EK71,EJ71,IF(EZ58=EK72,EJ72,IF(EZ58=EK73,EJ73,IF(EZ58=EK74,EJ74,IF(EZ58=EK75,EJ75,IF(EZ58=EK76,EJ76,IF(EZ58=EK77,EJ77,IF(EZ58=EK78,EJ78,IF(EZ58=EK79,EJ79,IF(EZ58=EK80,EJ80,IF(EZ58=EK81,EJ81,IF(EZ58=EK82,EJ82,IF(EZ58=EK83,EJ83,IF(EZ58=EK84,EJ84,IF(EZ58=EK85,EJ85,IF(EZ58=EK86,EJ86,IF(EZ58=EK87,EJ87,IF(EZ58=EK88,EJ88,IF(EZ58=EK89,EJ89,IF(EZ58=EK90,EJ90,IF(EZ58=EK91,EJ91,IF(EZ58=EK92,EJ92,IF(EZ58=EK93,EJ93,IF(EZ58=EK94,EJ94,IF(EZ58=EK95,EJ95,IF(EZ58=EK96,EJ96,IF(EZ58=EK97,EJ97,IF(EZ58=EK98,EJ98,IF(EZ58=EK99,EJ99,IF(EZ58=EK100,EJ100,IF(EZ58=EK101,EJ101,IF(EZ58=EK102,EJ102,IF(EZ58=EK103,BSK53,EJ104)))))))))))))))))))))))))))))))))))))))))))))))))</f>
        <v>20</v>
      </c>
    </row>
    <row r="59" spans="2:162">
      <c r="DM59" s="49">
        <v>0</v>
      </c>
      <c r="DQ59" s="51">
        <v>0</v>
      </c>
      <c r="EI59" s="115">
        <v>0</v>
      </c>
      <c r="EJ59" s="115">
        <f t="shared" si="68"/>
        <v>1</v>
      </c>
      <c r="EK59" s="115">
        <v>-17</v>
      </c>
      <c r="ER59">
        <f>IF(Dobór!$M$18="Ogrzewanie podłogowe 35/28",EG8,IF(Dobór!$M$18="Grzejniki niskotemperaturowe 55/45",ED8,Error))</f>
        <v>3.7182025084442456</v>
      </c>
    </row>
    <row r="60" spans="2:162">
      <c r="DM60" s="49">
        <v>0</v>
      </c>
      <c r="DQ60" s="51">
        <v>0</v>
      </c>
      <c r="EI60" s="115">
        <v>1</v>
      </c>
      <c r="EJ60" s="115">
        <f t="shared" si="68"/>
        <v>2</v>
      </c>
      <c r="EK60" s="115">
        <v>-16</v>
      </c>
      <c r="ER60">
        <f>IF(Dobór!$M$18="Ogrzewanie podłogowe 35/28",EG9,IF(Dobór!$M$18="Grzejniki niskotemperaturowe 55/45",ED9,Error))</f>
        <v>3.7182025084442456</v>
      </c>
    </row>
    <row r="61" spans="2:162">
      <c r="DM61" s="49">
        <v>0</v>
      </c>
      <c r="DQ61" s="51">
        <v>0</v>
      </c>
      <c r="EI61" s="115">
        <v>0</v>
      </c>
      <c r="EJ61" s="115">
        <f t="shared" si="68"/>
        <v>2</v>
      </c>
      <c r="EK61" s="115">
        <v>-15</v>
      </c>
      <c r="ER61">
        <f>IF(Dobór!$M$18="Ogrzewanie podłogowe 35/28",EG10,IF(Dobór!$M$18="Grzejniki niskotemperaturowe 55/45",ED10,Error))</f>
        <v>3.7274314154327848</v>
      </c>
    </row>
    <row r="62" spans="2:162">
      <c r="DM62" s="49">
        <v>0</v>
      </c>
      <c r="DQ62" s="51">
        <v>0</v>
      </c>
      <c r="EI62" s="115">
        <v>3</v>
      </c>
      <c r="EJ62" s="115">
        <f t="shared" si="68"/>
        <v>5</v>
      </c>
      <c r="EK62" s="115">
        <v>-14</v>
      </c>
      <c r="ER62">
        <f>IF(Dobór!$M$18="Ogrzewanie podłogowe 35/28",EG11,IF(Dobór!$M$18="Grzejniki niskotemperaturowe 55/45",ED11,Error))</f>
        <v>3.7274314154327848</v>
      </c>
    </row>
    <row r="63" spans="2:162">
      <c r="DM63" s="49">
        <v>1</v>
      </c>
      <c r="DQ63" s="51">
        <v>1</v>
      </c>
      <c r="EI63" s="115">
        <v>1</v>
      </c>
      <c r="EJ63" s="115">
        <f t="shared" si="68"/>
        <v>6</v>
      </c>
      <c r="EK63" s="115">
        <v>-13</v>
      </c>
      <c r="ER63">
        <f>IF(Dobór!$M$18="Ogrzewanie podłogowe 35/28",EG12,IF(Dobór!$M$18="Grzejniki niskotemperaturowe 55/45",ED12,Error))</f>
        <v>3.7419341108940798</v>
      </c>
    </row>
    <row r="64" spans="2:162">
      <c r="DM64" s="49">
        <v>1</v>
      </c>
      <c r="DQ64" s="51">
        <v>1</v>
      </c>
      <c r="EI64" s="115">
        <v>3</v>
      </c>
      <c r="EJ64" s="115">
        <f t="shared" si="68"/>
        <v>9</v>
      </c>
      <c r="EK64" s="115">
        <v>-12</v>
      </c>
      <c r="ER64">
        <f>IF(Dobór!$M$18="Ogrzewanie podłogowe 35/28",EG13,IF(Dobór!$M$18="Grzejniki niskotemperaturowe 55/45",ED13,Error))</f>
        <v>3.7480012842748938</v>
      </c>
    </row>
    <row r="65" spans="117:148">
      <c r="DM65" s="49">
        <v>1</v>
      </c>
      <c r="DQ65" s="51">
        <v>1</v>
      </c>
      <c r="EI65" s="115">
        <v>4</v>
      </c>
      <c r="EJ65" s="115">
        <f t="shared" si="68"/>
        <v>13</v>
      </c>
      <c r="EK65" s="115">
        <v>-11</v>
      </c>
      <c r="ER65">
        <f>IF(Dobór!$M$18="Ogrzewanie podłogowe 35/28",EG14,IF(Dobór!$M$18="Grzejniki niskotemperaturowe 55/45",ED14,Error))</f>
        <v>3.7699928430356846</v>
      </c>
    </row>
    <row r="66" spans="117:148">
      <c r="DM66" s="49">
        <v>1</v>
      </c>
      <c r="DQ66" s="51">
        <v>1</v>
      </c>
      <c r="EI66" s="115">
        <v>5</v>
      </c>
      <c r="EJ66" s="115">
        <f t="shared" si="68"/>
        <v>18</v>
      </c>
      <c r="EK66" s="115">
        <v>-10</v>
      </c>
      <c r="ER66">
        <f>IF(Dobór!$M$18="Ogrzewanie podłogowe 35/28",EG15,IF(Dobór!$M$18="Grzejniki niskotemperaturowe 55/45",ED15,Error))</f>
        <v>3.804935485604561</v>
      </c>
    </row>
    <row r="67" spans="117:148">
      <c r="DM67" s="49">
        <v>1</v>
      </c>
      <c r="DQ67" s="51">
        <v>1</v>
      </c>
      <c r="EI67" s="115">
        <v>1</v>
      </c>
      <c r="EJ67" s="115">
        <f t="shared" si="68"/>
        <v>19</v>
      </c>
      <c r="EK67" s="115">
        <v>-9</v>
      </c>
      <c r="ER67">
        <f>IF(Dobór!$M$18="Ogrzewanie podłogowe 35/28",EG16,IF(Dobór!$M$18="Grzejniki niskotemperaturowe 55/45",ED16,Error))</f>
        <v>3.856420173958413</v>
      </c>
    </row>
    <row r="68" spans="117:148">
      <c r="DM68" s="49">
        <v>1</v>
      </c>
      <c r="DQ68" s="51">
        <v>1</v>
      </c>
      <c r="EI68" s="115">
        <v>0</v>
      </c>
      <c r="EJ68" s="115">
        <f t="shared" si="68"/>
        <v>19</v>
      </c>
      <c r="EK68" s="115">
        <v>-8</v>
      </c>
      <c r="ER68">
        <f>IF(Dobór!$M$18="Ogrzewanie podłogowe 35/28",EG17,IF(Dobór!$M$18="Grzejniki niskotemperaturowe 55/45",ED17,Error))</f>
        <v>3.8642446410853979</v>
      </c>
    </row>
    <row r="69" spans="117:148">
      <c r="DM69" s="49">
        <v>1</v>
      </c>
      <c r="DQ69" s="51">
        <v>1</v>
      </c>
      <c r="EI69" s="115">
        <v>1</v>
      </c>
      <c r="EJ69" s="115">
        <f t="shared" si="68"/>
        <v>20</v>
      </c>
      <c r="EK69" s="115">
        <v>-7</v>
      </c>
      <c r="ER69">
        <f>IF(Dobór!$M$18="Ogrzewanie podłogowe 35/28",EG18,IF(Dobór!$M$18="Grzejniki niskotemperaturowe 55/45",ED18,Error))</f>
        <v>3.8642446410853979</v>
      </c>
    </row>
    <row r="70" spans="117:148">
      <c r="DM70" s="49">
        <v>2</v>
      </c>
      <c r="DQ70" s="51">
        <v>2</v>
      </c>
      <c r="EI70" s="115">
        <v>2</v>
      </c>
      <c r="EJ70" s="115">
        <f t="shared" si="68"/>
        <v>22</v>
      </c>
      <c r="EK70" s="115">
        <v>-6</v>
      </c>
      <c r="ER70">
        <f>IF(Dobór!$M$18="Ogrzewanie podłogowe 35/28",EG19,IF(Dobór!$M$18="Grzejniki niskotemperaturowe 55/45",ED19,Error))</f>
        <v>3.8723423414137108</v>
      </c>
    </row>
    <row r="71" spans="117:148">
      <c r="DM71" s="49">
        <v>2</v>
      </c>
      <c r="DQ71" s="51">
        <v>2</v>
      </c>
      <c r="EI71" s="115">
        <v>3</v>
      </c>
      <c r="EJ71" s="115">
        <f t="shared" si="68"/>
        <v>25</v>
      </c>
      <c r="EK71" s="115">
        <v>-5</v>
      </c>
      <c r="ER71">
        <f>IF(Dobór!$M$18="Ogrzewanie podłogowe 35/28",EG20,IF(Dobór!$M$18="Grzejniki niskotemperaturowe 55/45",ED20,Error))</f>
        <v>3.8883485240084874</v>
      </c>
    </row>
    <row r="72" spans="117:148">
      <c r="DM72" s="49">
        <v>2</v>
      </c>
      <c r="DQ72" s="51">
        <v>2</v>
      </c>
      <c r="EI72" s="115">
        <v>3</v>
      </c>
      <c r="EJ72" s="115">
        <f t="shared" si="68"/>
        <v>28</v>
      </c>
      <c r="EK72" s="115">
        <v>-4</v>
      </c>
      <c r="ER72">
        <f>IF(Dobór!$M$18="Ogrzewanie podłogowe 35/28",EG21,IF(Dobór!$M$18="Grzejniki niskotemperaturowe 55/45",ED21,Error))</f>
        <v>3.9122502168519402</v>
      </c>
    </row>
    <row r="73" spans="117:148">
      <c r="DM73" s="49">
        <v>2</v>
      </c>
      <c r="DQ73" s="51">
        <v>2</v>
      </c>
      <c r="EI73" s="115">
        <v>4</v>
      </c>
      <c r="EJ73" s="115">
        <f t="shared" si="68"/>
        <v>32</v>
      </c>
      <c r="EK73" s="115">
        <v>-3</v>
      </c>
      <c r="ER73">
        <f>IF(Dobór!$M$18="Ogrzewanie podłogowe 35/28",EG22,IF(Dobór!$M$18="Grzejniki niskotemperaturowe 55/45",ED22,Error))</f>
        <v>3.9360976517778621</v>
      </c>
    </row>
    <row r="74" spans="117:148">
      <c r="DM74" s="49">
        <v>2</v>
      </c>
      <c r="DQ74" s="51">
        <v>2</v>
      </c>
      <c r="EI74" s="115">
        <v>4</v>
      </c>
      <c r="EJ74" s="115">
        <f t="shared" si="68"/>
        <v>36</v>
      </c>
      <c r="EK74" s="115">
        <v>-2</v>
      </c>
      <c r="ER74">
        <f>IF(Dobór!$M$18="Ogrzewanie podłogowe 35/28",EG23,IF(Dobór!$M$18="Grzejniki niskotemperaturowe 55/45",ED23,Error))</f>
        <v>3.9678842438115369</v>
      </c>
    </row>
    <row r="75" spans="117:148">
      <c r="DM75" s="49">
        <v>2</v>
      </c>
      <c r="DQ75" s="51">
        <v>2</v>
      </c>
      <c r="EI75" s="115">
        <v>8</v>
      </c>
      <c r="EJ75" s="115">
        <f t="shared" si="68"/>
        <v>44</v>
      </c>
      <c r="EK75" s="115">
        <v>-1</v>
      </c>
      <c r="ER75">
        <f>IF(Dobór!$M$18="Ogrzewanie podłogowe 35/28",EG24,IF(Dobór!$M$18="Grzejniki niskotemperaturowe 55/45",ED24,Error))</f>
        <v>3.9997130362916407</v>
      </c>
    </row>
    <row r="76" spans="117:148">
      <c r="DM76" s="49">
        <v>2</v>
      </c>
      <c r="DQ76" s="51">
        <v>2</v>
      </c>
      <c r="EI76" s="115">
        <v>17</v>
      </c>
      <c r="EJ76" s="115">
        <f t="shared" si="68"/>
        <v>61</v>
      </c>
      <c r="EK76" s="115">
        <v>0</v>
      </c>
      <c r="ER76">
        <f>IF(Dobór!$M$18="Ogrzewanie podłogowe 35/28",EG25,IF(Dobór!$M$18="Grzejniki niskotemperaturowe 55/45",ED25,Error))</f>
        <v>4.0645913295056983</v>
      </c>
    </row>
    <row r="77" spans="117:148">
      <c r="DM77" s="49">
        <v>2</v>
      </c>
      <c r="DQ77" s="51">
        <v>2</v>
      </c>
      <c r="EI77" s="115">
        <v>7</v>
      </c>
      <c r="EJ77" s="115">
        <f t="shared" si="68"/>
        <v>68</v>
      </c>
      <c r="EK77" s="115">
        <v>1</v>
      </c>
      <c r="ER77">
        <f>IF(Dobór!$M$18="Ogrzewanie podłogowe 35/28",EG26,IF(Dobór!$M$18="Grzejniki niskotemperaturowe 55/45",ED26,Error))</f>
        <v>4.2156817348904312</v>
      </c>
    </row>
    <row r="78" spans="117:148">
      <c r="DM78" s="49">
        <v>2</v>
      </c>
      <c r="DQ78" s="51">
        <v>2</v>
      </c>
      <c r="EI78" s="115">
        <v>13</v>
      </c>
      <c r="EJ78" s="115">
        <f t="shared" si="68"/>
        <v>81</v>
      </c>
      <c r="EK78" s="115">
        <v>2</v>
      </c>
      <c r="ER78">
        <f>IF(Dobór!$M$18="Ogrzewanie podłogowe 35/28",EG27,IF(Dobór!$M$18="Grzejniki niskotemperaturowe 55/45",ED27,Error))</f>
        <v>4.2836729984207818</v>
      </c>
    </row>
    <row r="79" spans="117:148">
      <c r="DM79" s="49">
        <v>2</v>
      </c>
      <c r="DQ79" s="51">
        <v>2</v>
      </c>
      <c r="EI79" s="115">
        <v>15</v>
      </c>
      <c r="EJ79" s="115">
        <f t="shared" si="68"/>
        <v>96</v>
      </c>
      <c r="EK79" s="115">
        <v>3</v>
      </c>
      <c r="ER79">
        <f>IF(Dobór!$M$18="Ogrzewanie podłogowe 35/28",EG28,IF(Dobór!$M$18="Grzejniki niskotemperaturowe 55/45",ED28,Error))</f>
        <v>4.4190102344457829</v>
      </c>
    </row>
    <row r="80" spans="117:148">
      <c r="DM80" s="49">
        <v>2</v>
      </c>
      <c r="DQ80" s="51">
        <v>2</v>
      </c>
      <c r="EI80" s="115">
        <v>13</v>
      </c>
      <c r="EJ80" s="115">
        <f t="shared" si="68"/>
        <v>109</v>
      </c>
      <c r="EK80" s="115">
        <v>4</v>
      </c>
      <c r="ER80">
        <f>IF(Dobór!$M$18="Ogrzewanie podłogowe 35/28",EG29,IF(Dobór!$M$18="Grzejniki niskotemperaturowe 55/45",ED29,Error))</f>
        <v>4.57789907273418</v>
      </c>
    </row>
    <row r="81" spans="117:148">
      <c r="DM81" s="49">
        <v>2</v>
      </c>
      <c r="DQ81" s="51">
        <v>2</v>
      </c>
      <c r="EI81" s="115">
        <v>11</v>
      </c>
      <c r="EJ81" s="115">
        <f t="shared" si="68"/>
        <v>120</v>
      </c>
      <c r="EK81" s="115">
        <v>5</v>
      </c>
      <c r="ER81">
        <f>IF(Dobór!$M$18="Ogrzewanie podłogowe 35/28",EG30,IF(Dobór!$M$18="Grzejniki niskotemperaturowe 55/45",ED30,Error))</f>
        <v>4.7176912450855761</v>
      </c>
    </row>
    <row r="82" spans="117:148">
      <c r="DM82" s="49">
        <v>2</v>
      </c>
      <c r="DQ82" s="51">
        <v>2</v>
      </c>
      <c r="EI82" s="115">
        <v>20</v>
      </c>
      <c r="EJ82" s="115">
        <f t="shared" si="68"/>
        <v>140</v>
      </c>
      <c r="EK82" s="115">
        <v>6</v>
      </c>
      <c r="ER82">
        <f>IF(Dobór!$M$18="Ogrzewanie podłogowe 35/28",EG31,IF(Dobór!$M$18="Grzejniki niskotemperaturowe 55/45",ED31,Error))</f>
        <v>4.8327936726921532</v>
      </c>
    </row>
    <row r="83" spans="117:148">
      <c r="DM83" s="49">
        <v>3</v>
      </c>
      <c r="DQ83" s="51">
        <v>3</v>
      </c>
      <c r="EI83" s="115">
        <v>13</v>
      </c>
      <c r="EJ83" s="115">
        <f t="shared" si="68"/>
        <v>153</v>
      </c>
      <c r="EK83" s="115">
        <v>7</v>
      </c>
      <c r="ER83">
        <f>IF(Dobór!$M$18="Ogrzewanie podłogowe 35/28",EG32,IF(Dobór!$M$18="Grzejniki niskotemperaturowe 55/45",ED32,Error))</f>
        <v>5.047906554986259</v>
      </c>
    </row>
    <row r="84" spans="117:148">
      <c r="DM84" s="49">
        <v>3</v>
      </c>
      <c r="DQ84" s="51">
        <v>3</v>
      </c>
      <c r="EI84" s="115">
        <v>17</v>
      </c>
      <c r="EJ84" s="115">
        <f t="shared" si="68"/>
        <v>170</v>
      </c>
      <c r="EK84" s="115">
        <v>8</v>
      </c>
      <c r="ER84">
        <f>IF(Dobór!$M$18="Ogrzewanie podłogowe 35/28",EG33,IF(Dobór!$M$18="Grzejniki niskotemperaturowe 55/45",ED33,Error))</f>
        <v>5.1956002484460795</v>
      </c>
    </row>
    <row r="85" spans="117:148">
      <c r="DM85" s="49">
        <v>3</v>
      </c>
      <c r="DQ85" s="51">
        <v>3</v>
      </c>
      <c r="EI85" s="115">
        <v>9</v>
      </c>
      <c r="EJ85" s="115">
        <f t="shared" si="68"/>
        <v>179</v>
      </c>
      <c r="EK85" s="115">
        <v>9</v>
      </c>
      <c r="ER85">
        <f>IF(Dobór!$M$18="Ogrzewanie podłogowe 35/28",EG34,IF(Dobór!$M$18="Grzejniki niskotemperaturowe 55/45",ED34,Error))</f>
        <v>5.3919436745208014</v>
      </c>
    </row>
    <row r="86" spans="117:148">
      <c r="DM86" s="49">
        <v>3</v>
      </c>
      <c r="DQ86" s="51">
        <v>3</v>
      </c>
      <c r="EI86" s="115">
        <v>11</v>
      </c>
      <c r="EJ86" s="115">
        <f t="shared" si="68"/>
        <v>190</v>
      </c>
      <c r="EK86" s="115">
        <v>10</v>
      </c>
      <c r="ER86">
        <f>IF(Dobór!$M$18="Ogrzewanie podłogowe 35/28",EG35,IF(Dobór!$M$18="Grzejniki niskotemperaturowe 55/45",ED35,Error))</f>
        <v>5.484564491625501</v>
      </c>
    </row>
    <row r="87" spans="117:148">
      <c r="DM87" s="49">
        <v>3</v>
      </c>
      <c r="DQ87" s="51">
        <v>3</v>
      </c>
      <c r="EI87" s="115">
        <v>9</v>
      </c>
      <c r="EJ87" s="115">
        <f t="shared" si="68"/>
        <v>199</v>
      </c>
      <c r="EK87" s="115">
        <v>11</v>
      </c>
      <c r="ER87">
        <f>IF(Dobór!$M$18="Ogrzewanie podłogowe 35/28",EG36,IF(Dobór!$M$18="Grzejniki niskotemperaturowe 55/45",ED36,Error))</f>
        <v>5.5400307921681202</v>
      </c>
    </row>
    <row r="88" spans="117:148">
      <c r="DM88" s="49">
        <v>3</v>
      </c>
      <c r="DQ88" s="51">
        <v>3</v>
      </c>
      <c r="EI88" s="115">
        <v>4</v>
      </c>
      <c r="EJ88" s="115">
        <f t="shared" si="68"/>
        <v>203</v>
      </c>
      <c r="EK88" s="115">
        <v>12</v>
      </c>
      <c r="ER88">
        <f>IF(Dobór!$M$18="Ogrzewanie podłogowe 35/28",EG37,IF(Dobór!$M$18="Grzejniki niskotemperaturowe 55/45",ED37,Error))</f>
        <v>5.5925051738852307</v>
      </c>
    </row>
    <row r="89" spans="117:148">
      <c r="DM89" s="49">
        <v>3</v>
      </c>
      <c r="DQ89" s="51">
        <v>3</v>
      </c>
      <c r="EI89" s="115">
        <v>9</v>
      </c>
      <c r="EJ89" s="115">
        <f t="shared" si="68"/>
        <v>212</v>
      </c>
      <c r="EK89" s="115">
        <v>13</v>
      </c>
      <c r="ER89">
        <f>IF(Dobór!$M$18="Ogrzewanie podłogowe 35/28",EG38,IF(Dobór!$M$18="Grzejniki niskotemperaturowe 55/45",ED38,Error))</f>
        <v>5.614878823349275</v>
      </c>
    </row>
    <row r="90" spans="117:148">
      <c r="DM90" s="49">
        <v>3</v>
      </c>
      <c r="DQ90" s="51">
        <v>3</v>
      </c>
      <c r="EI90" s="115">
        <v>9</v>
      </c>
      <c r="EJ90" s="115">
        <f t="shared" si="68"/>
        <v>221</v>
      </c>
      <c r="EK90" s="115">
        <v>14</v>
      </c>
      <c r="ER90">
        <f>IF(Dobór!$M$18="Ogrzewanie podłogowe 35/28",EG39,IF(Dobór!$M$18="Grzejniki niskotemperaturowe 55/45",ED39,Error))</f>
        <v>5.6590162626382705</v>
      </c>
    </row>
    <row r="91" spans="117:148">
      <c r="DM91" s="49">
        <v>3</v>
      </c>
      <c r="DQ91" s="51">
        <v>3</v>
      </c>
      <c r="EI91" s="115">
        <v>4</v>
      </c>
      <c r="EJ91" s="115">
        <f t="shared" si="68"/>
        <v>225</v>
      </c>
      <c r="EK91" s="115">
        <v>15</v>
      </c>
      <c r="ER91">
        <f>IF(Dobór!$M$18="Ogrzewanie podłogowe 35/28",EG40,IF(Dobór!$M$18="Grzejniki niskotemperaturowe 55/45",ED40,Error))</f>
        <v>5.7164948453608249</v>
      </c>
    </row>
    <row r="92" spans="117:148">
      <c r="DM92" s="49">
        <v>3</v>
      </c>
      <c r="DQ92" s="51">
        <v>3</v>
      </c>
      <c r="EI92" s="115"/>
      <c r="EJ92" s="115">
        <f t="shared" si="68"/>
        <v>225</v>
      </c>
      <c r="EK92" s="115"/>
    </row>
    <row r="93" spans="117:148">
      <c r="DM93" s="49">
        <v>3</v>
      </c>
      <c r="DQ93" s="51">
        <v>3</v>
      </c>
      <c r="EI93" s="115"/>
      <c r="EJ93" s="115">
        <f t="shared" si="68"/>
        <v>225</v>
      </c>
      <c r="EK93" s="115"/>
    </row>
    <row r="94" spans="117:148">
      <c r="DM94" s="49">
        <v>3</v>
      </c>
      <c r="DQ94" s="51">
        <v>3</v>
      </c>
      <c r="EI94" s="115">
        <v>13</v>
      </c>
      <c r="EJ94" s="115">
        <f t="shared" si="68"/>
        <v>238</v>
      </c>
      <c r="EK94" s="115">
        <v>16</v>
      </c>
    </row>
    <row r="95" spans="117:148">
      <c r="DM95" s="49">
        <v>3</v>
      </c>
      <c r="DQ95" s="51">
        <v>3</v>
      </c>
      <c r="EI95" s="115">
        <v>10</v>
      </c>
      <c r="EJ95" s="115">
        <f t="shared" si="68"/>
        <v>248</v>
      </c>
      <c r="EK95" s="115">
        <v>17</v>
      </c>
    </row>
    <row r="96" spans="117:148">
      <c r="DM96" s="49">
        <v>3</v>
      </c>
      <c r="DQ96" s="51">
        <v>3</v>
      </c>
      <c r="EI96" s="115">
        <v>12</v>
      </c>
      <c r="EJ96" s="115">
        <f t="shared" si="68"/>
        <v>260</v>
      </c>
      <c r="EK96" s="115">
        <v>18</v>
      </c>
    </row>
    <row r="97" spans="117:141">
      <c r="DM97" s="49">
        <v>3</v>
      </c>
      <c r="DQ97" s="51">
        <v>3</v>
      </c>
      <c r="EI97" s="115">
        <v>9</v>
      </c>
      <c r="EJ97" s="115">
        <f t="shared" si="68"/>
        <v>269</v>
      </c>
      <c r="EK97" s="115">
        <v>19</v>
      </c>
    </row>
    <row r="98" spans="117:141">
      <c r="DM98" s="49">
        <v>4</v>
      </c>
      <c r="DQ98" s="51">
        <v>4</v>
      </c>
      <c r="EI98" s="115">
        <v>10</v>
      </c>
      <c r="EJ98" s="115">
        <f t="shared" si="68"/>
        <v>279</v>
      </c>
      <c r="EK98" s="115">
        <v>20</v>
      </c>
    </row>
    <row r="99" spans="117:141">
      <c r="DM99" s="49">
        <v>4</v>
      </c>
      <c r="DQ99" s="51">
        <v>4</v>
      </c>
      <c r="EI99" s="115">
        <v>14</v>
      </c>
      <c r="EJ99" s="115">
        <f t="shared" si="68"/>
        <v>293</v>
      </c>
      <c r="EK99" s="115">
        <v>21</v>
      </c>
    </row>
    <row r="100" spans="117:141">
      <c r="DM100" s="49">
        <v>4</v>
      </c>
      <c r="DQ100" s="51">
        <v>4</v>
      </c>
      <c r="EI100" s="115">
        <v>8</v>
      </c>
      <c r="EJ100" s="115">
        <f t="shared" si="68"/>
        <v>301</v>
      </c>
      <c r="EK100" s="115">
        <v>22</v>
      </c>
    </row>
    <row r="101" spans="117:141">
      <c r="DM101" s="49">
        <v>4</v>
      </c>
      <c r="DQ101" s="51">
        <v>4</v>
      </c>
      <c r="EI101" s="115">
        <v>9</v>
      </c>
      <c r="EJ101" s="115">
        <f t="shared" si="68"/>
        <v>310</v>
      </c>
      <c r="EK101" s="115">
        <v>23</v>
      </c>
    </row>
    <row r="102" spans="117:141">
      <c r="DM102" s="49">
        <v>4</v>
      </c>
      <c r="DQ102" s="51">
        <v>4</v>
      </c>
      <c r="EI102" s="115">
        <v>3</v>
      </c>
      <c r="EJ102" s="115">
        <f t="shared" si="68"/>
        <v>313</v>
      </c>
      <c r="EK102" s="115">
        <v>24</v>
      </c>
    </row>
    <row r="103" spans="117:141">
      <c r="DM103" s="49">
        <v>4</v>
      </c>
      <c r="DQ103" s="51">
        <v>4</v>
      </c>
      <c r="EI103" s="115">
        <v>7</v>
      </c>
      <c r="EJ103" s="115">
        <f t="shared" si="68"/>
        <v>320</v>
      </c>
      <c r="EK103" s="115">
        <v>25</v>
      </c>
    </row>
    <row r="104" spans="117:141">
      <c r="DM104" s="49">
        <v>4</v>
      </c>
      <c r="DQ104" s="51">
        <v>4</v>
      </c>
      <c r="EI104" s="115">
        <v>3</v>
      </c>
      <c r="EJ104" s="115">
        <f t="shared" si="68"/>
        <v>323</v>
      </c>
      <c r="EK104" s="115">
        <v>26</v>
      </c>
    </row>
    <row r="105" spans="117:141">
      <c r="DM105" s="49">
        <v>4</v>
      </c>
      <c r="DQ105" s="51">
        <v>4</v>
      </c>
      <c r="EI105" s="115">
        <v>0</v>
      </c>
      <c r="EJ105" s="115">
        <f t="shared" si="68"/>
        <v>323</v>
      </c>
      <c r="EK105" s="115">
        <v>27</v>
      </c>
    </row>
    <row r="106" spans="117:141">
      <c r="DM106" s="49">
        <v>4</v>
      </c>
      <c r="DQ106" s="51">
        <v>4</v>
      </c>
      <c r="EI106" s="115">
        <v>1</v>
      </c>
      <c r="EJ106" s="115">
        <f t="shared" si="68"/>
        <v>324</v>
      </c>
      <c r="EK106" s="115">
        <v>28</v>
      </c>
    </row>
    <row r="107" spans="117:141">
      <c r="DM107" s="49">
        <v>4</v>
      </c>
      <c r="DQ107" s="51">
        <v>4</v>
      </c>
    </row>
    <row r="108" spans="117:141">
      <c r="DM108" s="49">
        <v>4</v>
      </c>
      <c r="DQ108" s="51">
        <v>4</v>
      </c>
    </row>
    <row r="109" spans="117:141">
      <c r="DM109" s="49">
        <v>4</v>
      </c>
      <c r="DQ109" s="51">
        <v>4</v>
      </c>
    </row>
    <row r="110" spans="117:141">
      <c r="DM110" s="49">
        <v>4</v>
      </c>
      <c r="DQ110" s="51">
        <v>4</v>
      </c>
    </row>
    <row r="111" spans="117:141">
      <c r="DM111" s="49">
        <v>5</v>
      </c>
      <c r="DQ111" s="51">
        <v>5</v>
      </c>
    </row>
    <row r="112" spans="117:141">
      <c r="DM112" s="49">
        <v>5</v>
      </c>
      <c r="DQ112" s="51">
        <v>5</v>
      </c>
    </row>
    <row r="113" spans="117:121">
      <c r="DM113" s="49">
        <v>5</v>
      </c>
      <c r="DQ113" s="51">
        <v>5</v>
      </c>
    </row>
    <row r="114" spans="117:121">
      <c r="DM114" s="49">
        <v>5</v>
      </c>
      <c r="DQ114" s="51">
        <v>5</v>
      </c>
    </row>
    <row r="115" spans="117:121">
      <c r="DM115" s="49">
        <v>5</v>
      </c>
      <c r="DQ115" s="51">
        <v>5</v>
      </c>
    </row>
    <row r="116" spans="117:121">
      <c r="DM116" s="49">
        <v>5</v>
      </c>
      <c r="DQ116" s="51">
        <v>5</v>
      </c>
    </row>
    <row r="117" spans="117:121">
      <c r="DM117" s="49">
        <v>5</v>
      </c>
      <c r="DQ117" s="51">
        <v>5</v>
      </c>
    </row>
    <row r="118" spans="117:121">
      <c r="DM118" s="49">
        <v>5</v>
      </c>
      <c r="DQ118" s="51">
        <v>5</v>
      </c>
    </row>
    <row r="119" spans="117:121">
      <c r="DM119" s="49">
        <v>5</v>
      </c>
      <c r="DQ119" s="51">
        <v>5</v>
      </c>
    </row>
    <row r="120" spans="117:121">
      <c r="DM120" s="49">
        <v>5</v>
      </c>
      <c r="DQ120" s="51">
        <v>5</v>
      </c>
    </row>
    <row r="121" spans="117:121">
      <c r="DM121" s="49">
        <v>5</v>
      </c>
      <c r="DQ121" s="51">
        <v>5</v>
      </c>
    </row>
    <row r="122" spans="117:121">
      <c r="DM122" s="49">
        <v>6</v>
      </c>
      <c r="DQ122" s="51">
        <v>6</v>
      </c>
    </row>
    <row r="123" spans="117:121">
      <c r="DM123" s="49">
        <v>6</v>
      </c>
      <c r="DQ123" s="51">
        <v>6</v>
      </c>
    </row>
    <row r="124" spans="117:121">
      <c r="DM124" s="49">
        <v>6</v>
      </c>
      <c r="DQ124" s="51">
        <v>6</v>
      </c>
    </row>
    <row r="125" spans="117:121">
      <c r="DM125" s="49">
        <v>6</v>
      </c>
      <c r="DQ125" s="51">
        <v>6</v>
      </c>
    </row>
    <row r="126" spans="117:121">
      <c r="DM126" s="49">
        <v>6</v>
      </c>
      <c r="DQ126" s="51">
        <v>6</v>
      </c>
    </row>
    <row r="127" spans="117:121">
      <c r="DM127" s="49">
        <v>6</v>
      </c>
      <c r="DQ127" s="51">
        <v>6</v>
      </c>
    </row>
    <row r="128" spans="117:121">
      <c r="DM128" s="49">
        <v>6</v>
      </c>
      <c r="DQ128" s="51">
        <v>6</v>
      </c>
    </row>
    <row r="129" spans="117:121">
      <c r="DM129" s="49">
        <v>6</v>
      </c>
      <c r="DQ129" s="51">
        <v>6</v>
      </c>
    </row>
    <row r="130" spans="117:121">
      <c r="DM130" s="49">
        <v>6</v>
      </c>
      <c r="DQ130" s="51">
        <v>6</v>
      </c>
    </row>
    <row r="131" spans="117:121">
      <c r="DM131" s="49">
        <v>6</v>
      </c>
      <c r="DQ131" s="51">
        <v>6</v>
      </c>
    </row>
    <row r="132" spans="117:121">
      <c r="DM132" s="49">
        <v>6</v>
      </c>
      <c r="DQ132" s="51">
        <v>6</v>
      </c>
    </row>
    <row r="133" spans="117:121">
      <c r="DM133" s="49">
        <v>6</v>
      </c>
      <c r="DQ133" s="51">
        <v>6</v>
      </c>
    </row>
    <row r="134" spans="117:121">
      <c r="DM134" s="49">
        <v>6</v>
      </c>
      <c r="DQ134" s="51">
        <v>6</v>
      </c>
    </row>
    <row r="135" spans="117:121">
      <c r="DM135" s="49">
        <v>6</v>
      </c>
      <c r="DQ135" s="51">
        <v>6</v>
      </c>
    </row>
    <row r="136" spans="117:121">
      <c r="DM136" s="49">
        <v>6</v>
      </c>
      <c r="DQ136" s="51">
        <v>6</v>
      </c>
    </row>
    <row r="137" spans="117:121">
      <c r="DM137" s="49">
        <v>6</v>
      </c>
      <c r="DQ137" s="51">
        <v>6</v>
      </c>
    </row>
    <row r="138" spans="117:121">
      <c r="DM138" s="49">
        <v>6</v>
      </c>
      <c r="DQ138" s="51">
        <v>6</v>
      </c>
    </row>
    <row r="139" spans="117:121">
      <c r="DM139" s="49">
        <v>6</v>
      </c>
      <c r="DQ139" s="51">
        <v>6</v>
      </c>
    </row>
    <row r="140" spans="117:121">
      <c r="DM140" s="49">
        <v>6</v>
      </c>
      <c r="DQ140" s="51">
        <v>6</v>
      </c>
    </row>
    <row r="141" spans="117:121">
      <c r="DM141" s="49">
        <v>6</v>
      </c>
      <c r="DQ141" s="51">
        <v>6</v>
      </c>
    </row>
    <row r="142" spans="117:121">
      <c r="DM142" s="49">
        <v>7</v>
      </c>
      <c r="DQ142" s="51">
        <v>7</v>
      </c>
    </row>
    <row r="143" spans="117:121">
      <c r="DM143" s="49">
        <v>7</v>
      </c>
      <c r="DQ143" s="51">
        <v>7</v>
      </c>
    </row>
    <row r="144" spans="117:121">
      <c r="DM144" s="49">
        <v>7</v>
      </c>
      <c r="DQ144" s="51">
        <v>7</v>
      </c>
    </row>
    <row r="145" spans="117:121">
      <c r="DM145" s="49">
        <v>7</v>
      </c>
      <c r="DQ145" s="51">
        <v>7</v>
      </c>
    </row>
    <row r="146" spans="117:121">
      <c r="DM146" s="49">
        <v>7</v>
      </c>
      <c r="DQ146" s="51">
        <v>7</v>
      </c>
    </row>
    <row r="147" spans="117:121">
      <c r="DM147" s="49">
        <v>7</v>
      </c>
      <c r="DQ147" s="51">
        <v>7</v>
      </c>
    </row>
    <row r="148" spans="117:121">
      <c r="DM148" s="49">
        <v>7</v>
      </c>
      <c r="DQ148" s="51">
        <v>7</v>
      </c>
    </row>
    <row r="149" spans="117:121">
      <c r="DM149" s="49">
        <v>7</v>
      </c>
      <c r="DQ149" s="51">
        <v>7</v>
      </c>
    </row>
    <row r="150" spans="117:121">
      <c r="DM150" s="49">
        <v>7</v>
      </c>
      <c r="DQ150" s="51">
        <v>7</v>
      </c>
    </row>
    <row r="151" spans="117:121">
      <c r="DM151" s="49">
        <v>7</v>
      </c>
      <c r="DQ151" s="51">
        <v>7</v>
      </c>
    </row>
    <row r="152" spans="117:121">
      <c r="DM152" s="49">
        <v>7</v>
      </c>
      <c r="DQ152" s="51">
        <v>7</v>
      </c>
    </row>
    <row r="153" spans="117:121">
      <c r="DM153" s="49">
        <v>7</v>
      </c>
      <c r="DQ153" s="51">
        <v>7</v>
      </c>
    </row>
    <row r="154" spans="117:121">
      <c r="DM154" s="49">
        <v>7</v>
      </c>
      <c r="DQ154" s="51">
        <v>7</v>
      </c>
    </row>
    <row r="155" spans="117:121">
      <c r="DM155" s="49">
        <v>8</v>
      </c>
      <c r="DQ155" s="51">
        <v>8</v>
      </c>
    </row>
    <row r="156" spans="117:121">
      <c r="DM156" s="49">
        <v>8</v>
      </c>
      <c r="DQ156" s="51">
        <v>8</v>
      </c>
    </row>
    <row r="157" spans="117:121">
      <c r="DM157" s="49">
        <v>8</v>
      </c>
      <c r="DQ157" s="51">
        <v>8</v>
      </c>
    </row>
    <row r="158" spans="117:121">
      <c r="DM158" s="49">
        <v>8</v>
      </c>
      <c r="DQ158" s="51">
        <v>8</v>
      </c>
    </row>
    <row r="159" spans="117:121">
      <c r="DM159" s="49">
        <v>8</v>
      </c>
      <c r="DQ159" s="51">
        <v>8</v>
      </c>
    </row>
    <row r="160" spans="117:121">
      <c r="DM160" s="49">
        <v>8</v>
      </c>
      <c r="DQ160" s="51">
        <v>8</v>
      </c>
    </row>
    <row r="161" spans="117:121">
      <c r="DM161" s="49">
        <v>8</v>
      </c>
      <c r="DQ161" s="51">
        <v>8</v>
      </c>
    </row>
    <row r="162" spans="117:121">
      <c r="DM162" s="49">
        <v>8</v>
      </c>
      <c r="DQ162" s="51">
        <v>8</v>
      </c>
    </row>
    <row r="163" spans="117:121">
      <c r="DM163" s="49">
        <v>8</v>
      </c>
      <c r="DQ163" s="51">
        <v>8</v>
      </c>
    </row>
    <row r="164" spans="117:121">
      <c r="DM164" s="49">
        <v>8</v>
      </c>
      <c r="DQ164" s="51">
        <v>8</v>
      </c>
    </row>
    <row r="165" spans="117:121">
      <c r="DM165" s="49">
        <v>8</v>
      </c>
      <c r="DQ165" s="51">
        <v>8</v>
      </c>
    </row>
    <row r="166" spans="117:121">
      <c r="DM166" s="49">
        <v>8</v>
      </c>
      <c r="DQ166" s="51">
        <v>8</v>
      </c>
    </row>
    <row r="167" spans="117:121">
      <c r="DM167" s="49">
        <v>8</v>
      </c>
      <c r="DQ167" s="51">
        <v>8</v>
      </c>
    </row>
    <row r="168" spans="117:121">
      <c r="DM168" s="49">
        <v>8</v>
      </c>
      <c r="DQ168" s="51">
        <v>8</v>
      </c>
    </row>
    <row r="169" spans="117:121">
      <c r="DM169" s="49">
        <v>8</v>
      </c>
      <c r="DQ169" s="51">
        <v>8</v>
      </c>
    </row>
    <row r="170" spans="117:121">
      <c r="DM170" s="49">
        <v>8</v>
      </c>
      <c r="DQ170" s="51">
        <v>8</v>
      </c>
    </row>
    <row r="171" spans="117:121">
      <c r="DM171" s="49">
        <v>8</v>
      </c>
      <c r="DQ171" s="51">
        <v>8</v>
      </c>
    </row>
    <row r="172" spans="117:121">
      <c r="DM172" s="49">
        <v>9</v>
      </c>
      <c r="DQ172" s="51">
        <v>9</v>
      </c>
    </row>
    <row r="173" spans="117:121">
      <c r="DM173" s="49">
        <v>9</v>
      </c>
      <c r="DQ173" s="51">
        <v>9</v>
      </c>
    </row>
    <row r="174" spans="117:121">
      <c r="DM174" s="49">
        <v>9</v>
      </c>
      <c r="DQ174" s="51">
        <v>9</v>
      </c>
    </row>
    <row r="175" spans="117:121">
      <c r="DM175" s="49">
        <v>9</v>
      </c>
      <c r="DQ175" s="51">
        <v>9</v>
      </c>
    </row>
    <row r="176" spans="117:121">
      <c r="DM176" s="49">
        <v>9</v>
      </c>
      <c r="DQ176" s="51">
        <v>9</v>
      </c>
    </row>
    <row r="177" spans="117:121">
      <c r="DM177" s="49">
        <v>9</v>
      </c>
      <c r="DQ177" s="51">
        <v>9</v>
      </c>
    </row>
    <row r="178" spans="117:121">
      <c r="DM178" s="49">
        <v>9</v>
      </c>
      <c r="DQ178" s="51">
        <v>9</v>
      </c>
    </row>
    <row r="179" spans="117:121">
      <c r="DM179" s="49">
        <v>9</v>
      </c>
      <c r="DQ179" s="51">
        <v>9</v>
      </c>
    </row>
    <row r="180" spans="117:121">
      <c r="DM180" s="49">
        <v>9</v>
      </c>
      <c r="DQ180" s="51">
        <v>9</v>
      </c>
    </row>
    <row r="181" spans="117:121">
      <c r="DM181" s="49">
        <v>10</v>
      </c>
      <c r="DQ181" s="51">
        <v>10</v>
      </c>
    </row>
    <row r="182" spans="117:121">
      <c r="DM182" s="49">
        <v>10</v>
      </c>
      <c r="DQ182" s="51">
        <v>10</v>
      </c>
    </row>
    <row r="183" spans="117:121">
      <c r="DM183" s="49">
        <v>10</v>
      </c>
      <c r="DQ183" s="51">
        <v>10</v>
      </c>
    </row>
    <row r="184" spans="117:121">
      <c r="DM184" s="49">
        <v>10</v>
      </c>
      <c r="DQ184" s="51">
        <v>10</v>
      </c>
    </row>
    <row r="185" spans="117:121">
      <c r="DM185" s="49">
        <v>10</v>
      </c>
      <c r="DQ185" s="51">
        <v>10</v>
      </c>
    </row>
    <row r="186" spans="117:121">
      <c r="DM186" s="49">
        <v>10</v>
      </c>
      <c r="DQ186" s="51">
        <v>10</v>
      </c>
    </row>
    <row r="187" spans="117:121">
      <c r="DM187" s="49">
        <v>10</v>
      </c>
      <c r="DQ187" s="51">
        <v>10</v>
      </c>
    </row>
    <row r="188" spans="117:121">
      <c r="DM188" s="49">
        <v>10</v>
      </c>
      <c r="DQ188" s="51">
        <v>10</v>
      </c>
    </row>
    <row r="189" spans="117:121">
      <c r="DM189" s="49">
        <v>10</v>
      </c>
      <c r="DQ189" s="51">
        <v>10</v>
      </c>
    </row>
    <row r="190" spans="117:121">
      <c r="DM190" s="49">
        <v>10</v>
      </c>
      <c r="DQ190" s="51">
        <v>10</v>
      </c>
    </row>
    <row r="191" spans="117:121">
      <c r="DM191" s="49">
        <v>10</v>
      </c>
      <c r="DQ191" s="51">
        <v>10</v>
      </c>
    </row>
    <row r="192" spans="117:121">
      <c r="DM192" s="49">
        <v>10</v>
      </c>
      <c r="DQ192" s="51">
        <v>11</v>
      </c>
    </row>
    <row r="193" spans="117:121">
      <c r="DM193" s="49">
        <v>10</v>
      </c>
      <c r="DQ193" s="51">
        <v>11</v>
      </c>
    </row>
    <row r="194" spans="117:121">
      <c r="DM194" s="49">
        <v>10</v>
      </c>
      <c r="DQ194" s="51">
        <v>11</v>
      </c>
    </row>
    <row r="195" spans="117:121">
      <c r="DM195" s="49">
        <v>10</v>
      </c>
      <c r="DQ195" s="51">
        <v>11</v>
      </c>
    </row>
    <row r="196" spans="117:121">
      <c r="DM196" s="49">
        <v>10</v>
      </c>
      <c r="DQ196" s="51">
        <v>11</v>
      </c>
    </row>
    <row r="197" spans="117:121">
      <c r="DM197" s="49">
        <v>10</v>
      </c>
      <c r="DQ197" s="51">
        <v>11</v>
      </c>
    </row>
    <row r="198" spans="117:121">
      <c r="DM198" s="49">
        <v>11</v>
      </c>
      <c r="DQ198" s="51">
        <v>11</v>
      </c>
    </row>
    <row r="199" spans="117:121">
      <c r="DM199" s="49">
        <v>11</v>
      </c>
      <c r="DQ199" s="51">
        <v>11</v>
      </c>
    </row>
    <row r="200" spans="117:121">
      <c r="DM200" s="49">
        <v>11</v>
      </c>
      <c r="DQ200" s="51">
        <v>11</v>
      </c>
    </row>
    <row r="201" spans="117:121">
      <c r="DM201" s="49">
        <v>11</v>
      </c>
      <c r="DQ201" s="51">
        <v>12</v>
      </c>
    </row>
    <row r="202" spans="117:121">
      <c r="DM202" s="49">
        <v>11</v>
      </c>
      <c r="DQ202" s="51">
        <v>12</v>
      </c>
    </row>
    <row r="203" spans="117:121">
      <c r="DM203" s="49">
        <v>11</v>
      </c>
      <c r="DQ203" s="51">
        <v>12</v>
      </c>
    </row>
    <row r="204" spans="117:121">
      <c r="DM204" s="49">
        <v>11</v>
      </c>
      <c r="DQ204" s="51">
        <v>12</v>
      </c>
    </row>
    <row r="205" spans="117:121">
      <c r="DM205" s="49">
        <v>11</v>
      </c>
      <c r="DQ205" s="51">
        <v>12</v>
      </c>
    </row>
    <row r="206" spans="117:121">
      <c r="DM206" s="49">
        <v>11</v>
      </c>
      <c r="DQ206" s="51">
        <v>13</v>
      </c>
    </row>
    <row r="207" spans="117:121">
      <c r="DM207" s="49">
        <v>11</v>
      </c>
      <c r="DQ207" s="51">
        <v>13</v>
      </c>
    </row>
    <row r="208" spans="117:121">
      <c r="DM208" s="49">
        <v>12</v>
      </c>
      <c r="DQ208" s="51">
        <v>13</v>
      </c>
    </row>
    <row r="209" spans="117:121">
      <c r="DM209" s="49">
        <v>12</v>
      </c>
      <c r="DQ209" s="51">
        <v>13</v>
      </c>
    </row>
    <row r="210" spans="117:121">
      <c r="DM210" s="49">
        <v>12</v>
      </c>
      <c r="DQ210" s="51">
        <v>13</v>
      </c>
    </row>
    <row r="211" spans="117:121">
      <c r="DM211" s="49">
        <v>12</v>
      </c>
      <c r="DQ211" s="51">
        <v>13</v>
      </c>
    </row>
    <row r="212" spans="117:121">
      <c r="DM212" s="49">
        <v>12</v>
      </c>
      <c r="DQ212" s="51">
        <v>13</v>
      </c>
    </row>
    <row r="213" spans="117:121">
      <c r="DM213" s="49">
        <v>12</v>
      </c>
      <c r="DQ213" s="51">
        <v>13</v>
      </c>
    </row>
    <row r="214" spans="117:121">
      <c r="DM214" s="49">
        <v>12</v>
      </c>
      <c r="DQ214" s="51">
        <v>13</v>
      </c>
    </row>
    <row r="215" spans="117:121">
      <c r="DM215" s="49">
        <v>13</v>
      </c>
      <c r="DQ215" s="51">
        <v>14</v>
      </c>
    </row>
    <row r="216" spans="117:121">
      <c r="DM216" s="49">
        <v>13</v>
      </c>
      <c r="DQ216" s="51">
        <v>14</v>
      </c>
    </row>
    <row r="217" spans="117:121">
      <c r="DM217" s="49">
        <v>13</v>
      </c>
      <c r="DQ217" s="51">
        <v>14</v>
      </c>
    </row>
    <row r="218" spans="117:121">
      <c r="DM218" s="49">
        <v>13</v>
      </c>
      <c r="DQ218" s="51">
        <v>14</v>
      </c>
    </row>
    <row r="219" spans="117:121">
      <c r="DM219" s="49">
        <v>13</v>
      </c>
      <c r="DQ219" s="51">
        <v>14</v>
      </c>
    </row>
    <row r="220" spans="117:121">
      <c r="DM220" s="49">
        <v>13</v>
      </c>
      <c r="DQ220" s="51">
        <v>14</v>
      </c>
    </row>
    <row r="221" spans="117:121">
      <c r="DM221" s="49">
        <v>13</v>
      </c>
      <c r="DQ221" s="51">
        <v>14</v>
      </c>
    </row>
    <row r="222" spans="117:121">
      <c r="DM222" s="49">
        <v>13</v>
      </c>
      <c r="DQ222" s="51">
        <v>14</v>
      </c>
    </row>
    <row r="223" spans="117:121">
      <c r="DM223" s="49">
        <v>13</v>
      </c>
      <c r="DQ223" s="51">
        <v>14</v>
      </c>
    </row>
    <row r="224" spans="117:121">
      <c r="DM224" s="49">
        <v>13</v>
      </c>
      <c r="DQ224" s="51">
        <v>15</v>
      </c>
    </row>
    <row r="225" spans="117:121">
      <c r="DM225" s="49">
        <v>13</v>
      </c>
      <c r="DQ225" s="51">
        <v>15</v>
      </c>
    </row>
    <row r="226" spans="117:121">
      <c r="DM226" s="49">
        <v>13</v>
      </c>
      <c r="DQ226" s="51">
        <v>15</v>
      </c>
    </row>
    <row r="227" spans="117:121">
      <c r="DM227" s="49">
        <v>14</v>
      </c>
      <c r="DQ227" s="51">
        <v>15</v>
      </c>
    </row>
    <row r="228" spans="117:121">
      <c r="DM228" s="49">
        <v>14</v>
      </c>
      <c r="DQ228" s="51">
        <v>16</v>
      </c>
    </row>
    <row r="229" spans="117:121">
      <c r="DM229" s="49">
        <v>14</v>
      </c>
      <c r="DQ229" s="51">
        <v>16</v>
      </c>
    </row>
    <row r="230" spans="117:121">
      <c r="DM230" s="49">
        <v>14</v>
      </c>
      <c r="DQ230" s="51">
        <v>17</v>
      </c>
    </row>
    <row r="231" spans="117:121">
      <c r="DM231" s="49">
        <v>14</v>
      </c>
      <c r="DQ231" s="51">
        <v>17</v>
      </c>
    </row>
    <row r="232" spans="117:121">
      <c r="DM232" s="49">
        <v>14</v>
      </c>
      <c r="DQ232" s="51">
        <v>17</v>
      </c>
    </row>
    <row r="233" spans="117:121">
      <c r="DM233" s="49">
        <v>14</v>
      </c>
      <c r="DQ233" s="51">
        <v>17</v>
      </c>
    </row>
    <row r="234" spans="117:121">
      <c r="DM234" s="49">
        <v>14</v>
      </c>
      <c r="DQ234" s="51">
        <v>17</v>
      </c>
    </row>
    <row r="235" spans="117:121">
      <c r="DM235" s="49">
        <v>14</v>
      </c>
      <c r="DQ235" s="51">
        <v>17</v>
      </c>
    </row>
    <row r="236" spans="117:121">
      <c r="DM236" s="49">
        <v>14</v>
      </c>
      <c r="DQ236" s="51">
        <v>17</v>
      </c>
    </row>
    <row r="237" spans="117:121">
      <c r="DM237" s="49">
        <v>14</v>
      </c>
      <c r="DQ237" s="51">
        <v>17</v>
      </c>
    </row>
    <row r="238" spans="117:121">
      <c r="DM238" s="49">
        <v>14</v>
      </c>
      <c r="DQ238" s="51">
        <v>17</v>
      </c>
    </row>
    <row r="239" spans="117:121">
      <c r="DM239" s="49">
        <v>14</v>
      </c>
    </row>
    <row r="240" spans="117:121">
      <c r="DM240" s="49">
        <v>14</v>
      </c>
    </row>
    <row r="241" spans="117:117">
      <c r="DM241" s="49">
        <v>14</v>
      </c>
    </row>
    <row r="242" spans="117:117">
      <c r="DM242" s="49">
        <v>14</v>
      </c>
    </row>
    <row r="243" spans="117:117">
      <c r="DM243" s="49">
        <v>14</v>
      </c>
    </row>
    <row r="244" spans="117:117">
      <c r="DM244" s="49">
        <v>15</v>
      </c>
    </row>
    <row r="245" spans="117:117">
      <c r="DM245" s="49">
        <v>15</v>
      </c>
    </row>
    <row r="246" spans="117:117">
      <c r="DM246" s="49">
        <v>15</v>
      </c>
    </row>
    <row r="247" spans="117:117">
      <c r="DM247" s="49">
        <v>15</v>
      </c>
    </row>
    <row r="248" spans="117:117">
      <c r="DM248" s="49">
        <v>15</v>
      </c>
    </row>
    <row r="249" spans="117:117">
      <c r="DM249" s="49">
        <v>15</v>
      </c>
    </row>
    <row r="250" spans="117:117">
      <c r="DM250" s="49">
        <v>15</v>
      </c>
    </row>
    <row r="251" spans="117:117">
      <c r="DM251" s="49">
        <v>15</v>
      </c>
    </row>
    <row r="252" spans="117:117">
      <c r="DM252" s="49">
        <v>16</v>
      </c>
    </row>
    <row r="253" spans="117:117">
      <c r="DM253" s="49">
        <v>16</v>
      </c>
    </row>
    <row r="254" spans="117:117">
      <c r="DM254" s="49">
        <v>16</v>
      </c>
    </row>
    <row r="255" spans="117:117">
      <c r="DM255" s="49">
        <v>16</v>
      </c>
    </row>
    <row r="256" spans="117:117">
      <c r="DM256" s="49">
        <v>16</v>
      </c>
    </row>
    <row r="257" spans="117:117">
      <c r="DM257" s="49">
        <v>16</v>
      </c>
    </row>
    <row r="258" spans="117:117">
      <c r="DM258" s="49">
        <v>16</v>
      </c>
    </row>
    <row r="259" spans="117:117">
      <c r="DM259" s="49">
        <v>16</v>
      </c>
    </row>
    <row r="260" spans="117:117">
      <c r="DM260" s="49">
        <v>16</v>
      </c>
    </row>
    <row r="261" spans="117:117">
      <c r="DM261" s="49">
        <v>16</v>
      </c>
    </row>
    <row r="262" spans="117:117">
      <c r="DM262" s="49">
        <v>16</v>
      </c>
    </row>
    <row r="263" spans="117:117">
      <c r="DM263" s="49">
        <v>16</v>
      </c>
    </row>
    <row r="264" spans="117:117">
      <c r="DM264" s="49">
        <v>16</v>
      </c>
    </row>
    <row r="265" spans="117:117">
      <c r="DM265" s="49">
        <v>16</v>
      </c>
    </row>
    <row r="266" spans="117:117">
      <c r="DM266" s="49">
        <v>16</v>
      </c>
    </row>
    <row r="267" spans="117:117">
      <c r="DM267" s="49">
        <v>17</v>
      </c>
    </row>
    <row r="268" spans="117:117">
      <c r="DM268" s="49">
        <v>17</v>
      </c>
    </row>
    <row r="269" spans="117:117">
      <c r="DM269" s="49">
        <v>17</v>
      </c>
    </row>
    <row r="270" spans="117:117">
      <c r="DM270" s="49">
        <v>17</v>
      </c>
    </row>
    <row r="271" spans="117:117">
      <c r="DM271" s="49">
        <v>17</v>
      </c>
    </row>
    <row r="272" spans="117:117">
      <c r="DM272" s="49">
        <v>17</v>
      </c>
    </row>
    <row r="273" spans="117:117">
      <c r="DM273" s="49">
        <v>17</v>
      </c>
    </row>
    <row r="274" spans="117:117">
      <c r="DM274" s="49">
        <v>17</v>
      </c>
    </row>
    <row r="275" spans="117:117">
      <c r="DM275" s="49">
        <v>17</v>
      </c>
    </row>
    <row r="276" spans="117:117">
      <c r="DM276" s="49">
        <v>17</v>
      </c>
    </row>
    <row r="277" spans="117:117">
      <c r="DM277" s="49">
        <v>17</v>
      </c>
    </row>
    <row r="278" spans="117:117">
      <c r="DM278" s="49">
        <v>17</v>
      </c>
    </row>
    <row r="279" spans="117:117">
      <c r="DM279" s="49">
        <v>17</v>
      </c>
    </row>
    <row r="280" spans="117:117">
      <c r="DM280" s="49">
        <v>17</v>
      </c>
    </row>
    <row r="281" spans="117:117">
      <c r="DM281" s="49">
        <v>17</v>
      </c>
    </row>
    <row r="282" spans="117:117">
      <c r="DM282" s="49">
        <v>17</v>
      </c>
    </row>
    <row r="283" spans="117:117">
      <c r="DM283" s="49">
        <v>17</v>
      </c>
    </row>
    <row r="284" spans="117:117">
      <c r="DM284" s="49">
        <v>17</v>
      </c>
    </row>
    <row r="285" spans="117:117">
      <c r="DM285" s="49">
        <v>17</v>
      </c>
    </row>
    <row r="286" spans="117:117">
      <c r="DM286" s="49">
        <v>18</v>
      </c>
    </row>
    <row r="287" spans="117:117">
      <c r="DM287" s="49">
        <v>18</v>
      </c>
    </row>
    <row r="288" spans="117:117">
      <c r="DM288" s="49">
        <v>18</v>
      </c>
    </row>
    <row r="289" spans="117:117">
      <c r="DM289" s="49">
        <v>18</v>
      </c>
    </row>
    <row r="290" spans="117:117">
      <c r="DM290" s="49">
        <v>18</v>
      </c>
    </row>
    <row r="291" spans="117:117">
      <c r="DM291" s="49">
        <v>18</v>
      </c>
    </row>
    <row r="292" spans="117:117">
      <c r="DM292" s="49">
        <v>18</v>
      </c>
    </row>
    <row r="293" spans="117:117">
      <c r="DM293" s="49">
        <v>18</v>
      </c>
    </row>
    <row r="294" spans="117:117">
      <c r="DM294" s="49">
        <v>18</v>
      </c>
    </row>
    <row r="295" spans="117:117">
      <c r="DM295" s="49">
        <v>18</v>
      </c>
    </row>
    <row r="296" spans="117:117">
      <c r="DM296" s="49">
        <v>18</v>
      </c>
    </row>
    <row r="297" spans="117:117">
      <c r="DM297" s="49">
        <v>18</v>
      </c>
    </row>
    <row r="298" spans="117:117">
      <c r="DM298" s="49">
        <v>19</v>
      </c>
    </row>
    <row r="299" spans="117:117">
      <c r="DM299" s="49">
        <v>19</v>
      </c>
    </row>
    <row r="300" spans="117:117">
      <c r="DM300" s="49">
        <v>19</v>
      </c>
    </row>
    <row r="301" spans="117:117">
      <c r="DM301" s="49">
        <v>19</v>
      </c>
    </row>
    <row r="302" spans="117:117">
      <c r="DM302" s="49">
        <v>19</v>
      </c>
    </row>
    <row r="303" spans="117:117">
      <c r="DM303" s="49">
        <v>19</v>
      </c>
    </row>
    <row r="304" spans="117:117">
      <c r="DM304" s="49">
        <v>19</v>
      </c>
    </row>
    <row r="305" spans="117:117">
      <c r="DM305" s="49">
        <v>19</v>
      </c>
    </row>
    <row r="306" spans="117:117">
      <c r="DM306" s="49">
        <v>19</v>
      </c>
    </row>
    <row r="307" spans="117:117">
      <c r="DM307" s="49">
        <v>19</v>
      </c>
    </row>
    <row r="308" spans="117:117">
      <c r="DM308" s="49">
        <v>19</v>
      </c>
    </row>
    <row r="309" spans="117:117">
      <c r="DM309" s="49">
        <v>19</v>
      </c>
    </row>
    <row r="310" spans="117:117">
      <c r="DM310" s="49">
        <v>19</v>
      </c>
    </row>
    <row r="311" spans="117:117">
      <c r="DM311" s="49">
        <v>20</v>
      </c>
    </row>
    <row r="312" spans="117:117">
      <c r="DM312" s="49">
        <v>20</v>
      </c>
    </row>
    <row r="313" spans="117:117">
      <c r="DM313" s="49">
        <v>20</v>
      </c>
    </row>
    <row r="314" spans="117:117">
      <c r="DM314" s="49">
        <v>20</v>
      </c>
    </row>
    <row r="315" spans="117:117">
      <c r="DM315" s="49">
        <v>20</v>
      </c>
    </row>
    <row r="316" spans="117:117">
      <c r="DM316" s="49">
        <v>20</v>
      </c>
    </row>
    <row r="317" spans="117:117">
      <c r="DM317" s="49">
        <v>20</v>
      </c>
    </row>
    <row r="318" spans="117:117">
      <c r="DM318" s="49">
        <v>20</v>
      </c>
    </row>
    <row r="319" spans="117:117">
      <c r="DM319" s="49">
        <v>20</v>
      </c>
    </row>
    <row r="320" spans="117:117">
      <c r="DM320" s="49">
        <v>20</v>
      </c>
    </row>
    <row r="321" spans="117:117">
      <c r="DM321" s="49">
        <v>21</v>
      </c>
    </row>
    <row r="322" spans="117:117">
      <c r="DM322" s="49">
        <v>21</v>
      </c>
    </row>
    <row r="323" spans="117:117">
      <c r="DM323" s="49">
        <v>21</v>
      </c>
    </row>
    <row r="324" spans="117:117">
      <c r="DM324" s="49">
        <v>21</v>
      </c>
    </row>
    <row r="325" spans="117:117">
      <c r="DM325" s="49">
        <v>21</v>
      </c>
    </row>
    <row r="326" spans="117:117">
      <c r="DM326" s="49">
        <v>21</v>
      </c>
    </row>
    <row r="327" spans="117:117">
      <c r="DM327" s="49">
        <v>21</v>
      </c>
    </row>
    <row r="328" spans="117:117">
      <c r="DM328" s="49">
        <v>21</v>
      </c>
    </row>
    <row r="329" spans="117:117">
      <c r="DM329" s="49">
        <v>21</v>
      </c>
    </row>
    <row r="330" spans="117:117">
      <c r="DM330" s="49">
        <v>21</v>
      </c>
    </row>
    <row r="331" spans="117:117">
      <c r="DM331" s="49">
        <v>21</v>
      </c>
    </row>
    <row r="332" spans="117:117">
      <c r="DM332" s="49">
        <v>21</v>
      </c>
    </row>
    <row r="333" spans="117:117">
      <c r="DM333" s="49">
        <v>21</v>
      </c>
    </row>
    <row r="334" spans="117:117">
      <c r="DM334" s="49">
        <v>21</v>
      </c>
    </row>
    <row r="335" spans="117:117">
      <c r="DM335" s="49">
        <v>21</v>
      </c>
    </row>
    <row r="336" spans="117:117">
      <c r="DM336" s="49">
        <v>22</v>
      </c>
    </row>
    <row r="337" spans="117:117">
      <c r="DM337" s="49">
        <v>22</v>
      </c>
    </row>
    <row r="338" spans="117:117">
      <c r="DM338" s="49">
        <v>22</v>
      </c>
    </row>
    <row r="339" spans="117:117">
      <c r="DM339" s="49">
        <v>22</v>
      </c>
    </row>
    <row r="340" spans="117:117">
      <c r="DM340" s="49">
        <v>22</v>
      </c>
    </row>
    <row r="341" spans="117:117">
      <c r="DM341" s="49">
        <v>22</v>
      </c>
    </row>
    <row r="342" spans="117:117">
      <c r="DM342" s="49">
        <v>22</v>
      </c>
    </row>
    <row r="343" spans="117:117">
      <c r="DM343" s="49">
        <v>22</v>
      </c>
    </row>
    <row r="344" spans="117:117">
      <c r="DM344" s="49">
        <v>22</v>
      </c>
    </row>
    <row r="345" spans="117:117">
      <c r="DM345" s="49">
        <v>23</v>
      </c>
    </row>
    <row r="346" spans="117:117">
      <c r="DM346" s="49">
        <v>23</v>
      </c>
    </row>
    <row r="347" spans="117:117">
      <c r="DM347" s="49">
        <v>23</v>
      </c>
    </row>
    <row r="348" spans="117:117">
      <c r="DM348" s="49">
        <v>23</v>
      </c>
    </row>
    <row r="349" spans="117:117">
      <c r="DM349" s="49">
        <v>23</v>
      </c>
    </row>
    <row r="350" spans="117:117">
      <c r="DM350" s="49">
        <v>23</v>
      </c>
    </row>
    <row r="351" spans="117:117">
      <c r="DM351" s="49">
        <v>23</v>
      </c>
    </row>
    <row r="352" spans="117:117">
      <c r="DM352" s="49">
        <v>23</v>
      </c>
    </row>
    <row r="353" spans="117:117">
      <c r="DM353" s="49">
        <v>23</v>
      </c>
    </row>
    <row r="354" spans="117:117">
      <c r="DM354" s="49">
        <v>24</v>
      </c>
    </row>
    <row r="355" spans="117:117">
      <c r="DM355" s="49">
        <v>24</v>
      </c>
    </row>
    <row r="356" spans="117:117">
      <c r="DM356" s="49">
        <v>24</v>
      </c>
    </row>
    <row r="357" spans="117:117">
      <c r="DM357" s="49">
        <v>25</v>
      </c>
    </row>
    <row r="358" spans="117:117">
      <c r="DM358" s="49">
        <v>25</v>
      </c>
    </row>
    <row r="359" spans="117:117">
      <c r="DM359" s="49">
        <v>25</v>
      </c>
    </row>
    <row r="360" spans="117:117">
      <c r="DM360" s="49">
        <v>25</v>
      </c>
    </row>
    <row r="361" spans="117:117">
      <c r="DM361" s="49">
        <v>25</v>
      </c>
    </row>
    <row r="362" spans="117:117">
      <c r="DM362" s="49">
        <v>25</v>
      </c>
    </row>
    <row r="363" spans="117:117">
      <c r="DM363" s="49">
        <v>25</v>
      </c>
    </row>
    <row r="364" spans="117:117">
      <c r="DM364" s="49">
        <v>26</v>
      </c>
    </row>
    <row r="365" spans="117:117">
      <c r="DM365" s="49">
        <v>26</v>
      </c>
    </row>
    <row r="366" spans="117:117">
      <c r="DM366" s="49">
        <v>26</v>
      </c>
    </row>
    <row r="367" spans="117:117">
      <c r="DM367" s="49">
        <v>28</v>
      </c>
    </row>
  </sheetData>
  <sheetProtection algorithmName="SHA-512" hashValue="sBJSTtSai2K9NZnrKH0M20J48p0yN15AVW9PNEuzVsTGaYwfNEuf/HMr0MWc9a8aEzMcPZmYr36xno8xG6tcjw==" saltValue="v7JkGgiAdpck+aPzyA5AWg==" spinCount="100000" sheet="1" objects="1" scenarios="1" selectLockedCells="1"/>
  <mergeCells count="8">
    <mergeCell ref="A2:A33"/>
    <mergeCell ref="DT3:DU3"/>
    <mergeCell ref="EV3:EV4"/>
    <mergeCell ref="EV6:EV7"/>
    <mergeCell ref="DR1:DU1"/>
    <mergeCell ref="DV1:EG1"/>
    <mergeCell ref="EI1:EM1"/>
    <mergeCell ref="EN1:ER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0"/>
  <dimension ref="A1:FN367"/>
  <sheetViews>
    <sheetView topLeftCell="ER1" zoomScale="70" zoomScaleNormal="70" workbookViewId="0">
      <selection activeCell="FL5" sqref="FL5"/>
    </sheetView>
  </sheetViews>
  <sheetFormatPr defaultRowHeight="13.8"/>
  <cols>
    <col min="2" max="2" width="7.234375" bestFit="1" customWidth="1"/>
    <col min="3" max="3" width="3.6171875" bestFit="1" customWidth="1"/>
    <col min="4" max="7" width="11.85546875" bestFit="1" customWidth="1"/>
    <col min="8" max="8" width="9.76171875" bestFit="1" customWidth="1"/>
    <col min="9" max="9" width="11.85546875" bestFit="1" customWidth="1"/>
    <col min="10" max="10" width="10.85546875" bestFit="1" customWidth="1"/>
    <col min="11" max="11" width="11.85546875" bestFit="1" customWidth="1"/>
    <col min="12" max="12" width="1.6171875" style="49" customWidth="1"/>
    <col min="13" max="13" width="7.140625" customWidth="1"/>
    <col min="14" max="14" width="3.6171875" bestFit="1" customWidth="1"/>
    <col min="15" max="15" width="6.47265625" bestFit="1" customWidth="1"/>
    <col min="16" max="16" width="9.76171875" bestFit="1" customWidth="1"/>
    <col min="17" max="18" width="8.76171875" bestFit="1" customWidth="1"/>
    <col min="19" max="22" width="8.76171875" customWidth="1"/>
    <col min="23" max="23" width="1.6171875" style="49" customWidth="1"/>
    <col min="24" max="24" width="7.140625" bestFit="1" customWidth="1"/>
    <col min="25" max="25" width="3.140625" bestFit="1" customWidth="1"/>
    <col min="26" max="26" width="6.47265625" bestFit="1" customWidth="1"/>
    <col min="27" max="27" width="13" bestFit="1" customWidth="1"/>
    <col min="28" max="28" width="8.76171875" bestFit="1" customWidth="1"/>
    <col min="29" max="29" width="6.37890625" bestFit="1" customWidth="1"/>
    <col min="30" max="33" width="6.37890625" customWidth="1"/>
    <col min="34" max="34" width="1.6171875" style="49" customWidth="1"/>
    <col min="35" max="35" width="8.140625" bestFit="1" customWidth="1"/>
    <col min="36" max="36" width="3.140625" bestFit="1" customWidth="1"/>
    <col min="37" max="37" width="7.140625" bestFit="1" customWidth="1"/>
    <col min="38" max="38" width="13.47265625" bestFit="1" customWidth="1"/>
    <col min="39" max="39" width="8.76171875" bestFit="1" customWidth="1"/>
    <col min="40" max="40" width="4.76171875" customWidth="1"/>
    <col min="41" max="41" width="9.76171875" bestFit="1" customWidth="1"/>
    <col min="42" max="42" width="10.47265625" bestFit="1" customWidth="1"/>
    <col min="43" max="44" width="8" customWidth="1"/>
    <col min="45" max="45" width="1.6171875" style="49" customWidth="1"/>
    <col min="46" max="46" width="4.140625" bestFit="1" customWidth="1"/>
    <col min="47" max="47" width="3.140625" bestFit="1" customWidth="1"/>
    <col min="48" max="48" width="7.140625" bestFit="1" customWidth="1"/>
    <col min="49" max="49" width="13.47265625" bestFit="1" customWidth="1"/>
    <col min="50" max="51" width="3.140625" customWidth="1"/>
    <col min="52" max="52" width="1.6171875" style="49" customWidth="1"/>
    <col min="53" max="53" width="8.234375" bestFit="1" customWidth="1"/>
    <col min="54" max="54" width="3.140625" bestFit="1" customWidth="1"/>
    <col min="55" max="55" width="7.140625" bestFit="1" customWidth="1"/>
    <col min="56" max="56" width="13.47265625" bestFit="1" customWidth="1"/>
    <col min="57" max="58" width="3.140625" customWidth="1"/>
    <col min="59" max="59" width="1.76171875" style="49" customWidth="1"/>
    <col min="60" max="60" width="5.234375" bestFit="1" customWidth="1"/>
    <col min="61" max="61" width="3.140625" bestFit="1" customWidth="1"/>
    <col min="62" max="62" width="7.140625" bestFit="1" customWidth="1"/>
    <col min="63" max="63" width="13.47265625" bestFit="1" customWidth="1"/>
    <col min="64" max="65" width="3.140625" customWidth="1"/>
    <col min="66" max="66" width="1.6171875" style="49" customWidth="1"/>
    <col min="67" max="67" width="7.6171875" bestFit="1" customWidth="1"/>
    <col min="68" max="68" width="3.140625" bestFit="1" customWidth="1"/>
    <col min="69" max="69" width="7.140625" bestFit="1" customWidth="1"/>
    <col min="70" max="70" width="13.47265625" bestFit="1" customWidth="1"/>
    <col min="71" max="71" width="2.76171875" customWidth="1"/>
    <col min="72" max="72" width="3.140625" customWidth="1"/>
    <col min="73" max="73" width="1.6171875" style="49" customWidth="1"/>
    <col min="74" max="74" width="8.234375" bestFit="1" customWidth="1"/>
    <col min="75" max="75" width="3.140625" bestFit="1" customWidth="1"/>
    <col min="76" max="77" width="13.47265625" bestFit="1" customWidth="1"/>
    <col min="78" max="78" width="8.76171875" bestFit="1" customWidth="1"/>
    <col min="79" max="79" width="6.37890625" bestFit="1" customWidth="1"/>
    <col min="80" max="83" width="6.37890625" customWidth="1"/>
    <col min="84" max="84" width="1.6171875" style="49" customWidth="1"/>
    <col min="85" max="85" width="10.140625" bestFit="1" customWidth="1"/>
    <col min="86" max="86" width="3.140625" bestFit="1" customWidth="1"/>
    <col min="87" max="87" width="7.140625" bestFit="1" customWidth="1"/>
    <col min="88" max="88" width="13.47265625" bestFit="1" customWidth="1"/>
    <col min="89" max="89" width="8.76171875" bestFit="1" customWidth="1"/>
    <col min="90" max="90" width="6.37890625" bestFit="1" customWidth="1"/>
    <col min="91" max="94" width="6.37890625" customWidth="1"/>
    <col min="95" max="95" width="1.6171875" style="49" customWidth="1"/>
    <col min="96" max="96" width="7.47265625" bestFit="1" customWidth="1"/>
    <col min="97" max="97" width="3.140625" bestFit="1" customWidth="1"/>
    <col min="98" max="98" width="6.47265625" bestFit="1" customWidth="1"/>
    <col min="99" max="99" width="13" bestFit="1" customWidth="1"/>
    <col min="100" max="100" width="9.76171875" bestFit="1" customWidth="1"/>
    <col min="101" max="101" width="6.37890625" bestFit="1" customWidth="1"/>
    <col min="102" max="105" width="6.37890625" customWidth="1"/>
    <col min="106" max="106" width="1.6171875" style="49" customWidth="1"/>
    <col min="107" max="107" width="7.85546875" bestFit="1" customWidth="1"/>
    <col min="108" max="108" width="3.6171875" bestFit="1" customWidth="1"/>
    <col min="109" max="109" width="6.47265625" bestFit="1" customWidth="1"/>
    <col min="110" max="110" width="13" bestFit="1" customWidth="1"/>
    <col min="111" max="111" width="8.76171875" bestFit="1" customWidth="1"/>
    <col min="112" max="114" width="7.37890625" customWidth="1"/>
    <col min="117" max="117" width="9" style="49"/>
    <col min="118" max="118" width="9" style="101"/>
    <col min="121" max="121" width="9" style="51"/>
    <col min="132" max="132" width="4.234375" customWidth="1"/>
    <col min="133" max="133" width="16" bestFit="1" customWidth="1"/>
    <col min="134" max="134" width="13.140625" customWidth="1"/>
    <col min="135" max="135" width="6" customWidth="1"/>
    <col min="136" max="136" width="16" bestFit="1" customWidth="1"/>
    <col min="137" max="137" width="13.140625" customWidth="1"/>
    <col min="141" max="141" width="10.140625" bestFit="1" customWidth="1"/>
    <col min="146" max="146" width="4.234375" customWidth="1"/>
    <col min="147" max="147" width="16" bestFit="1" customWidth="1"/>
    <col min="148" max="148" width="13.140625" customWidth="1"/>
    <col min="159" max="159" width="10.76171875" customWidth="1"/>
    <col min="160" max="160" width="12.6171875" bestFit="1" customWidth="1"/>
    <col min="161" max="161" width="12.6171875" customWidth="1"/>
    <col min="162" max="163" width="10.76171875" customWidth="1"/>
    <col min="164" max="164" width="1.47265625" customWidth="1"/>
    <col min="165" max="165" width="0.47265625" customWidth="1"/>
    <col min="166" max="166" width="9.234375" bestFit="1" customWidth="1"/>
    <col min="167" max="167" width="4.140625" customWidth="1"/>
    <col min="168" max="168" width="11" customWidth="1"/>
    <col min="169" max="169" width="10.85546875" customWidth="1"/>
  </cols>
  <sheetData>
    <row r="1" spans="1:17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M1" s="53">
        <v>2012</v>
      </c>
      <c r="DQ1" s="51" t="s">
        <v>121</v>
      </c>
      <c r="DR1" s="167" t="s">
        <v>182</v>
      </c>
      <c r="DS1" s="167"/>
      <c r="DT1" s="167"/>
      <c r="DU1" s="167"/>
      <c r="DV1" s="165" t="s">
        <v>39</v>
      </c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I1" s="167" t="s">
        <v>124</v>
      </c>
      <c r="EJ1" s="167"/>
      <c r="EK1" s="167"/>
      <c r="EL1" s="167"/>
      <c r="EM1" s="167"/>
      <c r="EN1" s="165" t="s">
        <v>180</v>
      </c>
      <c r="EO1" s="165"/>
      <c r="EP1" s="165"/>
      <c r="EQ1" s="165"/>
      <c r="ER1" s="165"/>
    </row>
    <row r="2" spans="1:170" ht="14.25" customHeight="1">
      <c r="A2" s="162" t="s">
        <v>107</v>
      </c>
      <c r="B2" t="s">
        <v>108</v>
      </c>
      <c r="C2" t="s">
        <v>109</v>
      </c>
      <c r="D2" t="s">
        <v>231</v>
      </c>
      <c r="E2" t="s">
        <v>229</v>
      </c>
      <c r="F2" t="s">
        <v>222</v>
      </c>
      <c r="G2" t="s">
        <v>230</v>
      </c>
      <c r="H2" t="s">
        <v>237</v>
      </c>
      <c r="I2" t="s">
        <v>240</v>
      </c>
      <c r="J2" t="s">
        <v>222</v>
      </c>
      <c r="K2" t="s">
        <v>230</v>
      </c>
      <c r="M2" t="s">
        <v>110</v>
      </c>
      <c r="N2" t="s">
        <v>109</v>
      </c>
      <c r="O2" t="s">
        <v>231</v>
      </c>
      <c r="P2" t="s">
        <v>229</v>
      </c>
      <c r="Q2" t="s">
        <v>222</v>
      </c>
      <c r="R2" t="s">
        <v>230</v>
      </c>
      <c r="S2" t="s">
        <v>237</v>
      </c>
      <c r="T2" t="s">
        <v>240</v>
      </c>
      <c r="U2" t="s">
        <v>222</v>
      </c>
      <c r="V2" t="s">
        <v>230</v>
      </c>
      <c r="X2" t="s">
        <v>111</v>
      </c>
      <c r="Y2" t="s">
        <v>109</v>
      </c>
      <c r="Z2" t="s">
        <v>231</v>
      </c>
      <c r="AA2" t="s">
        <v>229</v>
      </c>
      <c r="AB2" t="s">
        <v>222</v>
      </c>
      <c r="AC2" t="s">
        <v>230</v>
      </c>
      <c r="AD2" t="s">
        <v>237</v>
      </c>
      <c r="AE2" t="s">
        <v>240</v>
      </c>
      <c r="AF2" t="s">
        <v>222</v>
      </c>
      <c r="AG2" t="s">
        <v>230</v>
      </c>
      <c r="AI2" t="s">
        <v>112</v>
      </c>
      <c r="AJ2" t="s">
        <v>109</v>
      </c>
      <c r="AK2" t="s">
        <v>231</v>
      </c>
      <c r="AL2" t="s">
        <v>229</v>
      </c>
      <c r="AM2" t="s">
        <v>222</v>
      </c>
      <c r="AN2" t="s">
        <v>230</v>
      </c>
      <c r="AO2" t="s">
        <v>237</v>
      </c>
      <c r="AP2" t="s">
        <v>240</v>
      </c>
      <c r="AQ2" t="s">
        <v>222</v>
      </c>
      <c r="AR2" t="s">
        <v>230</v>
      </c>
      <c r="AT2" t="s">
        <v>113</v>
      </c>
      <c r="AU2" t="s">
        <v>109</v>
      </c>
      <c r="BA2" t="s">
        <v>114</v>
      </c>
      <c r="BB2" t="s">
        <v>109</v>
      </c>
      <c r="BH2" t="s">
        <v>115</v>
      </c>
      <c r="BI2" t="s">
        <v>109</v>
      </c>
      <c r="BO2" t="s">
        <v>116</v>
      </c>
      <c r="BP2" t="s">
        <v>109</v>
      </c>
      <c r="BV2" t="s">
        <v>117</v>
      </c>
      <c r="BW2" t="s">
        <v>109</v>
      </c>
      <c r="BX2" t="s">
        <v>231</v>
      </c>
      <c r="BY2" t="s">
        <v>229</v>
      </c>
      <c r="BZ2" t="s">
        <v>222</v>
      </c>
      <c r="CA2" t="s">
        <v>230</v>
      </c>
      <c r="CB2" t="s">
        <v>237</v>
      </c>
      <c r="CC2" t="s">
        <v>240</v>
      </c>
      <c r="CD2" t="s">
        <v>222</v>
      </c>
      <c r="CE2" t="s">
        <v>230</v>
      </c>
      <c r="CG2" t="s">
        <v>118</v>
      </c>
      <c r="CH2" t="s">
        <v>109</v>
      </c>
      <c r="CI2" t="s">
        <v>231</v>
      </c>
      <c r="CJ2" t="s">
        <v>229</v>
      </c>
      <c r="CK2" t="s">
        <v>222</v>
      </c>
      <c r="CL2" t="s">
        <v>230</v>
      </c>
      <c r="CM2" t="s">
        <v>237</v>
      </c>
      <c r="CN2" t="s">
        <v>240</v>
      </c>
      <c r="CO2" t="s">
        <v>222</v>
      </c>
      <c r="CP2" t="s">
        <v>230</v>
      </c>
      <c r="CR2" t="s">
        <v>119</v>
      </c>
      <c r="CS2" t="s">
        <v>109</v>
      </c>
      <c r="CT2" t="s">
        <v>231</v>
      </c>
      <c r="CU2" t="s">
        <v>229</v>
      </c>
      <c r="CV2" t="s">
        <v>222</v>
      </c>
      <c r="CW2" t="s">
        <v>230</v>
      </c>
      <c r="CX2" t="s">
        <v>237</v>
      </c>
      <c r="CY2" t="s">
        <v>240</v>
      </c>
      <c r="CZ2" t="s">
        <v>222</v>
      </c>
      <c r="DA2" t="s">
        <v>230</v>
      </c>
      <c r="DC2" t="s">
        <v>120</v>
      </c>
      <c r="DD2" t="s">
        <v>109</v>
      </c>
      <c r="DE2" t="s">
        <v>231</v>
      </c>
      <c r="DF2" t="s">
        <v>229</v>
      </c>
      <c r="DG2" t="s">
        <v>222</v>
      </c>
      <c r="DH2" t="s">
        <v>230</v>
      </c>
      <c r="DI2" t="s">
        <v>237</v>
      </c>
      <c r="DJ2" t="s">
        <v>240</v>
      </c>
      <c r="DK2" t="s">
        <v>222</v>
      </c>
      <c r="DL2" t="s">
        <v>230</v>
      </c>
      <c r="DM2" s="49">
        <v>-18</v>
      </c>
      <c r="DQ2" s="51">
        <v>-18</v>
      </c>
      <c r="DR2" s="50" t="s">
        <v>122</v>
      </c>
      <c r="DS2" s="50" t="s">
        <v>123</v>
      </c>
      <c r="DT2" s="87">
        <v>55</v>
      </c>
      <c r="DU2" s="88">
        <v>35</v>
      </c>
      <c r="DV2" s="97">
        <v>55</v>
      </c>
      <c r="DW2" s="97">
        <v>55</v>
      </c>
      <c r="DX2" s="97">
        <v>55</v>
      </c>
      <c r="DY2" s="98">
        <v>35</v>
      </c>
      <c r="DZ2" s="98">
        <v>35</v>
      </c>
      <c r="EA2" s="98">
        <v>35</v>
      </c>
      <c r="EB2" s="97">
        <v>55</v>
      </c>
      <c r="EC2" s="97">
        <v>55</v>
      </c>
      <c r="ED2" s="97">
        <v>55</v>
      </c>
      <c r="EE2" s="98">
        <v>35</v>
      </c>
      <c r="EF2" s="98">
        <v>35</v>
      </c>
      <c r="EG2" s="98">
        <v>35</v>
      </c>
      <c r="EI2" s="100" t="s">
        <v>122</v>
      </c>
      <c r="EJ2" s="100"/>
      <c r="EK2" s="100" t="s">
        <v>123</v>
      </c>
      <c r="EL2" s="97">
        <v>55</v>
      </c>
      <c r="EM2" s="97">
        <v>55</v>
      </c>
      <c r="EN2" s="97">
        <v>55</v>
      </c>
      <c r="EO2" s="97">
        <v>55</v>
      </c>
      <c r="EP2" s="97">
        <v>55</v>
      </c>
      <c r="EQ2" s="97">
        <v>55</v>
      </c>
      <c r="ER2" s="97">
        <v>55</v>
      </c>
      <c r="FA2" t="s">
        <v>179</v>
      </c>
      <c r="FB2" t="s">
        <v>179</v>
      </c>
      <c r="FD2" t="s">
        <v>190</v>
      </c>
      <c r="FE2" t="s">
        <v>190</v>
      </c>
      <c r="FF2" t="s">
        <v>134</v>
      </c>
      <c r="FG2" t="s">
        <v>134</v>
      </c>
      <c r="FJ2" t="s">
        <v>83</v>
      </c>
      <c r="FL2" t="s">
        <v>189</v>
      </c>
      <c r="FN2" t="s">
        <v>192</v>
      </c>
    </row>
    <row r="3" spans="1:170" ht="15" customHeight="1">
      <c r="A3" s="162"/>
      <c r="B3">
        <v>1</v>
      </c>
      <c r="C3">
        <v>1</v>
      </c>
      <c r="D3" s="84">
        <f>(C3*'Dane dla CO'!$T$53+'Dane dla CO'!$V$53)/(C3*'Dane dla CO'!$P$35+'Dane dla CO'!$Q$35)</f>
        <v>2.2523148148148144</v>
      </c>
      <c r="E3" s="84">
        <f>C3*'Dane dla CO'!$N$96+'Dane dla CO'!$N$97</f>
        <v>108.00000000000001</v>
      </c>
      <c r="F3" s="84">
        <f>IF(C3&lt;'Dane dla CO'!$R$67,0,IF(D3&gt;1,E3,D3*E3))</f>
        <v>108.00000000000001</v>
      </c>
      <c r="G3" s="84">
        <f>E3-F3</f>
        <v>0</v>
      </c>
      <c r="H3" s="84">
        <f>(C3*'Dane dla CWU'!$T$53+'Dane dla CWU'!$V$53)/(C3*'Dane dla CO'!$P$35+'Dane dla CO'!$Q$35)</f>
        <v>2.2245370370370372</v>
      </c>
      <c r="I3" s="84">
        <f>$E$42/365</f>
        <v>10.319026666666666</v>
      </c>
      <c r="J3" s="84">
        <f>IF(C3&lt;'Dane dla CWU'!$R$67,0,IF(H3&gt;1,I3,H3*I3))</f>
        <v>0</v>
      </c>
      <c r="K3" s="84">
        <f>I3-J3</f>
        <v>10.319026666666666</v>
      </c>
      <c r="M3">
        <v>1</v>
      </c>
      <c r="N3">
        <v>-14</v>
      </c>
      <c r="O3" s="84">
        <f>(N3*'Dane dla CO'!$T$53+'Dane dla CO'!$V$53)/(N3*'Dane dla CO'!$P$35+'Dane dla CO'!$Q$35)</f>
        <v>0.80131505427841609</v>
      </c>
      <c r="P3" s="84">
        <f>N3*'Dane dla CO'!$N$96+'Dane dla CO'!$N$97</f>
        <v>216.00000000000003</v>
      </c>
      <c r="Q3" s="84">
        <f>IF(N3&lt;'Dane dla CO'!$R$67,0,IF(O3&gt;1,P3,O3*P3))</f>
        <v>0</v>
      </c>
      <c r="R3" s="84">
        <f>P3-Q3</f>
        <v>216.00000000000003</v>
      </c>
      <c r="S3" s="84">
        <f>(N3*'Dane dla CWU'!$T$53+'Dane dla CWU'!$V$53)/(N3*'Dane dla CO'!$P$35+'Dane dla CO'!$Q$35)</f>
        <v>0.72818885696040847</v>
      </c>
      <c r="T3" s="84">
        <f>$E$42/365</f>
        <v>10.319026666666666</v>
      </c>
      <c r="U3" s="84">
        <f>IF(N3&lt;'Dane dla CWU'!$R$67,0,IF(S3&gt;1,T3,S3*T3))</f>
        <v>0</v>
      </c>
      <c r="V3" s="84">
        <f>T3-U3</f>
        <v>10.319026666666666</v>
      </c>
      <c r="X3">
        <v>1</v>
      </c>
      <c r="Y3">
        <v>7</v>
      </c>
      <c r="Z3" s="84">
        <f>(Y3*'Dane dla CO'!$T$53+'Dane dla CO'!$V$53)/(Y3*'Dane dla CO'!$P$35+'Dane dla CO'!$Q$35)</f>
        <v>4.3562644675925926</v>
      </c>
      <c r="AA3" s="84">
        <f>Y3*'Dane dla CO'!$N$96+'Dane dla CO'!$N$97</f>
        <v>64.800000000000011</v>
      </c>
      <c r="AB3" s="84">
        <f>IF(Y3&lt;'Dane dla CO'!$R$67,0,IF(Z3&gt;1,AA3,Z3*AA3))</f>
        <v>64.800000000000011</v>
      </c>
      <c r="AC3" s="84">
        <f>AA3-AB3</f>
        <v>0</v>
      </c>
      <c r="AD3" s="84">
        <f>(Y3*'Dane dla CWU'!$T$53+'Dane dla CWU'!$V$53)/(Y3*'Dane dla CO'!$P$35+'Dane dla CO'!$Q$35)</f>
        <v>4.3942418981481479</v>
      </c>
      <c r="AE3" s="84">
        <f>$E$42/365</f>
        <v>10.319026666666666</v>
      </c>
      <c r="AF3" s="84">
        <f>IF(Y3&lt;'Dane dla CWU'!$R$67,0,IF(AD3&gt;1,AE3,AD3*AE3))</f>
        <v>10.319026666666666</v>
      </c>
      <c r="AG3" s="84">
        <f>AE3-AF3</f>
        <v>0</v>
      </c>
      <c r="AI3">
        <v>1</v>
      </c>
      <c r="AJ3">
        <v>3</v>
      </c>
      <c r="AK3" s="84">
        <f>(AJ3*'Dane dla CO'!$T$53+'Dane dla CO'!$V$53)/(AJ3*'Dane dla CO'!$P$35+'Dane dla CO'!$Q$35)</f>
        <v>2.719859182098765</v>
      </c>
      <c r="AL3" s="84">
        <f>AJ3*'Dane dla CO'!$N$96+'Dane dla CO'!$N$97</f>
        <v>93.600000000000023</v>
      </c>
      <c r="AM3" s="84">
        <f>IF(AJ3&lt;'Dane dla CO'!$R$67,0,IF(AK3&gt;1,AL3,AK3*AL3))</f>
        <v>93.600000000000023</v>
      </c>
      <c r="AN3" s="84">
        <f>AL3-AM3</f>
        <v>0</v>
      </c>
      <c r="AO3" s="84">
        <f>(AJ3*'Dane dla CWU'!$T$53+'Dane dla CWU'!$V$53)/(AJ3*'Dane dla CO'!$P$35+'Dane dla CO'!$Q$35)</f>
        <v>2.7066936728395059</v>
      </c>
      <c r="AP3" s="84">
        <f>$E$42/365</f>
        <v>10.319026666666666</v>
      </c>
      <c r="AQ3" s="84">
        <f>IF(AJ3&lt;'Dane dla CWU'!$R$67,0,IF(AO3&gt;1,AP3,AO3*AP3))</f>
        <v>10.319026666666666</v>
      </c>
      <c r="AR3" s="84">
        <f>AP3-AQ3</f>
        <v>0</v>
      </c>
      <c r="AT3">
        <v>1</v>
      </c>
      <c r="AU3">
        <v>21</v>
      </c>
      <c r="BA3">
        <v>1</v>
      </c>
      <c r="BB3">
        <v>14</v>
      </c>
      <c r="BH3">
        <v>1</v>
      </c>
      <c r="BI3">
        <v>28</v>
      </c>
      <c r="BO3">
        <v>1</v>
      </c>
      <c r="BP3">
        <v>21</v>
      </c>
      <c r="BV3">
        <v>1</v>
      </c>
      <c r="BW3">
        <v>17</v>
      </c>
      <c r="CB3" s="84"/>
      <c r="CC3" s="84">
        <f>$E$42/365</f>
        <v>10.319026666666666</v>
      </c>
      <c r="CD3" s="84">
        <f>CC3</f>
        <v>10.319026666666666</v>
      </c>
      <c r="CE3" s="84">
        <f>CC3-CD3</f>
        <v>0</v>
      </c>
      <c r="CG3">
        <v>1</v>
      </c>
      <c r="CH3">
        <v>11</v>
      </c>
      <c r="CI3" s="84">
        <f>(CH3*'Dane dla CO'!$T$53+'Dane dla CO'!$V$53)/(CH3*'Dane dla CO'!$P$35+'Dane dla CO'!$Q$35)</f>
        <v>9.2654803240740726</v>
      </c>
      <c r="CJ3" s="84">
        <f>CH3*'Dane dla CO'!$N$96+'Dane dla CO'!$N$97</f>
        <v>36</v>
      </c>
      <c r="CK3" s="84">
        <f>IF(CH3&lt;'Dane dla CO'!$R$67,0,IF(CI3&gt;1,CJ3,CI3*CJ3))</f>
        <v>36</v>
      </c>
      <c r="CL3" s="84">
        <f t="shared" ref="CL3:CL33" si="0">CJ3-CK3</f>
        <v>0</v>
      </c>
      <c r="CM3" s="84">
        <f>(CH3*'Dane dla CWU'!$T$53+'Dane dla CWU'!$V$53)/(CH3*'Dane dla CO'!$P$35+'Dane dla CO'!$Q$35)</f>
        <v>9.4568865740740744</v>
      </c>
      <c r="CN3" s="84">
        <f t="shared" ref="CN3:CN33" si="1">$E$42/365</f>
        <v>10.319026666666666</v>
      </c>
      <c r="CO3" s="84">
        <f>IF(CH3&lt;'Dane dla CWU'!$R$67,0,IF(CM3&gt;1,CN3,CM3*CN3))</f>
        <v>10.319026666666666</v>
      </c>
      <c r="CP3" s="84">
        <f t="shared" ref="CP3:CP33" si="2">CN3-CO3</f>
        <v>0</v>
      </c>
      <c r="CR3">
        <v>1</v>
      </c>
      <c r="CS3">
        <v>3</v>
      </c>
      <c r="CT3" s="84">
        <f>(CS3*'Dane dla CO'!$T$53+'Dane dla CO'!$V$53)/(CS3*'Dane dla CO'!$P$35+'Dane dla CO'!$Q$35)</f>
        <v>2.719859182098765</v>
      </c>
      <c r="CU3" s="84">
        <f>CS3*'Dane dla CO'!$N$96+'Dane dla CO'!$N$97</f>
        <v>93.600000000000023</v>
      </c>
      <c r="CV3" s="84">
        <f>IF(CS3&lt;'Dane dla CO'!$R$67,0,IF(CT3&gt;1,CU3,CT3*CU3))</f>
        <v>93.600000000000023</v>
      </c>
      <c r="CW3" s="84">
        <f t="shared" ref="CW3:CW32" si="3">CU3-CV3</f>
        <v>0</v>
      </c>
      <c r="CX3" s="84">
        <f>(CS3*'Dane dla CWU'!$T$53+'Dane dla CWU'!$V$53)/(CS3*'Dane dla CO'!$P$35+'Dane dla CO'!$Q$35)</f>
        <v>2.7066936728395059</v>
      </c>
      <c r="CY3" s="84">
        <f t="shared" ref="CY3:CY32" si="4">$E$42/365</f>
        <v>10.319026666666666</v>
      </c>
      <c r="CZ3" s="84">
        <f>IF(CS3&lt;'Dane dla CWU'!$R$67,0,IF(CX3&gt;1,CY3,CX3*CY3))</f>
        <v>10.319026666666666</v>
      </c>
      <c r="DA3" s="84">
        <f t="shared" ref="DA3:DA32" si="5">CY3-CZ3</f>
        <v>0</v>
      </c>
      <c r="DC3">
        <v>1</v>
      </c>
      <c r="DD3">
        <v>1</v>
      </c>
      <c r="DE3" s="84">
        <f>(DD3*'Dane dla CO'!$T$53+'Dane dla CO'!$V$53)/(DD3*'Dane dla CO'!$P$35+'Dane dla CO'!$Q$35)</f>
        <v>2.2523148148148144</v>
      </c>
      <c r="DF3" s="84">
        <f>DD3*'Dane dla CO'!$N$96+'Dane dla CO'!$N$97</f>
        <v>108.00000000000001</v>
      </c>
      <c r="DG3" s="84">
        <f>IF(DD3&lt;'Dane dla CO'!$R$67,0,IF(DE3&gt;1,DF3,DE3*DF3))</f>
        <v>108.00000000000001</v>
      </c>
      <c r="DH3" s="84">
        <f t="shared" ref="DH3:DH33" si="6">DF3-DG3</f>
        <v>0</v>
      </c>
      <c r="DI3" s="84">
        <f>(DD3*'Dane dla CWU'!$T$53+'Dane dla CWU'!$V$53)/(DD3*'Dane dla CO'!$P$35+'Dane dla CO'!$Q$35)</f>
        <v>2.2245370370370372</v>
      </c>
      <c r="DJ3" s="84">
        <f t="shared" ref="DJ3:DJ33" si="7">$E$42/365</f>
        <v>10.319026666666666</v>
      </c>
      <c r="DK3" s="84">
        <f>IF(DD3&lt;'Dane dla CWU'!$R$67,0,IF(DI3&gt;1,DJ3,DI3*DJ3))</f>
        <v>0</v>
      </c>
      <c r="DL3" s="84">
        <f t="shared" ref="DL3:DL33" si="8">DJ3-DK3</f>
        <v>10.319026666666666</v>
      </c>
      <c r="DM3" s="49">
        <v>-16</v>
      </c>
      <c r="DN3" s="101" t="s">
        <v>61</v>
      </c>
      <c r="DO3" t="s">
        <v>57</v>
      </c>
      <c r="DP3" t="s">
        <v>61</v>
      </c>
      <c r="DQ3" s="51">
        <v>-16</v>
      </c>
      <c r="DR3" s="91"/>
      <c r="DS3" s="91"/>
      <c r="DT3" s="163" t="s">
        <v>156</v>
      </c>
      <c r="DU3" s="164"/>
      <c r="DV3" s="91" t="s">
        <v>177</v>
      </c>
      <c r="DW3" s="91" t="s">
        <v>178</v>
      </c>
      <c r="DX3" s="91" t="s">
        <v>155</v>
      </c>
      <c r="DY3" s="91" t="s">
        <v>177</v>
      </c>
      <c r="DZ3" s="91" t="s">
        <v>178</v>
      </c>
      <c r="EA3" s="91" t="s">
        <v>155</v>
      </c>
      <c r="EB3" s="93" t="s">
        <v>122</v>
      </c>
      <c r="EC3" s="91" t="s">
        <v>181</v>
      </c>
      <c r="ED3" s="91" t="s">
        <v>179</v>
      </c>
      <c r="EE3" s="93" t="s">
        <v>122</v>
      </c>
      <c r="EF3" s="91" t="s">
        <v>181</v>
      </c>
      <c r="EG3" s="91" t="s">
        <v>179</v>
      </c>
      <c r="EI3" s="91"/>
      <c r="EJ3" s="91"/>
      <c r="EK3" s="91"/>
      <c r="EL3" s="129" t="s">
        <v>156</v>
      </c>
      <c r="EM3" s="91" t="s">
        <v>177</v>
      </c>
      <c r="EN3" s="91" t="s">
        <v>178</v>
      </c>
      <c r="EO3" s="91" t="s">
        <v>155</v>
      </c>
      <c r="EP3" s="93" t="s">
        <v>122</v>
      </c>
      <c r="EQ3" s="91" t="s">
        <v>181</v>
      </c>
      <c r="ER3" s="91" t="s">
        <v>179</v>
      </c>
      <c r="EV3" s="166" t="s">
        <v>76</v>
      </c>
      <c r="EW3" s="66" t="s">
        <v>143</v>
      </c>
      <c r="EX3" s="1"/>
      <c r="EY3" s="1"/>
      <c r="EZ3" s="102">
        <f>ROUND('Dane dla CO'!R54,0)</f>
        <v>-10</v>
      </c>
      <c r="FA3" s="84">
        <f>IF(EZ3&lt;EZ4,FB57,FB57)</f>
        <v>3.3092039618009972</v>
      </c>
      <c r="FB3" s="84">
        <f>IF(Dobór!$M$18="Ogrzewanie podłogowe 35/28",FA3,FA3/1.05)</f>
        <v>3.1516228207628543</v>
      </c>
      <c r="FD3">
        <f>IF(EZ3='Energia 221.A26'!B2,'Energia 221.A26'!H2,IF(EZ3='Energia 221.A26'!B3,'Energia 221.A26'!H3,IF(EZ3='Energia 221.A26'!B4,'Energia 221.A26'!H4,IF(EZ3='Energia 221.A26'!B5,'Energia 221.A26'!H5,IF(EZ3='Energia 221.A26'!B6,'Energia 221.A26'!H6,IF(EZ3='Energia 221.A26'!B7,'Energia 221.A26'!H7,IF(EZ3='Energia 221.A26'!B8,'Energia 221.A26'!H8,IF(EZ3='Energia 221.A26'!B9,'Energia 221.A26'!H9,IF(EZ3='Energia 221.A26'!B10,'Energia 221.A26'!H10,IF(EZ3='Energia 221.A26'!B11,'Energia 221.A26'!H11,IF(EZ3='Energia 221.A26'!B12,'Energia 221.A26'!H12,IF(EZ3='Energia 221.A26'!B13,'Energia 221.A26'!H13,IF(EZ3='Energia 221.A26'!B14,'Energia 221.A26'!H14,IF(EZ3='Energia 221.A26'!B15,'Energia 221.A26'!H15,IF(EZ3='Energia 221.A26'!B16,'Energia 221.A26'!H16,IF(EZ3='Energia 221.A26'!B17,'Energia 221.A26'!H17,IF(EZ3='Energia 221.A26'!B18,'Energia 221.A26'!H18,IF(EZ3='Energia 221.A26'!B19,'Energia 221.A26'!H19,IF(EZ3='Energia 221.A26'!B20,'Energia 221.A26'!H20,IF(EZ3='Energia 221.A26'!B21,'Energia 221.A26'!H21,IF(EZ3='Energia 221.A26'!B22,'Energia 221.A26'!H22,IF(EZ3='Energia 221.A26'!B23,'Energia 221.A26'!H23,IF(EZ3='Energia 221.A26'!B24,'Energia 221.A26'!H24,IF(EZ3='Energia 221.A26'!B25,'Energia 221.A26'!H25,IF(EZ3='Energia 221.A26'!B26,'Energia 221.A26'!H26,IF(EZ3='Energia 221.A26'!B27,'Energia 221.A26'!H27,IF(EZ3='Energia 221.A26'!B28,'Energia 221.A26'!H28,IF(EZ3='Energia 221.A26'!B29,'Energia 221.A26'!H29,IF(EZ3='Energia 221.A26'!B30,'Energia 221.A26'!H30,IF(EZ3='Energia 221.A26'!B31,'Energia 221.A26'!H31,IF(EZ3='Energia 221.A26'!B32,'Energia 221.A26'!H32,IF(EZ3='Energia 221.A26'!B33,'Energia 221.A26'!H33,IF(EZ3='Energia 221.A26'!B34,'Energia 221.A26'!H34,IF(EZ3='Energia 221.A26'!B35,'Energia 221.A26'!H35,IF(EZ3='Energia 221.A26'!B36,'Energia 221.A26'!H36,'Energia 221.A26'!H7)))))))))))))))))))))))))))))))))))</f>
        <v>17467.2</v>
      </c>
      <c r="FE3" s="84">
        <f>'Energia 221.A26'!H2-'SCOP 221.A29 ver 2'!FD3</f>
        <v>2714.3999999999978</v>
      </c>
      <c r="FF3">
        <f>FD3/FB3*'Dane dla CO'!C56</f>
        <v>3380.7954206337886</v>
      </c>
      <c r="FG3">
        <f>FE3*'Dane dla CO'!G54</f>
        <v>760.03199999999947</v>
      </c>
      <c r="FH3" s="84"/>
      <c r="FJ3">
        <f>FF3+FG3</f>
        <v>4140.8274206337883</v>
      </c>
      <c r="FL3" s="103">
        <f>FJ3</f>
        <v>4140.8274206337883</v>
      </c>
      <c r="FM3" s="103"/>
      <c r="FN3">
        <f>FE3/2/'Dane dla CO'!H40</f>
        <v>139.77342945417084</v>
      </c>
    </row>
    <row r="4" spans="1:170" ht="14.1">
      <c r="A4" s="162"/>
      <c r="B4">
        <v>2</v>
      </c>
      <c r="C4">
        <v>7</v>
      </c>
      <c r="D4" s="84">
        <f>(C4*'Dane dla CO'!$T$53+'Dane dla CO'!$V$53)/(C4*'Dane dla CO'!$P$35+'Dane dla CO'!$Q$35)</f>
        <v>4.3562644675925926</v>
      </c>
      <c r="E4" s="84">
        <f>C4*'Dane dla CO'!$N$96+'Dane dla CO'!$N$97</f>
        <v>64.800000000000011</v>
      </c>
      <c r="F4" s="84">
        <f>IF(C4&lt;'Dane dla CO'!$R$67,0,IF(D4&gt;1,E4,D4*E4))</f>
        <v>64.800000000000011</v>
      </c>
      <c r="G4" s="84">
        <f t="shared" ref="G4:G33" si="9">E4-F4</f>
        <v>0</v>
      </c>
      <c r="H4" s="84">
        <f>(C4*'Dane dla CWU'!$AB$53+'Dane dla CWU'!$AD$53)/(C4*'Dane dla CO'!$P$35+'Dane dla CO'!$Q$35)</f>
        <v>2.3585390946502054</v>
      </c>
      <c r="I4" s="84">
        <f t="shared" ref="I4:I33" si="10">$E$42/365</f>
        <v>10.319026666666666</v>
      </c>
      <c r="J4" s="84">
        <f>IF(C4&lt;'Dane dla CWU'!$R$67,0,IF(H4&gt;1,I4,H4*I4))</f>
        <v>10.319026666666666</v>
      </c>
      <c r="K4" s="84">
        <f t="shared" ref="K4:K33" si="11">I4-J4</f>
        <v>0</v>
      </c>
      <c r="M4">
        <v>2</v>
      </c>
      <c r="N4">
        <v>-16</v>
      </c>
      <c r="O4" s="84">
        <f>(N4*'Dane dla CO'!$T$53+'Dane dla CO'!$V$53)/(N4*'Dane dla CO'!$P$35+'Dane dla CO'!$Q$35)</f>
        <v>0.71394302568697721</v>
      </c>
      <c r="P4" s="84">
        <f>N4*'Dane dla CO'!$N$96+'Dane dla CO'!$N$97</f>
        <v>230.40000000000003</v>
      </c>
      <c r="Q4" s="84">
        <f>IF(N4&lt;'Dane dla CO'!$R$67,0,IF(O4&gt;1,P4,O4*P4))</f>
        <v>0</v>
      </c>
      <c r="R4" s="84">
        <f t="shared" ref="R4:R31" si="12">P4-Q4</f>
        <v>230.40000000000003</v>
      </c>
      <c r="S4" s="84">
        <f>(N4*'Dane dla CWU'!$T$53+'Dane dla CWU'!$V$53)/(N4*'Dane dla CO'!$P$35+'Dane dla CO'!$Q$35)</f>
        <v>0.63808617084826758</v>
      </c>
      <c r="T4" s="84">
        <f t="shared" ref="T4:T31" si="13">$E$42/365</f>
        <v>10.319026666666666</v>
      </c>
      <c r="U4" s="84">
        <f>IF(N4&lt;'Dane dla CWU'!$R$67,0,IF(S4&gt;1,T4,S4*T4))</f>
        <v>0</v>
      </c>
      <c r="V4" s="84">
        <f t="shared" ref="V4:V31" si="14">T4-U4</f>
        <v>10.319026666666666</v>
      </c>
      <c r="X4">
        <v>2</v>
      </c>
      <c r="Y4">
        <v>7</v>
      </c>
      <c r="Z4" s="84">
        <f>(Y4*'Dane dla CO'!$T$53+'Dane dla CO'!$V$53)/(Y4*'Dane dla CO'!$P$35+'Dane dla CO'!$Q$35)</f>
        <v>4.3562644675925926</v>
      </c>
      <c r="AA4" s="84">
        <f>Y4*'Dane dla CO'!$N$96+'Dane dla CO'!$N$97</f>
        <v>64.800000000000011</v>
      </c>
      <c r="AB4" s="84">
        <f>IF(Y4&lt;'Dane dla CO'!$R$67,0,IF(Z4&gt;1,AA4,Z4*AA4))</f>
        <v>64.800000000000011</v>
      </c>
      <c r="AC4" s="84">
        <f t="shared" ref="AC4:AC33" si="15">AA4-AB4</f>
        <v>0</v>
      </c>
      <c r="AD4" s="84">
        <f>(Y4*'Dane dla CWU'!$T$53+'Dane dla CWU'!$V$53)/(Y4*'Dane dla CO'!$P$35+'Dane dla CO'!$Q$35)</f>
        <v>4.3942418981481479</v>
      </c>
      <c r="AE4" s="84">
        <f t="shared" ref="AE4:AE33" si="16">$E$42/365</f>
        <v>10.319026666666666</v>
      </c>
      <c r="AF4" s="84">
        <f>IF(Y4&lt;'Dane dla CWU'!$R$67,0,IF(AD4&gt;1,AE4,AD4*AE4))</f>
        <v>10.319026666666666</v>
      </c>
      <c r="AG4" s="84">
        <f t="shared" ref="AG4:AG33" si="17">AE4-AF4</f>
        <v>0</v>
      </c>
      <c r="AI4">
        <v>2</v>
      </c>
      <c r="AJ4">
        <v>7</v>
      </c>
      <c r="AK4" s="84">
        <f>(AJ4*'Dane dla CO'!$T$53+'Dane dla CO'!$V$53)/(AJ4*'Dane dla CO'!$P$35+'Dane dla CO'!$Q$35)</f>
        <v>4.3562644675925926</v>
      </c>
      <c r="AL4" s="84">
        <f>AJ4*'Dane dla CO'!$N$96+'Dane dla CO'!$N$97</f>
        <v>64.800000000000011</v>
      </c>
      <c r="AM4" s="84">
        <f>IF(AJ4&lt;'Dane dla CO'!$R$67,0,IF(AK4&gt;1,AL4,AK4*AL4))</f>
        <v>64.800000000000011</v>
      </c>
      <c r="AN4" s="84">
        <f t="shared" ref="AN4:AN28" si="18">AL4-AM4</f>
        <v>0</v>
      </c>
      <c r="AO4" s="84">
        <f>(AJ4*'Dane dla CWU'!$T$53+'Dane dla CWU'!$V$53)/(AJ4*'Dane dla CO'!$P$35+'Dane dla CO'!$Q$35)</f>
        <v>4.3942418981481479</v>
      </c>
      <c r="AP4" s="84">
        <f t="shared" ref="AP4:AP32" si="19">$E$42/365</f>
        <v>10.319026666666666</v>
      </c>
      <c r="AQ4" s="84">
        <f>IF(AJ4&lt;'Dane dla CWU'!$R$67,0,IF(AO4&gt;1,AP4,AO4*AP4))</f>
        <v>10.319026666666666</v>
      </c>
      <c r="AR4" s="84">
        <f t="shared" ref="AR4:AR32" si="20">AP4-AQ4</f>
        <v>0</v>
      </c>
      <c r="AT4">
        <v>2</v>
      </c>
      <c r="AU4">
        <v>21</v>
      </c>
      <c r="BA4">
        <v>2</v>
      </c>
      <c r="BB4">
        <v>13</v>
      </c>
      <c r="BH4">
        <v>2</v>
      </c>
      <c r="BI4">
        <v>25</v>
      </c>
      <c r="BO4">
        <v>2</v>
      </c>
      <c r="BP4">
        <v>23</v>
      </c>
      <c r="BV4">
        <v>2</v>
      </c>
      <c r="BW4">
        <v>17</v>
      </c>
      <c r="CB4" s="84"/>
      <c r="CC4" s="84">
        <f t="shared" ref="CC4:CC14" si="21">$E$42/365</f>
        <v>10.319026666666666</v>
      </c>
      <c r="CD4" s="84">
        <f t="shared" ref="CD4:CD14" si="22">CC4</f>
        <v>10.319026666666666</v>
      </c>
      <c r="CE4" s="84">
        <f t="shared" ref="CE4:CE14" si="23">CC4-CD4</f>
        <v>0</v>
      </c>
      <c r="CG4">
        <v>2</v>
      </c>
      <c r="CH4">
        <v>14</v>
      </c>
      <c r="CI4" s="84">
        <f>(CH4*'Dane dla CO'!$T$53+'Dane dla CO'!$V$53)/(CH4*'Dane dla CO'!$P$35+'Dane dla CO'!$Q$35)</f>
        <v>38.720775462962941</v>
      </c>
      <c r="CJ4" s="84">
        <f>CH4*'Dane dla CO'!$N$96+'Dane dla CO'!$N$97</f>
        <v>14.400000000000006</v>
      </c>
      <c r="CK4" s="84">
        <f>IF(CH4&lt;'Dane dla CO'!$R$67,0,IF(CI4&gt;1,CJ4,CI4*CJ4))</f>
        <v>14.400000000000006</v>
      </c>
      <c r="CL4" s="84">
        <f t="shared" si="0"/>
        <v>0</v>
      </c>
      <c r="CM4" s="84">
        <f>(CH4*'Dane dla CWU'!$T$53+'Dane dla CWU'!$V$53)/(CH4*'Dane dla CO'!$P$35+'Dane dla CO'!$Q$35)</f>
        <v>39.832754629629619</v>
      </c>
      <c r="CN4" s="84">
        <f t="shared" si="1"/>
        <v>10.319026666666666</v>
      </c>
      <c r="CO4" s="84">
        <f>IF(CH4&lt;'Dane dla CWU'!$R$67,0,IF(CM4&gt;1,CN4,CM4*CN4))</f>
        <v>10.319026666666666</v>
      </c>
      <c r="CP4" s="84">
        <f t="shared" si="2"/>
        <v>0</v>
      </c>
      <c r="CR4">
        <v>2</v>
      </c>
      <c r="CS4">
        <v>7</v>
      </c>
      <c r="CT4" s="84">
        <f>(CS4*'Dane dla CO'!$T$53+'Dane dla CO'!$V$53)/(CS4*'Dane dla CO'!$P$35+'Dane dla CO'!$Q$35)</f>
        <v>4.3562644675925926</v>
      </c>
      <c r="CU4" s="84">
        <f>CS4*'Dane dla CO'!$N$96+'Dane dla CO'!$N$97</f>
        <v>64.800000000000011</v>
      </c>
      <c r="CV4" s="84">
        <f>IF(CS4&lt;'Dane dla CO'!$R$67,0,IF(CT4&gt;1,CU4,CT4*CU4))</f>
        <v>64.800000000000011</v>
      </c>
      <c r="CW4" s="84">
        <f t="shared" si="3"/>
        <v>0</v>
      </c>
      <c r="CX4" s="84">
        <f>(CS4*'Dane dla CWU'!$T$53+'Dane dla CWU'!$V$53)/(CS4*'Dane dla CO'!$P$35+'Dane dla CO'!$Q$35)</f>
        <v>4.3942418981481479</v>
      </c>
      <c r="CY4" s="84">
        <f t="shared" si="4"/>
        <v>10.319026666666666</v>
      </c>
      <c r="CZ4" s="84">
        <f>IF(CS4&lt;'Dane dla CWU'!$R$67,0,IF(CX4&gt;1,CY4,CX4*CY4))</f>
        <v>10.319026666666666</v>
      </c>
      <c r="DA4" s="84">
        <f t="shared" si="5"/>
        <v>0</v>
      </c>
      <c r="DC4">
        <v>2</v>
      </c>
      <c r="DD4">
        <v>-1</v>
      </c>
      <c r="DE4" s="84">
        <f>(DD4*'Dane dla CO'!$T$53+'Dane dla CO'!$V$53)/(DD4*'Dane dla CO'!$P$35+'Dane dla CO'!$Q$35)</f>
        <v>1.9016565393518516</v>
      </c>
      <c r="DF4" s="84">
        <f>DD4*'Dane dla CO'!$N$96+'Dane dla CO'!$N$97</f>
        <v>122.40000000000002</v>
      </c>
      <c r="DG4" s="84">
        <f>IF(DD4&lt;'Dane dla CO'!$R$67,0,IF(DE4&gt;1,DF4,DE4*DF4))</f>
        <v>122.40000000000002</v>
      </c>
      <c r="DH4" s="84">
        <f t="shared" si="6"/>
        <v>0</v>
      </c>
      <c r="DI4" s="84">
        <f>(DD4*'Dane dla CWU'!$T$53+'Dane dla CWU'!$V$53)/(DD4*'Dane dla CO'!$P$35+'Dane dla CO'!$Q$35)</f>
        <v>1.8629195601851849</v>
      </c>
      <c r="DJ4" s="84">
        <f t="shared" si="7"/>
        <v>10.319026666666666</v>
      </c>
      <c r="DK4" s="84">
        <f>IF(DD4&lt;'Dane dla CWU'!$R$67,0,IF(DI4&gt;1,DJ4,DI4*DJ4))</f>
        <v>0</v>
      </c>
      <c r="DL4" s="84">
        <f t="shared" si="8"/>
        <v>10.319026666666666</v>
      </c>
      <c r="DM4" s="49">
        <v>-14</v>
      </c>
      <c r="DN4" s="124" t="s">
        <v>221</v>
      </c>
      <c r="DO4" s="125" t="s">
        <v>212</v>
      </c>
      <c r="DP4" s="125" t="s">
        <v>224</v>
      </c>
      <c r="DQ4" s="51">
        <v>-14</v>
      </c>
      <c r="DR4" s="94"/>
      <c r="DS4" s="94"/>
      <c r="DT4" s="85"/>
      <c r="DU4" s="86"/>
      <c r="DV4" s="92"/>
      <c r="DW4" s="92"/>
      <c r="DX4" s="92"/>
      <c r="DY4" s="86"/>
      <c r="DZ4" s="86"/>
      <c r="EA4" s="86"/>
      <c r="EB4" s="92"/>
      <c r="EC4" s="92"/>
      <c r="ED4" s="92"/>
      <c r="EE4" s="96"/>
      <c r="EF4" s="96"/>
      <c r="EG4" s="96"/>
      <c r="EI4" s="94"/>
      <c r="EJ4" s="94"/>
      <c r="EK4" s="94"/>
      <c r="EL4" s="85"/>
      <c r="EM4" s="92"/>
      <c r="EN4" s="92"/>
      <c r="EO4" s="92"/>
      <c r="EP4" s="92"/>
      <c r="EQ4" s="92"/>
      <c r="ER4" s="92"/>
      <c r="EV4" s="166"/>
      <c r="EW4" s="67" t="s">
        <v>144</v>
      </c>
      <c r="EX4" s="59"/>
      <c r="EY4" s="21"/>
      <c r="EZ4" s="102">
        <f>ROUND('Dane dla CO'!R67,0)</f>
        <v>-7</v>
      </c>
      <c r="FA4" s="84">
        <f>FB58</f>
        <v>3.414558913375636</v>
      </c>
      <c r="FB4" s="84">
        <f>IF(Dobór!$M$18="Ogrzewanie podłogowe 35/28",FA4,FA4/1.05)</f>
        <v>3.2519608698815579</v>
      </c>
      <c r="FC4">
        <f>FD4/FB4</f>
        <v>5028.1047817760309</v>
      </c>
      <c r="FD4">
        <f>IF(EZ4='Energia 221.A26'!B2,'Energia 221.A26'!H2,IF(EZ4='Energia 221.A26'!B3,'Energia 221.A26'!H3,IF(EZ4='Energia 221.A26'!B4,'Energia 221.A26'!H4,IF(EZ4='Energia 221.A26'!B5,'Energia 221.A26'!H5,IF(EZ4='Energia 221.A26'!B6,'Energia 221.A26'!H6,IF(EZ4='Energia 221.A26'!B7,'Energia 221.A26'!H7,IF(EZ4='Energia 221.A26'!B8,'Energia 221.A26'!H8,IF(EZ4='Energia 221.A26'!B9,'Energia 221.A26'!H9,IF(EZ4='Energia 221.A26'!B10,'Energia 221.A26'!H10,IF(EZ4='Energia 221.A26'!B11,'Energia 221.A26'!H11,IF(EZ4='Energia 221.A26'!B12,'Energia 221.A26'!H12,IF(EZ4='Energia 221.A26'!B13,'Energia 221.A26'!H13,IF(EZ4='Energia 221.A26'!B14,'Energia 221.A26'!H14,IF(EZ4='Energia 221.A26'!B15,'Energia 221.A26'!H15,IF(EZ4='Energia 221.A26'!B16,'Energia 221.A26'!H16,IF(EZ4='Energia 221.A26'!B17,'Energia 221.A26'!H17,IF(EZ4='Energia 221.A26'!B18,'Energia 221.A26'!H18,IF(EZ4='Energia 221.A26'!B19,'Energia 221.A26'!H19,IF(EZ4='Energia 221.A26'!B20,'Energia 221.A26'!H20,IF(EZ4='Energia 221.A26'!B21,'Energia 221.A26'!H21,IF(EZ4='Energia 221.A26'!B22,'Energia 221.A26'!H22,IF(EZ4='Energia 221.A26'!B23,'Energia 221.A26'!H23,IF(EZ4='Energia 221.A26'!B24,'Energia 221.A26'!H24,IF(EZ4='Energia 221.A26'!B25,'Energia 221.A26'!H25,IF(EZ4='Energia 221.A26'!B26,'Energia 221.A26'!H26,IF(EZ4='Energia 221.A26'!B27,'Energia 221.A26'!H27,IF(EZ4='Energia 221.A26'!B28,'Energia 221.A26'!H28,IF(EZ4='Energia 221.A26'!B29,'Energia 221.A26'!H29,IF(EZ4='Energia 221.A26'!B30,'Energia 221.A26'!H30,IF(EZ4='Energia 221.A26'!B31,'Energia 221.A26'!H31,IF(EZ4='Energia 221.A26'!B32,'Energia 221.A26'!H32,IF(EZ4='Energia 221.A26'!B33,'Energia 221.A26'!H33,IF(EZ4='Energia 221.A26'!B34,'Energia 221.A26'!H34,IF(EZ4='Energia 221.A26'!B35,'Energia 221.A26'!H35,IF(EZ4='Energia 221.A26'!B36,'Energia 221.A26'!H36,'Energia 221.A26'!H7)))))))))))))))))))))))))))))))))))</f>
        <v>16351.200000000003</v>
      </c>
      <c r="FE4" s="84">
        <f>'Energia 221.A26'!H2-'SCOP 221.A29 ver 2'!FD4</f>
        <v>3830.399999999996</v>
      </c>
      <c r="FF4">
        <f>FD4/FB4*'Dane dla CO'!C56</f>
        <v>3067.143916883379</v>
      </c>
      <c r="FG4">
        <f>FE4*'Dane dla CO'!G54</f>
        <v>1072.511999999999</v>
      </c>
      <c r="FH4" s="84"/>
      <c r="FI4" s="84"/>
      <c r="FJ4">
        <f>FG4+FF4</f>
        <v>4139.6559168833783</v>
      </c>
      <c r="FL4" s="103">
        <f>FJ4</f>
        <v>4139.6559168833783</v>
      </c>
      <c r="FM4" s="103"/>
      <c r="FN4">
        <f>IF(EZ4=-20,FN3,FE3/'Dane dla CO'!H40)</f>
        <v>279.54685890834168</v>
      </c>
    </row>
    <row r="5" spans="1:170">
      <c r="A5" s="162"/>
      <c r="B5">
        <v>3</v>
      </c>
      <c r="C5">
        <v>6</v>
      </c>
      <c r="D5" s="84">
        <f>(C5*'Dane dla CO'!$T$53+'Dane dla CO'!$V$53)/(C5*'Dane dla CO'!$P$35+'Dane dla CO'!$Q$35)</f>
        <v>3.8107960390946491</v>
      </c>
      <c r="E5" s="84">
        <f>C5*'Dane dla CO'!$N$96+'Dane dla CO'!$N$97</f>
        <v>72.000000000000014</v>
      </c>
      <c r="F5" s="84">
        <f>IF(C5&lt;'Dane dla CO'!$R$67,0,IF(D5&gt;1,E5,D5*E5))</f>
        <v>72.000000000000014</v>
      </c>
      <c r="G5" s="84">
        <f t="shared" si="9"/>
        <v>0</v>
      </c>
      <c r="H5" s="84">
        <f>(C5*'Dane dla CWU'!$AB$53+'Dane dla CWU'!$AD$53)/(C5*'Dane dla CO'!$P$35+'Dane dla CO'!$Q$35)</f>
        <v>2.0444673068129853</v>
      </c>
      <c r="I5" s="84">
        <f t="shared" si="10"/>
        <v>10.319026666666666</v>
      </c>
      <c r="J5" s="84">
        <f>IF(C5&lt;'Dane dla CWU'!$R$67,0,IF(H5&gt;1,I5,H5*I5))</f>
        <v>10.319026666666666</v>
      </c>
      <c r="K5" s="84">
        <f t="shared" si="11"/>
        <v>0</v>
      </c>
      <c r="M5">
        <v>3</v>
      </c>
      <c r="N5">
        <v>-18</v>
      </c>
      <c r="O5" s="84">
        <f>(N5*'Dane dla CO'!$T$53+'Dane dla CO'!$V$53)/(N5*'Dane dla CO'!$P$35+'Dane dla CO'!$Q$35)</f>
        <v>0.6371615460157124</v>
      </c>
      <c r="P5" s="84">
        <f>N5*'Dane dla CO'!$N$96+'Dane dla CO'!$N$97</f>
        <v>244.80000000000004</v>
      </c>
      <c r="Q5" s="84">
        <f>IF(N5&lt;'Dane dla CO'!$R$67,0,IF(O5&gt;1,P5,O5*P5))</f>
        <v>0</v>
      </c>
      <c r="R5" s="84">
        <f t="shared" si="12"/>
        <v>244.80000000000004</v>
      </c>
      <c r="S5" s="84">
        <f>(N5*'Dane dla CWU'!$T$53+'Dane dla CWU'!$V$53)/(N5*'Dane dla CO'!$P$35+'Dane dla CO'!$Q$35)</f>
        <v>0.55890502244668905</v>
      </c>
      <c r="T5" s="84">
        <f t="shared" si="13"/>
        <v>10.319026666666666</v>
      </c>
      <c r="U5" s="84">
        <f>IF(N5&lt;'Dane dla CWU'!$R$67,0,IF(S5&gt;1,T5,S5*T5))</f>
        <v>0</v>
      </c>
      <c r="V5" s="84">
        <f t="shared" si="14"/>
        <v>10.319026666666666</v>
      </c>
      <c r="X5">
        <v>3</v>
      </c>
      <c r="Y5">
        <v>2</v>
      </c>
      <c r="Z5" s="84">
        <f>(Y5*'Dane dla CO'!$T$53+'Dane dla CO'!$V$53)/(Y5*'Dane dla CO'!$P$35+'Dane dla CO'!$Q$35)</f>
        <v>2.4681045227920229</v>
      </c>
      <c r="AA5" s="84">
        <f>Y5*'Dane dla CO'!$N$96+'Dane dla CO'!$N$97</f>
        <v>100.80000000000001</v>
      </c>
      <c r="AB5" s="84">
        <f>IF(Y5&lt;'Dane dla CO'!$R$67,0,IF(Z5&gt;1,AA5,Z5*AA5))</f>
        <v>100.80000000000001</v>
      </c>
      <c r="AC5" s="84">
        <f t="shared" si="15"/>
        <v>0</v>
      </c>
      <c r="AD5" s="84">
        <f>(Y5*'Dane dla CWU'!$T$53+'Dane dla CWU'!$V$53)/(Y5*'Dane dla CO'!$P$35+'Dane dla CO'!$Q$35)</f>
        <v>2.4470708689458691</v>
      </c>
      <c r="AE5" s="84">
        <f t="shared" si="16"/>
        <v>10.319026666666666</v>
      </c>
      <c r="AF5" s="84">
        <f>IF(Y5&lt;'Dane dla CWU'!$R$67,0,IF(AD5&gt;1,AE5,AD5*AE5))</f>
        <v>0</v>
      </c>
      <c r="AG5" s="84">
        <f t="shared" si="17"/>
        <v>10.319026666666666</v>
      </c>
      <c r="AI5">
        <v>3</v>
      </c>
      <c r="AJ5">
        <v>8</v>
      </c>
      <c r="AK5" s="84">
        <f>(AJ5*'Dane dla CO'!$T$53+'Dane dla CO'!$V$53)/(AJ5*'Dane dla CO'!$P$35+'Dane dla CO'!$Q$35)</f>
        <v>5.0575810185185182</v>
      </c>
      <c r="AL5" s="84">
        <f>AJ5*'Dane dla CO'!$N$96+'Dane dla CO'!$N$97</f>
        <v>57.600000000000009</v>
      </c>
      <c r="AM5" s="84">
        <f>IF(AJ5&lt;'Dane dla CO'!$R$67,0,IF(AK5&gt;1,AL5,AK5*AL5))</f>
        <v>57.600000000000009</v>
      </c>
      <c r="AN5" s="84">
        <f t="shared" si="18"/>
        <v>0</v>
      </c>
      <c r="AO5" s="84">
        <f>(AJ5*'Dane dla CWU'!$T$53+'Dane dla CWU'!$V$53)/(AJ5*'Dane dla CO'!$P$35+'Dane dla CO'!$Q$35)</f>
        <v>5.1174768518518521</v>
      </c>
      <c r="AP5" s="84">
        <f t="shared" si="19"/>
        <v>10.319026666666666</v>
      </c>
      <c r="AQ5" s="84">
        <f>IF(AJ5&lt;'Dane dla CWU'!$R$67,0,IF(AO5&gt;1,AP5,AO5*AP5))</f>
        <v>10.319026666666666</v>
      </c>
      <c r="AR5" s="84">
        <f t="shared" si="20"/>
        <v>0</v>
      </c>
      <c r="AT5">
        <v>3</v>
      </c>
      <c r="AU5">
        <v>19</v>
      </c>
      <c r="BA5">
        <v>3</v>
      </c>
      <c r="BB5">
        <v>16</v>
      </c>
      <c r="BH5">
        <v>3</v>
      </c>
      <c r="BI5">
        <v>25</v>
      </c>
      <c r="BO5">
        <v>3</v>
      </c>
      <c r="BP5">
        <v>22</v>
      </c>
      <c r="BV5">
        <v>3</v>
      </c>
      <c r="BW5">
        <v>15</v>
      </c>
      <c r="CB5" s="84"/>
      <c r="CC5" s="84">
        <f t="shared" si="21"/>
        <v>10.319026666666666</v>
      </c>
      <c r="CD5" s="84">
        <f t="shared" si="22"/>
        <v>10.319026666666666</v>
      </c>
      <c r="CE5" s="84">
        <f t="shared" si="23"/>
        <v>0</v>
      </c>
      <c r="CG5">
        <v>3</v>
      </c>
      <c r="CH5">
        <v>13</v>
      </c>
      <c r="CI5" s="84">
        <f>(CH5*'Dane dla CO'!$T$53+'Dane dla CO'!$V$53)/(CH5*'Dane dla CO'!$P$35+'Dane dla CO'!$Q$35)</f>
        <v>19.083912037037027</v>
      </c>
      <c r="CJ5" s="84">
        <f>CH5*'Dane dla CO'!$N$96+'Dane dla CO'!$N$97</f>
        <v>21.600000000000009</v>
      </c>
      <c r="CK5" s="84">
        <f>IF(CH5&lt;'Dane dla CO'!$R$67,0,IF(CI5&gt;1,CJ5,CI5*CJ5))</f>
        <v>21.600000000000009</v>
      </c>
      <c r="CL5" s="84">
        <f t="shared" si="0"/>
        <v>0</v>
      </c>
      <c r="CM5" s="84">
        <f>(CH5*'Dane dla CWU'!$T$53+'Dane dla CWU'!$V$53)/(CH5*'Dane dla CO'!$P$35+'Dane dla CO'!$Q$35)</f>
        <v>19.582175925925917</v>
      </c>
      <c r="CN5" s="84">
        <f t="shared" si="1"/>
        <v>10.319026666666666</v>
      </c>
      <c r="CO5" s="84">
        <f>IF(CH5&lt;'Dane dla CWU'!$R$67,0,IF(CM5&gt;1,CN5,CM5*CN5))</f>
        <v>10.319026666666666</v>
      </c>
      <c r="CP5" s="84">
        <f t="shared" si="2"/>
        <v>0</v>
      </c>
      <c r="CR5">
        <v>3</v>
      </c>
      <c r="CS5">
        <v>6</v>
      </c>
      <c r="CT5" s="84">
        <f>(CS5*'Dane dla CO'!$T$53+'Dane dla CO'!$V$53)/(CS5*'Dane dla CO'!$P$35+'Dane dla CO'!$Q$35)</f>
        <v>3.8107960390946491</v>
      </c>
      <c r="CU5" s="84">
        <f>CS5*'Dane dla CO'!$N$96+'Dane dla CO'!$N$97</f>
        <v>72.000000000000014</v>
      </c>
      <c r="CV5" s="84">
        <f>IF(CS5&lt;'Dane dla CO'!$R$67,0,IF(CT5&gt;1,CU5,CT5*CU5))</f>
        <v>72.000000000000014</v>
      </c>
      <c r="CW5" s="84">
        <f t="shared" si="3"/>
        <v>0</v>
      </c>
      <c r="CX5" s="84">
        <f>(CS5*'Dane dla CWU'!$T$53+'Dane dla CWU'!$V$53)/(CS5*'Dane dla CO'!$P$35+'Dane dla CO'!$Q$35)</f>
        <v>3.8317258230452675</v>
      </c>
      <c r="CY5" s="84">
        <f t="shared" si="4"/>
        <v>10.319026666666666</v>
      </c>
      <c r="CZ5" s="84">
        <f>IF(CS5&lt;'Dane dla CWU'!$R$67,0,IF(CX5&gt;1,CY5,CX5*CY5))</f>
        <v>10.319026666666666</v>
      </c>
      <c r="DA5" s="84">
        <f t="shared" si="5"/>
        <v>0</v>
      </c>
      <c r="DC5">
        <v>3</v>
      </c>
      <c r="DD5">
        <v>0</v>
      </c>
      <c r="DE5" s="84">
        <f>(DD5*'Dane dla CO'!$T$53+'Dane dla CO'!$V$53)/(DD5*'Dane dla CO'!$P$35+'Dane dla CO'!$Q$35)</f>
        <v>2.0652970679012341</v>
      </c>
      <c r="DF5" s="84">
        <f>DD5*'Dane dla CO'!$N$96+'Dane dla CO'!$N$97</f>
        <v>115.20000000000002</v>
      </c>
      <c r="DG5" s="84">
        <f>IF(DD5&lt;'Dane dla CO'!$R$67,0,IF(DE5&gt;1,DF5,DE5*DF5))</f>
        <v>115.20000000000002</v>
      </c>
      <c r="DH5" s="84">
        <f t="shared" si="6"/>
        <v>0</v>
      </c>
      <c r="DI5" s="84">
        <f>(DD5*'Dane dla CWU'!$T$53+'Dane dla CWU'!$V$53)/(DD5*'Dane dla CO'!$P$35+'Dane dla CO'!$Q$35)</f>
        <v>2.0316743827160493</v>
      </c>
      <c r="DJ5" s="84">
        <f t="shared" si="7"/>
        <v>10.319026666666666</v>
      </c>
      <c r="DK5" s="84">
        <f>IF(DD5&lt;'Dane dla CWU'!$R$67,0,IF(DI5&gt;1,DJ5,DI5*DJ5))</f>
        <v>0</v>
      </c>
      <c r="DL5" s="84">
        <f t="shared" si="8"/>
        <v>10.319026666666666</v>
      </c>
      <c r="DM5" s="49">
        <v>-14</v>
      </c>
      <c r="DN5" s="94">
        <f>DO5*'Dane dla CO'!$N$80</f>
        <v>1234.2857142857144</v>
      </c>
      <c r="DO5" s="94">
        <f>(15-DS5)/35*'Dane dla CO'!$N$75</f>
        <v>10.8</v>
      </c>
      <c r="DP5" s="94">
        <f>IF(DR5&gt;0,DN5/DR5,DN5)</f>
        <v>1234.2857142857144</v>
      </c>
      <c r="DQ5" s="51">
        <v>-14</v>
      </c>
      <c r="DR5" s="130">
        <v>0</v>
      </c>
      <c r="DS5" s="130">
        <v>-20</v>
      </c>
      <c r="DT5" s="89">
        <f>Wykresy!Y3</f>
        <v>55</v>
      </c>
      <c r="DU5" s="90">
        <f>Wykresy!AE3</f>
        <v>35</v>
      </c>
      <c r="DV5" s="117">
        <v>6</v>
      </c>
      <c r="DW5" s="117">
        <v>4.2</v>
      </c>
      <c r="DX5" s="92">
        <f t="shared" ref="DX5:DX40" si="24">DV5/DW5</f>
        <v>1.4285714285714286</v>
      </c>
      <c r="DY5" s="118">
        <v>7.04</v>
      </c>
      <c r="DZ5" s="118">
        <v>3.09</v>
      </c>
      <c r="EA5" s="96">
        <f>DY5/DZ5</f>
        <v>2.2783171521035599</v>
      </c>
      <c r="EB5" s="85">
        <f t="shared" ref="EB5:EB10" si="25">DR5</f>
        <v>0</v>
      </c>
      <c r="EC5" s="85">
        <f t="shared" ref="EC5:EC40" si="26">EB5*DX5/$DT$42</f>
        <v>0</v>
      </c>
      <c r="ED5" s="92">
        <f>'Energia 221.A29'!P2</f>
        <v>3.151060305964636</v>
      </c>
      <c r="EE5" s="86">
        <f t="shared" ref="EE5:EE10" si="27">DR5</f>
        <v>0</v>
      </c>
      <c r="EF5" s="86">
        <f t="shared" ref="EF5:EF40" si="28">EE5*EA5/$DT$42</f>
        <v>0</v>
      </c>
      <c r="EG5" s="96">
        <f>'Energia 221.A29'!S2</f>
        <v>4.1792709589518857</v>
      </c>
      <c r="EI5" s="130">
        <v>0</v>
      </c>
      <c r="EJ5" s="130">
        <v>0</v>
      </c>
      <c r="EK5" s="130">
        <v>-20</v>
      </c>
      <c r="EL5" s="89">
        <v>55</v>
      </c>
      <c r="EM5" s="117">
        <v>6</v>
      </c>
      <c r="EN5" s="117">
        <v>4.2</v>
      </c>
      <c r="EO5" s="92">
        <f>EM5/EN5</f>
        <v>1.4285714285714286</v>
      </c>
      <c r="EP5" s="85">
        <f t="shared" ref="EP5:EP53" si="29">EI5</f>
        <v>0</v>
      </c>
      <c r="EQ5" s="85">
        <f t="shared" ref="EQ5:EQ53" si="30">EP5*EO5/$DT$42</f>
        <v>0</v>
      </c>
      <c r="ER5" s="92">
        <f>'Energia 221.A29'!V2</f>
        <v>2.7474440589495495</v>
      </c>
      <c r="ES5">
        <f>(EM10-EM5)/5</f>
        <v>6.1999999999999923E-2</v>
      </c>
      <c r="ET5">
        <f>(EN10-EN5)/5</f>
        <v>-2.5999999999999978E-2</v>
      </c>
      <c r="EV5" s="82"/>
      <c r="EW5" s="1"/>
      <c r="EX5" s="1"/>
      <c r="EY5" s="1"/>
      <c r="EZ5" s="1"/>
      <c r="FL5" s="103">
        <f>FL3-FL4</f>
        <v>1.171503750410011</v>
      </c>
      <c r="FM5" s="103"/>
    </row>
    <row r="6" spans="1:170" ht="15" customHeight="1">
      <c r="A6" s="162"/>
      <c r="B6">
        <v>4</v>
      </c>
      <c r="C6">
        <v>6</v>
      </c>
      <c r="D6" s="84">
        <f>(C6*'Dane dla CO'!$T$53+'Dane dla CO'!$V$53)/(C6*'Dane dla CO'!$P$35+'Dane dla CO'!$Q$35)</f>
        <v>3.8107960390946491</v>
      </c>
      <c r="E6" s="84">
        <f>C6*'Dane dla CO'!$N$96+'Dane dla CO'!$N$97</f>
        <v>72.000000000000014</v>
      </c>
      <c r="F6" s="84">
        <f>IF(C6&lt;'Dane dla CO'!$R$67,0,IF(D6&gt;1,E6,D6*E6))</f>
        <v>72.000000000000014</v>
      </c>
      <c r="G6" s="84">
        <f t="shared" si="9"/>
        <v>0</v>
      </c>
      <c r="H6" s="84">
        <f>(C6*'Dane dla CWU'!$AB$53+'Dane dla CWU'!$AD$53)/(C6*'Dane dla CO'!$P$35+'Dane dla CO'!$Q$35)</f>
        <v>2.0444673068129853</v>
      </c>
      <c r="I6" s="84">
        <f t="shared" si="10"/>
        <v>10.319026666666666</v>
      </c>
      <c r="J6" s="84">
        <f>IF(C6&lt;'Dane dla CWU'!$R$67,0,IF(H6&gt;1,I6,H6*I6))</f>
        <v>10.319026666666666</v>
      </c>
      <c r="K6" s="84">
        <f t="shared" si="11"/>
        <v>0</v>
      </c>
      <c r="M6">
        <v>4</v>
      </c>
      <c r="N6">
        <v>-14</v>
      </c>
      <c r="O6" s="84">
        <f>(N6*'Dane dla CO'!$T$53+'Dane dla CO'!$V$53)/(N6*'Dane dla CO'!$P$35+'Dane dla CO'!$Q$35)</f>
        <v>0.80131505427841609</v>
      </c>
      <c r="P6" s="84">
        <f>N6*'Dane dla CO'!$N$96+'Dane dla CO'!$N$97</f>
        <v>216.00000000000003</v>
      </c>
      <c r="Q6" s="84">
        <f>IF(N6&lt;'Dane dla CO'!$R$67,0,IF(O6&gt;1,P6,O6*P6))</f>
        <v>0</v>
      </c>
      <c r="R6" s="84">
        <f t="shared" si="12"/>
        <v>216.00000000000003</v>
      </c>
      <c r="S6" s="84">
        <f>(N6*'Dane dla CWU'!$T$53+'Dane dla CWU'!$V$53)/(N6*'Dane dla CO'!$P$35+'Dane dla CO'!$Q$35)</f>
        <v>0.72818885696040847</v>
      </c>
      <c r="T6" s="84">
        <f t="shared" si="13"/>
        <v>10.319026666666666</v>
      </c>
      <c r="U6" s="84">
        <f>IF(N6&lt;'Dane dla CWU'!$R$67,0,IF(S6&gt;1,T6,S6*T6))</f>
        <v>0</v>
      </c>
      <c r="V6" s="84">
        <f t="shared" si="14"/>
        <v>10.319026666666666</v>
      </c>
      <c r="X6">
        <v>4</v>
      </c>
      <c r="Y6">
        <v>0</v>
      </c>
      <c r="Z6" s="84">
        <f>(Y6*'Dane dla CO'!$T$53+'Dane dla CO'!$V$53)/(Y6*'Dane dla CO'!$P$35+'Dane dla CO'!$Q$35)</f>
        <v>2.0652970679012341</v>
      </c>
      <c r="AA6" s="84">
        <f>Y6*'Dane dla CO'!$N$96+'Dane dla CO'!$N$97</f>
        <v>115.20000000000002</v>
      </c>
      <c r="AB6" s="84">
        <f>IF(Y6&lt;'Dane dla CO'!$R$67,0,IF(Z6&gt;1,AA6,Z6*AA6))</f>
        <v>115.20000000000002</v>
      </c>
      <c r="AC6" s="84">
        <f t="shared" si="15"/>
        <v>0</v>
      </c>
      <c r="AD6" s="84">
        <f>(Y6*'Dane dla CWU'!$T$53+'Dane dla CWU'!$V$53)/(Y6*'Dane dla CO'!$P$35+'Dane dla CO'!$Q$35)</f>
        <v>2.0316743827160493</v>
      </c>
      <c r="AE6" s="84">
        <f t="shared" si="16"/>
        <v>10.319026666666666</v>
      </c>
      <c r="AF6" s="84">
        <f>IF(Y6&lt;'Dane dla CWU'!$R$67,0,IF(AD6&gt;1,AE6,AD6*AE6))</f>
        <v>0</v>
      </c>
      <c r="AG6" s="84">
        <f t="shared" si="17"/>
        <v>10.319026666666666</v>
      </c>
      <c r="AI6">
        <v>4</v>
      </c>
      <c r="AJ6">
        <v>12</v>
      </c>
      <c r="AK6" s="84">
        <f>(AJ6*'Dane dla CO'!$T$53+'Dane dla CO'!$V$53)/(AJ6*'Dane dla CO'!$P$35+'Dane dla CO'!$Q$35)</f>
        <v>12.538290895061728</v>
      </c>
      <c r="AL6" s="84">
        <f>AJ6*'Dane dla CO'!$N$96+'Dane dla CO'!$N$97</f>
        <v>28.800000000000011</v>
      </c>
      <c r="AM6" s="84">
        <f>IF(AJ6&lt;'Dane dla CO'!$R$67,0,IF(AK6&gt;1,AL6,AK6*AL6))</f>
        <v>28.800000000000011</v>
      </c>
      <c r="AN6" s="84">
        <f t="shared" si="18"/>
        <v>0</v>
      </c>
      <c r="AO6" s="84">
        <f>(AJ6*'Dane dla CWU'!$T$53+'Dane dla CWU'!$V$53)/(AJ6*'Dane dla CO'!$P$35+'Dane dla CO'!$Q$35)</f>
        <v>12.831983024691358</v>
      </c>
      <c r="AP6" s="84">
        <f t="shared" si="19"/>
        <v>10.319026666666666</v>
      </c>
      <c r="AQ6" s="84">
        <f>IF(AJ6&lt;'Dane dla CWU'!$R$67,0,IF(AO6&gt;1,AP6,AO6*AP6))</f>
        <v>10.319026666666666</v>
      </c>
      <c r="AR6" s="84">
        <f t="shared" si="20"/>
        <v>0</v>
      </c>
      <c r="AT6">
        <v>4</v>
      </c>
      <c r="AU6">
        <v>16</v>
      </c>
      <c r="BA6">
        <v>4</v>
      </c>
      <c r="BB6">
        <v>17</v>
      </c>
      <c r="BH6">
        <v>4</v>
      </c>
      <c r="BI6">
        <v>22</v>
      </c>
      <c r="BO6">
        <v>4</v>
      </c>
      <c r="BP6">
        <v>22</v>
      </c>
      <c r="BV6">
        <v>4</v>
      </c>
      <c r="BW6">
        <v>19</v>
      </c>
      <c r="CB6" s="84"/>
      <c r="CC6" s="84">
        <f t="shared" si="21"/>
        <v>10.319026666666666</v>
      </c>
      <c r="CD6" s="84">
        <f t="shared" si="22"/>
        <v>10.319026666666666</v>
      </c>
      <c r="CE6" s="84">
        <f t="shared" si="23"/>
        <v>0</v>
      </c>
      <c r="CG6">
        <v>4</v>
      </c>
      <c r="CH6">
        <v>13</v>
      </c>
      <c r="CI6" s="84">
        <f>(CH6*'Dane dla CO'!$T$53+'Dane dla CO'!$V$53)/(CH6*'Dane dla CO'!$P$35+'Dane dla CO'!$Q$35)</f>
        <v>19.083912037037027</v>
      </c>
      <c r="CJ6" s="84">
        <f>CH6*'Dane dla CO'!$N$96+'Dane dla CO'!$N$97</f>
        <v>21.600000000000009</v>
      </c>
      <c r="CK6" s="84">
        <f>IF(CH6&lt;'Dane dla CO'!$R$67,0,IF(CI6&gt;1,CJ6,CI6*CJ6))</f>
        <v>21.600000000000009</v>
      </c>
      <c r="CL6" s="84">
        <f t="shared" si="0"/>
        <v>0</v>
      </c>
      <c r="CM6" s="84">
        <f>(CH6*'Dane dla CWU'!$T$53+'Dane dla CWU'!$V$53)/(CH6*'Dane dla CO'!$P$35+'Dane dla CO'!$Q$35)</f>
        <v>19.582175925925917</v>
      </c>
      <c r="CN6" s="84">
        <f t="shared" si="1"/>
        <v>10.319026666666666</v>
      </c>
      <c r="CO6" s="84">
        <f>IF(CH6&lt;'Dane dla CWU'!$R$67,0,IF(CM6&gt;1,CN6,CM6*CN6))</f>
        <v>10.319026666666666</v>
      </c>
      <c r="CP6" s="84">
        <f t="shared" si="2"/>
        <v>0</v>
      </c>
      <c r="CR6">
        <v>4</v>
      </c>
      <c r="CS6">
        <v>7</v>
      </c>
      <c r="CT6" s="84">
        <f>(CS6*'Dane dla CO'!$T$53+'Dane dla CO'!$V$53)/(CS6*'Dane dla CO'!$P$35+'Dane dla CO'!$Q$35)</f>
        <v>4.3562644675925926</v>
      </c>
      <c r="CU6" s="84">
        <f>CS6*'Dane dla CO'!$N$96+'Dane dla CO'!$N$97</f>
        <v>64.800000000000011</v>
      </c>
      <c r="CV6" s="84">
        <f>IF(CS6&lt;'Dane dla CO'!$R$67,0,IF(CT6&gt;1,CU6,CT6*CU6))</f>
        <v>64.800000000000011</v>
      </c>
      <c r="CW6" s="84">
        <f t="shared" si="3"/>
        <v>0</v>
      </c>
      <c r="CX6" s="84">
        <f>(CS6*'Dane dla CWU'!$T$53+'Dane dla CWU'!$V$53)/(CS6*'Dane dla CO'!$P$35+'Dane dla CO'!$Q$35)</f>
        <v>4.3942418981481479</v>
      </c>
      <c r="CY6" s="84">
        <f t="shared" si="4"/>
        <v>10.319026666666666</v>
      </c>
      <c r="CZ6" s="84">
        <f>IF(CS6&lt;'Dane dla CWU'!$R$67,0,IF(CX6&gt;1,CY6,CX6*CY6))</f>
        <v>10.319026666666666</v>
      </c>
      <c r="DA6" s="84">
        <f t="shared" si="5"/>
        <v>0</v>
      </c>
      <c r="DC6">
        <v>4</v>
      </c>
      <c r="DD6">
        <v>0</v>
      </c>
      <c r="DE6" s="84">
        <f>(DD6*'Dane dla CO'!$T$53+'Dane dla CO'!$V$53)/(DD6*'Dane dla CO'!$P$35+'Dane dla CO'!$Q$35)</f>
        <v>2.0652970679012341</v>
      </c>
      <c r="DF6" s="84">
        <f>DD6*'Dane dla CO'!$N$96+'Dane dla CO'!$N$97</f>
        <v>115.20000000000002</v>
      </c>
      <c r="DG6" s="84">
        <f>IF(DD6&lt;'Dane dla CO'!$R$67,0,IF(DE6&gt;1,DF6,DE6*DF6))</f>
        <v>115.20000000000002</v>
      </c>
      <c r="DH6" s="84">
        <f t="shared" si="6"/>
        <v>0</v>
      </c>
      <c r="DI6" s="84">
        <f>(DD6*'Dane dla CWU'!$T$53+'Dane dla CWU'!$V$53)/(DD6*'Dane dla CO'!$P$35+'Dane dla CO'!$Q$35)</f>
        <v>2.0316743827160493</v>
      </c>
      <c r="DJ6" s="84">
        <f t="shared" si="7"/>
        <v>10.319026666666666</v>
      </c>
      <c r="DK6" s="84">
        <f>IF(DD6&lt;'Dane dla CWU'!$R$67,0,IF(DI6&gt;1,DJ6,DI6*DJ6))</f>
        <v>0</v>
      </c>
      <c r="DL6" s="84">
        <f t="shared" si="8"/>
        <v>10.319026666666666</v>
      </c>
      <c r="DM6" s="49">
        <v>-14</v>
      </c>
      <c r="DN6" s="94">
        <f>DO6*'Dane dla CO'!$N$80</f>
        <v>1199.0204081632655</v>
      </c>
      <c r="DO6" s="94">
        <f>(15-DS6)/35*'Dane dla CO'!$N$75</f>
        <v>10.491428571428573</v>
      </c>
      <c r="DP6" s="94">
        <f t="shared" ref="DP6:DP40" si="31">IF(DR6&gt;0,DN6/DR6,DN6)</f>
        <v>1199.0204081632655</v>
      </c>
      <c r="DQ6" s="51">
        <v>-14</v>
      </c>
      <c r="DR6" s="130">
        <v>0</v>
      </c>
      <c r="DS6" s="130">
        <v>-19</v>
      </c>
      <c r="DT6" s="89">
        <f>Wykresy!Y4</f>
        <v>54.4</v>
      </c>
      <c r="DU6" s="90">
        <f>Wykresy!AE4</f>
        <v>34.633333333333333</v>
      </c>
      <c r="DV6" s="92">
        <f>(($DV$10-$DV$5)/5)*1+$DV$5</f>
        <v>6.2</v>
      </c>
      <c r="DW6" s="92">
        <f>(($DW$10-$DW$5)/5)*1+$DW$5</f>
        <v>4.1740000000000004</v>
      </c>
      <c r="DX6" s="92">
        <f t="shared" si="24"/>
        <v>1.4853857211308097</v>
      </c>
      <c r="DY6" s="86">
        <f>(($DY$10-$DY$5)/5)*1+$DY$5</f>
        <v>7.234</v>
      </c>
      <c r="DZ6" s="86">
        <f>(($DZ$10-$DZ$5)/5)*1+$DZ$5</f>
        <v>3.0920000000000001</v>
      </c>
      <c r="EA6" s="96">
        <f t="shared" ref="EA6:EA9" si="32">DY6/DZ6</f>
        <v>2.3395860284605434</v>
      </c>
      <c r="EB6" s="85">
        <f t="shared" si="25"/>
        <v>0</v>
      </c>
      <c r="EC6" s="85">
        <f t="shared" si="26"/>
        <v>0</v>
      </c>
      <c r="ED6" s="92">
        <f>'Energia 221.A29'!P3</f>
        <v>3.151060305964636</v>
      </c>
      <c r="EE6" s="86">
        <f t="shared" si="27"/>
        <v>0</v>
      </c>
      <c r="EF6" s="86">
        <f t="shared" si="28"/>
        <v>0</v>
      </c>
      <c r="EG6" s="96">
        <f>'Energia 221.A29'!S3</f>
        <v>4.1792709589518857</v>
      </c>
      <c r="EI6" s="130">
        <v>0</v>
      </c>
      <c r="EJ6" s="130">
        <f>EJ5+EI6</f>
        <v>0</v>
      </c>
      <c r="EK6" s="130">
        <v>-19</v>
      </c>
      <c r="EL6" s="89">
        <v>55</v>
      </c>
      <c r="EM6" s="92">
        <f>EM5+ES5</f>
        <v>6.0620000000000003</v>
      </c>
      <c r="EN6" s="92">
        <f>EN5+ET5</f>
        <v>4.1740000000000004</v>
      </c>
      <c r="EO6" s="92">
        <f t="shared" ref="EO6:EO8" si="33">EM6/EN6</f>
        <v>1.4523239099185432</v>
      </c>
      <c r="EP6" s="85">
        <f t="shared" si="29"/>
        <v>0</v>
      </c>
      <c r="EQ6" s="85">
        <f t="shared" si="30"/>
        <v>0</v>
      </c>
      <c r="ER6" s="92">
        <f>'Energia 221.A29'!V3</f>
        <v>2.7474440589495495</v>
      </c>
      <c r="EV6" s="166" t="s">
        <v>184</v>
      </c>
      <c r="EW6" s="66"/>
      <c r="EX6" s="1"/>
      <c r="EY6" s="1"/>
      <c r="EZ6" s="102"/>
      <c r="FA6" s="84">
        <f>IF(EZ6=EK10,EO10,IF(EZ6=EK11,EO11,IF(EZ6=EK12,EO12,IF(EZ6=EK13,EO13,IF(EZ6=EK14,EO14,IF(EZ6=EK15,EO15,IF(EZ6=EK16,EO16,IF(EZ6=EK17,EO17,IF(EZ6=EK18,EO18,IF(EZ6=EK19,EO19,IF(EZ6=EK20,EO20,IF(EZ6=EK21,EO21,IF(EZ6=EK22,EO22,IF(EZ6=EK23,EO23,IF(EZ6=EK24,EO24,IF(EZ6=EK25,EO25,IF(EZ6=EK26,EO26,IF(EZ6=EK27,EO27,IF(EZ6=EK28,EO28,IF(EZ6=EK29,EO29,IF(EZ6=EK30,EO30,IF(EZ6=EK31,EO31,IF(EZ6=EK32,EO32,IF(EZ6=EK33,EO33,IF(EZ6=EK34,EO34,IF(EZ6=EK35,EO35,IF(EZ6=EK36,EO36,IF(EZ6=EK37,EO37,IF(EZ6=EK38,EO38,IF(EZ6=EK39,EO39,IF(EZ6=EK40,EO40,IF(EZ6=EK41,EO41,IF(EZ6=EK42,EO42,IF(EZ6=EK43,EO43,IF(EZ6=EK44,EO44,IF(EZ6=EK45,EO45,IF(EZ6=EK46,EO46,IF(EZ6=EK47,EO47,IF(EZ6=EK48,EO48,IF(EZ6=EK49,EO49,IF(EZ6=EK50,EO50,IF(EZ6=EK51,EO51,IF(EZ6=EK52,EO52,EO53)))))))))))))))))))))))))))))))))))))))))))</f>
        <v>2.0911660777385164</v>
      </c>
      <c r="FB6" s="84">
        <f>ER5</f>
        <v>2.7474440589495495</v>
      </c>
      <c r="FC6">
        <f>IF(EZ6=EK10,EO10,IF(EZ6=EK11,EO11,IF(EZ6=EK12,EO12,IF(EZ6=EK13,EO13,IF(EZ6=EK14,EO14,IF(EZ6=EK15,EO15,IF(EZ6=EK16,EO16,IF(EZ6=EK17,EO17,IF(EZ6=EK18,EO18,IF(EZ6=EK19,EO19,IF(EZ6=EK20,EO20,IF(EZ6=EK21,EO21,IF(EZ6=EK22,EO22,IF(EZ6=EK23,EO23,IF(EZ6=EK24,EO24,IF(EZ6=EK25,EO25,IF(EZ6=EK26,EO26,IF(EZ6=EK27,EO27,IF(EZ6=EK28,EO28,IF(EZ6=EK29,EO29,IF(EZ6=EK30,EO30,IF(EZ6=EK31,EO31,IF(EZ6=EK32,EO32,IF(EZ6=EK33,EO33,IF(EZ6=EK34,EO34,IF(EZ6=EK35,EO35,IF(EZ6=EK36,EO36,IF(EZ6=EK37,EO37,IF(EZ6=EK38,EO38,IF(EZ6=EK39,EO39,IF(EZ6=EO40,ER40,IF(EZ6=EK41,EO41,IF(EZ6=EK42,EO42,IF(EZ6=EK43,EO43,IF(EZ6=EK44,EO44,IF(EZ6=EK45,EO45,IF(EZ6=EK46,EO46,IF(EZ6=EK47,EO47,IF(EZ6=EK48,EO48,IF(EZ6=EK49,EO49,IF(EZ6=EK50,EO50,IF(EZ6=EK51,EO51,IF(EZ6=EK52,EO52,EO53)))))))))))))))))))))))))))))))))))))))))))</f>
        <v>2.0911660777385164</v>
      </c>
      <c r="FD6" s="84">
        <f>'Energia 221.A26'!J2</f>
        <v>3776.7637599999998</v>
      </c>
      <c r="FF6" s="84">
        <f>FD6/FA6*'Dane dla CO'!C56</f>
        <v>1101.6943695315981</v>
      </c>
      <c r="FG6">
        <f>FE6*'Dane dla CO'!G54</f>
        <v>0</v>
      </c>
      <c r="FH6" s="84"/>
      <c r="FL6" s="103">
        <f>FF6+FG6</f>
        <v>1101.6943695315981</v>
      </c>
      <c r="FM6" s="103"/>
      <c r="FN6">
        <f>FE6/2/'Dane dla CO'!H40</f>
        <v>0</v>
      </c>
    </row>
    <row r="7" spans="1:170" ht="14.1">
      <c r="A7" s="162"/>
      <c r="B7">
        <v>5</v>
      </c>
      <c r="C7">
        <v>5</v>
      </c>
      <c r="D7" s="84">
        <f>(C7*'Dane dla CO'!$T$53+'Dane dla CO'!$V$53)/(C7*'Dane dla CO'!$P$35+'Dane dla CO'!$Q$35)</f>
        <v>3.3744212962962958</v>
      </c>
      <c r="E7" s="84">
        <f>C7*'Dane dla CO'!$N$96+'Dane dla CO'!$N$97</f>
        <v>79.200000000000017</v>
      </c>
      <c r="F7" s="84">
        <f>IF(C7&lt;'Dane dla CO'!$R$67,0,IF(D7&gt;1,E7,D7*E7))</f>
        <v>79.200000000000017</v>
      </c>
      <c r="G7" s="84">
        <f t="shared" si="9"/>
        <v>0</v>
      </c>
      <c r="H7" s="84">
        <f>(C7*'Dane dla CWU'!$AB$53+'Dane dla CWU'!$AD$53)/(C7*'Dane dla CO'!$P$35+'Dane dla CO'!$Q$35)</f>
        <v>1.7932098765432098</v>
      </c>
      <c r="I7" s="84">
        <f t="shared" si="10"/>
        <v>10.319026666666666</v>
      </c>
      <c r="J7" s="84">
        <f>IF(C7&lt;'Dane dla CWU'!$R$67,0,IF(H7&gt;1,I7,H7*I7))</f>
        <v>10.319026666666666</v>
      </c>
      <c r="K7" s="84">
        <f t="shared" si="11"/>
        <v>0</v>
      </c>
      <c r="M7">
        <v>5</v>
      </c>
      <c r="N7">
        <v>-11</v>
      </c>
      <c r="O7" s="84">
        <f>(N7*'Dane dla CO'!$T$53+'Dane dla CO'!$V$53)/(N7*'Dane dla CO'!$P$35+'Dane dla CO'!$Q$35)</f>
        <v>0.95757656695156679</v>
      </c>
      <c r="P7" s="84">
        <f>N7*'Dane dla CO'!$N$96+'Dane dla CO'!$N$97</f>
        <v>194.40000000000003</v>
      </c>
      <c r="Q7" s="84">
        <f>IF(N7&lt;'Dane dla CO'!$R$67,0,IF(O7&gt;1,P7,O7*P7))</f>
        <v>0</v>
      </c>
      <c r="R7" s="84">
        <f t="shared" si="12"/>
        <v>194.40000000000003</v>
      </c>
      <c r="S7" s="84">
        <f>(N7*'Dane dla CWU'!$T$53+'Dane dla CWU'!$V$53)/(N7*'Dane dla CO'!$P$35+'Dane dla CO'!$Q$35)</f>
        <v>0.8893340455840455</v>
      </c>
      <c r="T7" s="84">
        <f t="shared" si="13"/>
        <v>10.319026666666666</v>
      </c>
      <c r="U7" s="84">
        <f>IF(N7&lt;'Dane dla CWU'!$R$67,0,IF(S7&gt;1,T7,S7*T7))</f>
        <v>0</v>
      </c>
      <c r="V7" s="84">
        <f t="shared" si="14"/>
        <v>10.319026666666666</v>
      </c>
      <c r="X7">
        <v>5</v>
      </c>
      <c r="Y7">
        <v>-2</v>
      </c>
      <c r="Z7" s="84">
        <f>(Y7*'Dane dla CO'!$T$53+'Dane dla CO'!$V$53)/(Y7*'Dane dla CO'!$P$35+'Dane dla CO'!$Q$35)</f>
        <v>1.7572678376906314</v>
      </c>
      <c r="AA7" s="84">
        <f>Y7*'Dane dla CO'!$N$96+'Dane dla CO'!$N$97</f>
        <v>129.60000000000002</v>
      </c>
      <c r="AB7" s="84">
        <f>IF(Y7&lt;'Dane dla CO'!$R$67,0,IF(Z7&gt;1,AA7,Z7*AA7))</f>
        <v>129.60000000000002</v>
      </c>
      <c r="AC7" s="84">
        <f t="shared" si="15"/>
        <v>0</v>
      </c>
      <c r="AD7" s="84">
        <f>(Y7*'Dane dla CWU'!$T$53+'Dane dla CWU'!$V$53)/(Y7*'Dane dla CO'!$P$35+'Dane dla CO'!$Q$35)</f>
        <v>1.7140182461873639</v>
      </c>
      <c r="AE7" s="84">
        <f t="shared" si="16"/>
        <v>10.319026666666666</v>
      </c>
      <c r="AF7" s="84">
        <f>IF(Y7&lt;'Dane dla CWU'!$R$67,0,IF(AD7&gt;1,AE7,AD7*AE7))</f>
        <v>0</v>
      </c>
      <c r="AG7" s="84">
        <f t="shared" si="17"/>
        <v>10.319026666666666</v>
      </c>
      <c r="AI7">
        <v>5</v>
      </c>
      <c r="AJ7">
        <v>7</v>
      </c>
      <c r="AK7" s="84">
        <f>(AJ7*'Dane dla CO'!$T$53+'Dane dla CO'!$V$53)/(AJ7*'Dane dla CO'!$P$35+'Dane dla CO'!$Q$35)</f>
        <v>4.3562644675925926</v>
      </c>
      <c r="AL7" s="84">
        <f>AJ7*'Dane dla CO'!$N$96+'Dane dla CO'!$N$97</f>
        <v>64.800000000000011</v>
      </c>
      <c r="AM7" s="84">
        <f>IF(AJ7&lt;'Dane dla CO'!$R$67,0,IF(AK7&gt;1,AL7,AK7*AL7))</f>
        <v>64.800000000000011</v>
      </c>
      <c r="AN7" s="84">
        <f t="shared" si="18"/>
        <v>0</v>
      </c>
      <c r="AO7" s="84">
        <f>(AJ7*'Dane dla CWU'!$T$53+'Dane dla CWU'!$V$53)/(AJ7*'Dane dla CO'!$P$35+'Dane dla CO'!$Q$35)</f>
        <v>4.3942418981481479</v>
      </c>
      <c r="AP7" s="84">
        <f t="shared" si="19"/>
        <v>10.319026666666666</v>
      </c>
      <c r="AQ7" s="84">
        <f>IF(AJ7&lt;'Dane dla CWU'!$R$67,0,IF(AO7&gt;1,AP7,AO7*AP7))</f>
        <v>10.319026666666666</v>
      </c>
      <c r="AR7" s="84">
        <f t="shared" si="20"/>
        <v>0</v>
      </c>
      <c r="AT7">
        <v>5</v>
      </c>
      <c r="AU7">
        <v>18</v>
      </c>
      <c r="BA7">
        <v>5</v>
      </c>
      <c r="BB7">
        <v>14</v>
      </c>
      <c r="BH7">
        <v>5</v>
      </c>
      <c r="BI7">
        <v>25</v>
      </c>
      <c r="BO7">
        <v>5</v>
      </c>
      <c r="BP7">
        <v>26</v>
      </c>
      <c r="BV7">
        <v>5</v>
      </c>
      <c r="BW7">
        <v>17</v>
      </c>
      <c r="CB7" s="84"/>
      <c r="CC7" s="84">
        <f t="shared" si="21"/>
        <v>10.319026666666666</v>
      </c>
      <c r="CD7" s="84">
        <f t="shared" si="22"/>
        <v>10.319026666666666</v>
      </c>
      <c r="CE7" s="84">
        <f t="shared" si="23"/>
        <v>0</v>
      </c>
      <c r="CG7">
        <v>5</v>
      </c>
      <c r="CH7">
        <v>12</v>
      </c>
      <c r="CI7" s="84">
        <f>(CH7*'Dane dla CO'!$T$53+'Dane dla CO'!$V$53)/(CH7*'Dane dla CO'!$P$35+'Dane dla CO'!$Q$35)</f>
        <v>12.538290895061728</v>
      </c>
      <c r="CJ7" s="84">
        <f>CH7*'Dane dla CO'!$N$96+'Dane dla CO'!$N$97</f>
        <v>28.800000000000011</v>
      </c>
      <c r="CK7" s="84">
        <f>IF(CH7&lt;'Dane dla CO'!$R$67,0,IF(CI7&gt;1,CJ7,CI7*CJ7))</f>
        <v>28.800000000000011</v>
      </c>
      <c r="CL7" s="84">
        <f t="shared" si="0"/>
        <v>0</v>
      </c>
      <c r="CM7" s="84">
        <f>(CH7*'Dane dla CWU'!$T$53+'Dane dla CWU'!$V$53)/(CH7*'Dane dla CO'!$P$35+'Dane dla CO'!$Q$35)</f>
        <v>12.831983024691358</v>
      </c>
      <c r="CN7" s="84">
        <f t="shared" si="1"/>
        <v>10.319026666666666</v>
      </c>
      <c r="CO7" s="84">
        <f>IF(CH7&lt;'Dane dla CWU'!$R$67,0,IF(CM7&gt;1,CN7,CM7*CN7))</f>
        <v>10.319026666666666</v>
      </c>
      <c r="CP7" s="84">
        <f t="shared" si="2"/>
        <v>0</v>
      </c>
      <c r="CR7">
        <v>5</v>
      </c>
      <c r="CS7">
        <v>8</v>
      </c>
      <c r="CT7" s="84">
        <f>(CS7*'Dane dla CO'!$T$53+'Dane dla CO'!$V$53)/(CS7*'Dane dla CO'!$P$35+'Dane dla CO'!$Q$35)</f>
        <v>5.0575810185185182</v>
      </c>
      <c r="CU7" s="84">
        <f>CS7*'Dane dla CO'!$N$96+'Dane dla CO'!$N$97</f>
        <v>57.600000000000009</v>
      </c>
      <c r="CV7" s="84">
        <f>IF(CS7&lt;'Dane dla CO'!$R$67,0,IF(CT7&gt;1,CU7,CT7*CU7))</f>
        <v>57.600000000000009</v>
      </c>
      <c r="CW7" s="84">
        <f t="shared" si="3"/>
        <v>0</v>
      </c>
      <c r="CX7" s="84">
        <f>(CS7*'Dane dla CWU'!$T$53+'Dane dla CWU'!$V$53)/(CS7*'Dane dla CO'!$P$35+'Dane dla CO'!$Q$35)</f>
        <v>5.1174768518518521</v>
      </c>
      <c r="CY7" s="84">
        <f t="shared" si="4"/>
        <v>10.319026666666666</v>
      </c>
      <c r="CZ7" s="84">
        <f>IF(CS7&lt;'Dane dla CWU'!$R$67,0,IF(CX7&gt;1,CY7,CX7*CY7))</f>
        <v>10.319026666666666</v>
      </c>
      <c r="DA7" s="84">
        <f t="shared" si="5"/>
        <v>0</v>
      </c>
      <c r="DC7">
        <v>5</v>
      </c>
      <c r="DD7">
        <v>0</v>
      </c>
      <c r="DE7" s="84">
        <f>(DD7*'Dane dla CO'!$T$53+'Dane dla CO'!$V$53)/(DD7*'Dane dla CO'!$P$35+'Dane dla CO'!$Q$35)</f>
        <v>2.0652970679012341</v>
      </c>
      <c r="DF7" s="84">
        <f>DD7*'Dane dla CO'!$N$96+'Dane dla CO'!$N$97</f>
        <v>115.20000000000002</v>
      </c>
      <c r="DG7" s="84">
        <f>IF(DD7&lt;'Dane dla CO'!$R$67,0,IF(DE7&gt;1,DF7,DE7*DF7))</f>
        <v>115.20000000000002</v>
      </c>
      <c r="DH7" s="84">
        <f t="shared" si="6"/>
        <v>0</v>
      </c>
      <c r="DI7" s="84">
        <f>(DD7*'Dane dla CWU'!$T$53+'Dane dla CWU'!$V$53)/(DD7*'Dane dla CO'!$P$35+'Dane dla CO'!$Q$35)</f>
        <v>2.0316743827160493</v>
      </c>
      <c r="DJ7" s="84">
        <f t="shared" si="7"/>
        <v>10.319026666666666</v>
      </c>
      <c r="DK7" s="84">
        <f>IF(DD7&lt;'Dane dla CWU'!$R$67,0,IF(DI7&gt;1,DJ7,DI7*DJ7))</f>
        <v>0</v>
      </c>
      <c r="DL7" s="84">
        <f t="shared" si="8"/>
        <v>10.319026666666666</v>
      </c>
      <c r="DM7" s="49">
        <v>-13</v>
      </c>
      <c r="DN7" s="94">
        <f>DO7*'Dane dla CO'!$N$80</f>
        <v>1163.7551020408164</v>
      </c>
      <c r="DO7" s="94">
        <f>(15-DS7)/35*'Dane dla CO'!$N$75</f>
        <v>10.182857142857143</v>
      </c>
      <c r="DP7" s="94">
        <f t="shared" si="31"/>
        <v>1163.7551020408164</v>
      </c>
      <c r="DQ7" s="51">
        <v>-13</v>
      </c>
      <c r="DR7" s="130">
        <v>1</v>
      </c>
      <c r="DS7" s="130">
        <v>-18</v>
      </c>
      <c r="DT7" s="89">
        <f>Wykresy!Y5</f>
        <v>53.8</v>
      </c>
      <c r="DU7" s="90">
        <f>Wykresy!AE5</f>
        <v>34.266666666666666</v>
      </c>
      <c r="DV7" s="92">
        <f>(($DV$10-$DV$5)/5)*2+$DV$5</f>
        <v>6.4</v>
      </c>
      <c r="DW7" s="92">
        <f>(($DW$10-$DW$5)/5)*2+$DW$5</f>
        <v>4.1480000000000006</v>
      </c>
      <c r="DX7" s="92">
        <f t="shared" si="24"/>
        <v>1.5429122468659593</v>
      </c>
      <c r="DY7" s="86">
        <f>(($DY$10-$DY$5)/5)*2+$DY$5</f>
        <v>7.4279999999999999</v>
      </c>
      <c r="DZ7" s="86">
        <f>(($DZ$10-$DZ$5)/5)*2+$DZ$5</f>
        <v>3.0939999999999999</v>
      </c>
      <c r="EA7" s="96">
        <f t="shared" si="32"/>
        <v>2.4007756948933419</v>
      </c>
      <c r="EB7" s="85">
        <f t="shared" si="25"/>
        <v>1</v>
      </c>
      <c r="EC7" s="85">
        <f t="shared" si="26"/>
        <v>6.8573877638487078E-3</v>
      </c>
      <c r="ED7" s="92">
        <f>'Energia 221.A29'!P4</f>
        <v>3.151060305964636</v>
      </c>
      <c r="EE7" s="86">
        <f t="shared" si="27"/>
        <v>1</v>
      </c>
      <c r="EF7" s="86">
        <f t="shared" si="28"/>
        <v>1.0670114199525963E-2</v>
      </c>
      <c r="EG7" s="96">
        <f>'Energia 221.A29'!S4</f>
        <v>4.1792709589518857</v>
      </c>
      <c r="EI7" s="130">
        <v>1</v>
      </c>
      <c r="EJ7" s="130">
        <f t="shared" ref="EJ7:EJ53" si="34">EJ6+EI7</f>
        <v>1</v>
      </c>
      <c r="EK7" s="130">
        <v>-18</v>
      </c>
      <c r="EL7" s="89">
        <v>55</v>
      </c>
      <c r="EM7" s="92">
        <f>EM6+$ES$5</f>
        <v>6.1240000000000006</v>
      </c>
      <c r="EN7" s="92">
        <f>EN6+$ET$5</f>
        <v>4.1480000000000006</v>
      </c>
      <c r="EO7" s="92">
        <f t="shared" si="33"/>
        <v>1.4763741562198649</v>
      </c>
      <c r="EP7" s="85">
        <f t="shared" si="29"/>
        <v>1</v>
      </c>
      <c r="EQ7" s="85">
        <f t="shared" si="30"/>
        <v>6.5616629165327327E-3</v>
      </c>
      <c r="ER7" s="92">
        <f>'Energia 221.A29'!V4</f>
        <v>2.7474440589495495</v>
      </c>
      <c r="EV7" s="166"/>
      <c r="EW7" s="67" t="s">
        <v>144</v>
      </c>
      <c r="EX7" s="59"/>
      <c r="EY7" s="21"/>
      <c r="EZ7" s="102">
        <f>ROUND('Dane dla CWU'!R67,0)</f>
        <v>3</v>
      </c>
      <c r="FA7" s="84">
        <f>IF(EZ7=EK10,ER10,IF(EZ7=EK11,ER11,IF(EZ7=EK12,ER12,IF(EZ7=EK13,ER13,IF(EZ7=EK14,ER14,IF(EZ7=EK15,ER15,IF(EZ7=EK16,ER16,IF(EZ7=EK17,ER17,IF(EZ7=EK18,ER18,IF(EZ7=EK19,ER19,IF(EZ7=EK20,ER20,IF(EZ7=EK21,ER21,IF(EZ7=EK22,ER22,IF(EZ7=EK23,ER23,IF(EZ7=EK24,ER24,IF(EZ7=EK25,ER25,IF(EZ7=EK26,ER26,IF(EZ7=EK27,ER27,IF(EZ7=EK28,ER28,IF(EZ7=EK29,ER29,IF(EZ7=EK30,ER30,IF(EZ7=EK31,ER31,IF(EZ7=EK32,ER32,IF(EZ7=EK33,ER33,IF(EZ7=EK34,ER34,IF(EZ7=EK35,ER35,IF(EZ7=EK36,ER36,IF(EZ7=EK37,ER37,IF(EZ7=EK38,ER38,IF(EZ7=EK39,ER39,IF(EZ7=EK40,ER40,IF(EZ7=EK41,ER41,IF(EZ7=EK42,ER42,IF(EZ7=EK43,ER43,IF(EZ7=EK44,ER44,IF(EZ7=EK45,ER45,IF(EZ7=EK46,ER46,IF(EZ7=EK47,ER47,IF(EZ7=EK48,ER48,IF(EZ7=EK49,ER49,IF(EZ7=EK50,ER50,IF(EZ7=EK51,ER51,IF(EZ7=EK52,ER52,ER53)))))))))))))))))))))))))))))))))))))))))))</f>
        <v>2.960542475186394</v>
      </c>
      <c r="FB7" s="84">
        <f>IF(EZ7=EK10,ER10,IF(EZ7=EK11,ER11,IF(EZ7=EK12,ER12,IF(EZ7=EK13,ER13,IF(EZ7=EK14,ER14,IF(EZ7=EK15,ER15,IF(EZ7=EK16,ER16,IF(EZ7=EK17,ER17,IF(EZ7=EK18,ER18,IF(EZ7=EK19,ER19,IF(EZ7=EK20,ER20,IF(EZ7=EK21,ER21,IF(EZ7=EK22,ER22,IF(EZ7=EK23,ER23,IF(EZ7=EK24,ER24,IF(EZ7=EK25,ER25,IF(EZ7=EK26,ER26,IF(EZ7=EK27,ER27,IF(EZ7=EK28,ER28,IF(EZ7=EK29,ER29,IF(EZ7=EK30,ER30,IF(EZ7=EK31,ER31,IF(EZ7=EK32,ER32,IF(EZ7=EK33,ER33,IF(EZ7=EK34,ER34,IF(EZ7=EK35,ER35,IF(EZ7=EK36,ER36,IF(EZ7=EK37,ER37,IF(EZ7=EK38,ER38,IF(EZ7=EK39,ER39,IF(EZ7=EK40,ER40,IF(EZ7=EK41,ER41,IF(EZ7=EK42,ER42,IF(EZ7=EK43,ER43,IF(EZ7=EK44,ER44,IF(EZ7=EK45,ER45,IF(EZ7=EK46,ER46,IF(EZ7=EK47,ER47,IF(EZ7=EK48,ER48,IF(EZ7=EK49,ER49,IF(EZ7=EK50,ER50,IF(EZ7=EK51,ER51,IF(EZ7=EK52,ER52,ER53)))))))))))))))))))))))))))))))))))))))))))</f>
        <v>2.960542475186394</v>
      </c>
      <c r="FC7">
        <f>FD7/FB7</f>
        <v>993.37287833198241</v>
      </c>
      <c r="FD7">
        <f>IF(EZ7='Energia 221.A26'!B2,'Energia 221.A26'!J2,IF(EZ7='Energia 221.A26'!B3,'Energia 221.A26'!J3,IF(EZ7='Energia 221.A26'!B4,'Energia 221.A26'!J4,IF(EZ7='Energia 221.A26'!B5,'Energia 221.A26'!J5,IF(EZ7='Energia 221.A26'!B6,'Energia 221.A26'!J6,IF(EZ7='Energia 221.A26'!B7,'Energia 221.A26'!J7,IF(EZ7='Energia 221.A26'!B8,'Energia 221.A26'!J8,IF(EZ7='Energia 221.A26'!B9,'Energia 221.A26'!J9,IF(EZ7='Energia 221.A26'!B10,'Energia 221.A26'!J10,IF(EZ7='Energia 221.A26'!B11,'Energia 221.A26'!J11,IF(EZ7='Energia 221.A26'!B12,'Energia 221.A26'!J12,IF(EZ7='Energia 221.A26'!B13,'Energia 221.A26'!J13,IF(EZ7='Energia 221.A26'!B14,'Energia 221.A26'!J14,IF(EZ7='Energia 221.A26'!B15,'Energia 221.A26'!J15,IF(EZ7='Energia 221.A26'!B16,'Energia 221.A26'!J16,IF(EZ7='Energia 221.A26'!B17,'Energia 221.A26'!J17,IF(EZ7='Energia 221.A26'!B18,'Energia 221.A26'!J18,IF(EZ7='Energia 221.A26'!B19,'Energia 221.A26'!J19,IF(EZ7='Energia 221.A26'!B20,'Energia 221.A26'!J20,IF(EZ7='Energia 221.A26'!B21,'Energia 221.A26'!J21,IF(EZ7='Energia 221.A26'!B22,'Energia 221.A26'!J22,IF(EZ7='Energia 221.A26'!B23,'Energia 221.A26'!J23,IF(EZ7='Energia 221.A26'!B24,'Energia 221.A26'!J24,IF(EZ7='Energia 221.A26'!B25,'Energia 221.A26'!J25,IF(EZ7='Energia 221.A26'!B26,'Energia 221.A26'!J26,IF(EZ7='Energia 221.A26'!B27,'Energia 221.A26'!J27,IF(EZ7='Energia 221.A26'!B28,'Energia 221.A26'!J28,IF(EZ7='Energia 221.A26'!B29,'Energia 221.A26'!J29,IF(EZ7='Energia 221.A26'!B30,'Energia 221.A26'!J30,IF(EZ7='Energia 221.A26'!B31,'Energia 221.A26'!J31,IF(EZ7='Energia 221.A26'!B32,'Energia 221.A26'!J32,IF(EZ7='Energia 221.A26'!B33,'Energia 221.A26'!J33,IF(EZ7='Energia 221.A26'!B34,'Energia 221.A26'!J34,IF(EZ7='Energia 221.A26'!B35,'Energia 221.A26'!J35,IF(EZ7='Energia 221.A26'!B36,'Energia 221.A26'!J36,'Energia 221.A26'!J37)))))))))))))))))))))))))))))))))))</f>
        <v>2940.9225999999999</v>
      </c>
      <c r="FE7">
        <f>'SCOP 221.A26'!E42-'SCOP 221.A29 ver 2'!FD7</f>
        <v>825.52213333333339</v>
      </c>
      <c r="FF7">
        <f>FD7/FB7*'Dane dla CO'!C56</f>
        <v>605.95745578250921</v>
      </c>
      <c r="FG7">
        <f>FE7*'Dane dla CO'!G54</f>
        <v>231.14619733333336</v>
      </c>
      <c r="FH7" s="84"/>
      <c r="FI7" s="84"/>
      <c r="FL7" s="103">
        <f>IF(EZ7=-20,FL6,FF7+FG7)</f>
        <v>837.10365311584258</v>
      </c>
      <c r="FM7" s="103"/>
      <c r="FN7">
        <f>IF(EZ7=-20,FN6,FE7/'Dane dla CO'!H40)</f>
        <v>85.017727428767586</v>
      </c>
    </row>
    <row r="8" spans="1:170">
      <c r="A8" s="162"/>
      <c r="B8">
        <v>6</v>
      </c>
      <c r="C8">
        <v>4</v>
      </c>
      <c r="D8" s="84">
        <f>(C8*'Dane dla CO'!$T$53+'Dane dla CO'!$V$53)/(C8*'Dane dla CO'!$P$35+'Dane dla CO'!$Q$35)</f>
        <v>3.0173874158249157</v>
      </c>
      <c r="E8" s="84">
        <f>C8*'Dane dla CO'!$N$96+'Dane dla CO'!$N$97</f>
        <v>86.4</v>
      </c>
      <c r="F8" s="84">
        <f>IF(C8&lt;'Dane dla CO'!$R$67,0,IF(D8&gt;1,E8,D8*E8))</f>
        <v>86.4</v>
      </c>
      <c r="G8" s="84">
        <f t="shared" si="9"/>
        <v>0</v>
      </c>
      <c r="H8" s="84">
        <f>(C8*'Dane dla CWU'!$AB$53+'Dane dla CWU'!$AD$53)/(C8*'Dane dla CO'!$P$35+'Dane dla CO'!$Q$35)</f>
        <v>1.5876356154133928</v>
      </c>
      <c r="I8" s="84">
        <f t="shared" si="10"/>
        <v>10.319026666666666</v>
      </c>
      <c r="J8" s="84">
        <f>IF(C8&lt;'Dane dla CWU'!$R$67,0,IF(H8&gt;1,I8,H8*I8))</f>
        <v>10.319026666666666</v>
      </c>
      <c r="K8" s="84">
        <f t="shared" si="11"/>
        <v>0</v>
      </c>
      <c r="M8">
        <v>6</v>
      </c>
      <c r="N8">
        <v>-11</v>
      </c>
      <c r="O8" s="84">
        <f>(N8*'Dane dla CO'!$T$53+'Dane dla CO'!$V$53)/(N8*'Dane dla CO'!$P$35+'Dane dla CO'!$Q$35)</f>
        <v>0.95757656695156679</v>
      </c>
      <c r="P8" s="84">
        <f>N8*'Dane dla CO'!$N$96+'Dane dla CO'!$N$97</f>
        <v>194.40000000000003</v>
      </c>
      <c r="Q8" s="84">
        <f>IF(N8&lt;'Dane dla CO'!$R$67,0,IF(O8&gt;1,P8,O8*P8))</f>
        <v>0</v>
      </c>
      <c r="R8" s="84">
        <f t="shared" si="12"/>
        <v>194.40000000000003</v>
      </c>
      <c r="S8" s="84">
        <f>(N8*'Dane dla CWU'!$T$53+'Dane dla CWU'!$V$53)/(N8*'Dane dla CO'!$P$35+'Dane dla CO'!$Q$35)</f>
        <v>0.8893340455840455</v>
      </c>
      <c r="T8" s="84">
        <f t="shared" si="13"/>
        <v>10.319026666666666</v>
      </c>
      <c r="U8" s="84">
        <f>IF(N8&lt;'Dane dla CWU'!$R$67,0,IF(S8&gt;1,T8,S8*T8))</f>
        <v>0</v>
      </c>
      <c r="V8" s="84">
        <f t="shared" si="14"/>
        <v>10.319026666666666</v>
      </c>
      <c r="X8">
        <v>6</v>
      </c>
      <c r="Y8">
        <v>-1</v>
      </c>
      <c r="Z8" s="84">
        <f>(Y8*'Dane dla CO'!$T$53+'Dane dla CO'!$V$53)/(Y8*'Dane dla CO'!$P$35+'Dane dla CO'!$Q$35)</f>
        <v>1.9016565393518516</v>
      </c>
      <c r="AA8" s="84">
        <f>Y8*'Dane dla CO'!$N$96+'Dane dla CO'!$N$97</f>
        <v>122.40000000000002</v>
      </c>
      <c r="AB8" s="84">
        <f>IF(Y8&lt;'Dane dla CO'!$R$67,0,IF(Z8&gt;1,AA8,Z8*AA8))</f>
        <v>122.40000000000002</v>
      </c>
      <c r="AC8" s="84">
        <f t="shared" si="15"/>
        <v>0</v>
      </c>
      <c r="AD8" s="84">
        <f>(Y8*'Dane dla CWU'!$T$53+'Dane dla CWU'!$V$53)/(Y8*'Dane dla CO'!$P$35+'Dane dla CO'!$Q$35)</f>
        <v>1.8629195601851849</v>
      </c>
      <c r="AE8" s="84">
        <f t="shared" si="16"/>
        <v>10.319026666666666</v>
      </c>
      <c r="AF8" s="84">
        <f>IF(Y8&lt;'Dane dla CWU'!$R$67,0,IF(AD8&gt;1,AE8,AD8*AE8))</f>
        <v>0</v>
      </c>
      <c r="AG8" s="84">
        <f t="shared" si="17"/>
        <v>10.319026666666666</v>
      </c>
      <c r="AI8">
        <v>6</v>
      </c>
      <c r="AJ8">
        <v>6</v>
      </c>
      <c r="AK8" s="84">
        <f>(AJ8*'Dane dla CO'!$T$53+'Dane dla CO'!$V$53)/(AJ8*'Dane dla CO'!$P$35+'Dane dla CO'!$Q$35)</f>
        <v>3.8107960390946491</v>
      </c>
      <c r="AL8" s="84">
        <f>AJ8*'Dane dla CO'!$N$96+'Dane dla CO'!$N$97</f>
        <v>72.000000000000014</v>
      </c>
      <c r="AM8" s="84">
        <f>IF(AJ8&lt;'Dane dla CO'!$R$67,0,IF(AK8&gt;1,AL8,AK8*AL8))</f>
        <v>72.000000000000014</v>
      </c>
      <c r="AN8" s="84">
        <f t="shared" si="18"/>
        <v>0</v>
      </c>
      <c r="AO8" s="84">
        <f>(AJ8*'Dane dla CWU'!$T$53+'Dane dla CWU'!$V$53)/(AJ8*'Dane dla CO'!$P$35+'Dane dla CO'!$Q$35)</f>
        <v>3.8317258230452675</v>
      </c>
      <c r="AP8" s="84">
        <f t="shared" si="19"/>
        <v>10.319026666666666</v>
      </c>
      <c r="AQ8" s="84">
        <f>IF(AJ8&lt;'Dane dla CWU'!$R$67,0,IF(AO8&gt;1,AP8,AO8*AP8))</f>
        <v>10.319026666666666</v>
      </c>
      <c r="AR8" s="84">
        <f t="shared" si="20"/>
        <v>0</v>
      </c>
      <c r="AT8">
        <v>6</v>
      </c>
      <c r="AU8">
        <v>17</v>
      </c>
      <c r="BA8">
        <v>6</v>
      </c>
      <c r="BB8">
        <v>14</v>
      </c>
      <c r="BH8">
        <v>6</v>
      </c>
      <c r="BI8">
        <v>26</v>
      </c>
      <c r="BO8">
        <v>6</v>
      </c>
      <c r="BP8">
        <v>22</v>
      </c>
      <c r="BV8">
        <v>6</v>
      </c>
      <c r="BW8">
        <v>16</v>
      </c>
      <c r="CB8" s="84"/>
      <c r="CC8" s="84">
        <f t="shared" si="21"/>
        <v>10.319026666666666</v>
      </c>
      <c r="CD8" s="84">
        <f t="shared" si="22"/>
        <v>10.319026666666666</v>
      </c>
      <c r="CE8" s="84">
        <f t="shared" si="23"/>
        <v>0</v>
      </c>
      <c r="CG8">
        <v>6</v>
      </c>
      <c r="CI8" s="84"/>
      <c r="CJ8" s="84"/>
      <c r="CK8" s="84"/>
      <c r="CL8" s="84"/>
      <c r="CM8" s="84"/>
      <c r="CN8" s="84">
        <f t="shared" si="1"/>
        <v>10.319026666666666</v>
      </c>
      <c r="CO8" s="84">
        <f>IF(CH8&lt;'Dane dla CWU'!$R$67,0,IF(CM8&gt;1,CN8,CM8*CN8))</f>
        <v>0</v>
      </c>
      <c r="CP8" s="84">
        <f t="shared" si="2"/>
        <v>10.319026666666666</v>
      </c>
      <c r="CR8">
        <v>6</v>
      </c>
      <c r="CS8">
        <v>5</v>
      </c>
      <c r="CT8" s="84">
        <f>(CS8*'Dane dla CO'!$T$53+'Dane dla CO'!$V$53)/(CS8*'Dane dla CO'!$P$35+'Dane dla CO'!$Q$35)</f>
        <v>3.3744212962962958</v>
      </c>
      <c r="CU8" s="84">
        <f>CS8*'Dane dla CO'!$N$96+'Dane dla CO'!$N$97</f>
        <v>79.200000000000017</v>
      </c>
      <c r="CV8" s="84">
        <f>IF(CS8&lt;'Dane dla CO'!$R$67,0,IF(CT8&gt;1,CU8,CT8*CU8))</f>
        <v>79.200000000000017</v>
      </c>
      <c r="CW8" s="84">
        <f t="shared" si="3"/>
        <v>0</v>
      </c>
      <c r="CX8" s="84">
        <f>(CS8*'Dane dla CWU'!$T$53+'Dane dla CWU'!$V$53)/(CS8*'Dane dla CO'!$P$35+'Dane dla CO'!$Q$35)</f>
        <v>3.381712962962963</v>
      </c>
      <c r="CY8" s="84">
        <f t="shared" si="4"/>
        <v>10.319026666666666</v>
      </c>
      <c r="CZ8" s="84">
        <f>IF(CS8&lt;'Dane dla CWU'!$R$67,0,IF(CX8&gt;1,CY8,CX8*CY8))</f>
        <v>10.319026666666666</v>
      </c>
      <c r="DA8" s="84">
        <f t="shared" si="5"/>
        <v>0</v>
      </c>
      <c r="DC8">
        <v>6</v>
      </c>
      <c r="DD8">
        <v>-3</v>
      </c>
      <c r="DE8" s="84">
        <f>(DD8*'Dane dla CO'!$T$53+'Dane dla CO'!$V$53)/(DD8*'Dane dla CO'!$P$35+'Dane dla CO'!$Q$35)</f>
        <v>1.6289223251028804</v>
      </c>
      <c r="DF8" s="84">
        <f>DD8*'Dane dla CO'!$N$96+'Dane dla CO'!$N$97</f>
        <v>136.80000000000001</v>
      </c>
      <c r="DG8" s="84">
        <f>IF(DD8&lt;'Dane dla CO'!$R$67,0,IF(DE8&gt;1,DF8,DE8*DF8))</f>
        <v>136.80000000000001</v>
      </c>
      <c r="DH8" s="84">
        <f t="shared" si="6"/>
        <v>0</v>
      </c>
      <c r="DI8" s="84">
        <f>(DD8*'Dane dla CWU'!$T$53+'Dane dla CWU'!$V$53)/(DD8*'Dane dla CO'!$P$35+'Dane dla CO'!$Q$35)</f>
        <v>1.5816615226337447</v>
      </c>
      <c r="DJ8" s="84">
        <f t="shared" si="7"/>
        <v>10.319026666666666</v>
      </c>
      <c r="DK8" s="84">
        <f>IF(DD8&lt;'Dane dla CWU'!$R$67,0,IF(DI8&gt;1,DJ8,DI8*DJ8))</f>
        <v>0</v>
      </c>
      <c r="DL8" s="84">
        <f t="shared" si="8"/>
        <v>10.319026666666666</v>
      </c>
      <c r="DM8" s="49">
        <v>-12</v>
      </c>
      <c r="DN8" s="94">
        <f>DO8*'Dane dla CO'!$N$80</f>
        <v>1128.4897959183675</v>
      </c>
      <c r="DO8" s="94">
        <f>(15-DS8)/35*'Dane dla CO'!$N$75</f>
        <v>9.8742857142857154</v>
      </c>
      <c r="DP8" s="94">
        <f t="shared" si="31"/>
        <v>1128.4897959183675</v>
      </c>
      <c r="DQ8" s="51">
        <v>-12</v>
      </c>
      <c r="DR8" s="130">
        <v>0</v>
      </c>
      <c r="DS8" s="130">
        <v>-17</v>
      </c>
      <c r="DT8" s="89">
        <f>Wykresy!Y6</f>
        <v>53.2</v>
      </c>
      <c r="DU8" s="90">
        <f>Wykresy!AE6</f>
        <v>33.9</v>
      </c>
      <c r="DV8" s="92">
        <f>(($DV$10-$DV$5)/5)*3+$DV$5</f>
        <v>6.6</v>
      </c>
      <c r="DW8" s="92">
        <f>(($DW$10-$DW$5)/5)*3+$DW$5</f>
        <v>4.1219999999999999</v>
      </c>
      <c r="DX8" s="92">
        <f t="shared" si="24"/>
        <v>1.6011644832605532</v>
      </c>
      <c r="DY8" s="86">
        <f>(($DY$10-$DY$5)/5)*3+$DY$5</f>
        <v>7.6219999999999999</v>
      </c>
      <c r="DZ8" s="86">
        <f>(($DZ$10-$DZ$5)/5)*3+$DZ$5</f>
        <v>3.0960000000000001</v>
      </c>
      <c r="EA8" s="96">
        <f t="shared" si="32"/>
        <v>2.4618863049095605</v>
      </c>
      <c r="EB8" s="85">
        <f t="shared" si="25"/>
        <v>0</v>
      </c>
      <c r="EC8" s="85">
        <f t="shared" si="26"/>
        <v>0</v>
      </c>
      <c r="ED8" s="92">
        <f>'Energia 221.A29'!P5</f>
        <v>3.1708064359788488</v>
      </c>
      <c r="EE8" s="86">
        <f t="shared" si="27"/>
        <v>0</v>
      </c>
      <c r="EF8" s="86">
        <f t="shared" si="28"/>
        <v>0</v>
      </c>
      <c r="EG8" s="96">
        <f>'Energia 221.A29'!S5</f>
        <v>4.2011087483986138</v>
      </c>
      <c r="EI8" s="130">
        <v>0</v>
      </c>
      <c r="EJ8" s="130">
        <f t="shared" si="34"/>
        <v>1</v>
      </c>
      <c r="EK8" s="130">
        <v>-17</v>
      </c>
      <c r="EL8" s="89">
        <v>55</v>
      </c>
      <c r="EM8" s="92">
        <f t="shared" ref="EM8:EM9" si="35">EM7+$ES$5</f>
        <v>6.1860000000000008</v>
      </c>
      <c r="EN8" s="92">
        <f t="shared" ref="EN8:EN9" si="36">EN7+$ET$5</f>
        <v>4.1220000000000008</v>
      </c>
      <c r="EO8" s="92">
        <f t="shared" si="33"/>
        <v>1.5007278020378456</v>
      </c>
      <c r="EP8" s="85">
        <f t="shared" si="29"/>
        <v>0</v>
      </c>
      <c r="EQ8" s="85">
        <f t="shared" si="30"/>
        <v>0</v>
      </c>
      <c r="ER8" s="92">
        <f>'Energia 221.A29'!V5</f>
        <v>2.7509264422446993</v>
      </c>
      <c r="FC8">
        <f>FC4+FC7</f>
        <v>6021.477660108013</v>
      </c>
      <c r="FL8" s="103">
        <f>FL6-FL7</f>
        <v>264.59071641575554</v>
      </c>
      <c r="FM8" s="103"/>
      <c r="FN8">
        <f>FN4+FN7</f>
        <v>364.56458633710929</v>
      </c>
    </row>
    <row r="9" spans="1:170">
      <c r="A9" s="162"/>
      <c r="B9">
        <v>7</v>
      </c>
      <c r="C9">
        <v>3</v>
      </c>
      <c r="D9" s="84">
        <f>(C9*'Dane dla CO'!$T$53+'Dane dla CO'!$V$53)/(C9*'Dane dla CO'!$P$35+'Dane dla CO'!$Q$35)</f>
        <v>2.719859182098765</v>
      </c>
      <c r="E9" s="84">
        <f>C9*'Dane dla CO'!$N$96+'Dane dla CO'!$N$97</f>
        <v>93.600000000000023</v>
      </c>
      <c r="F9" s="84">
        <f>IF(C9&lt;'Dane dla CO'!$R$67,0,IF(D9&gt;1,E9,D9*E9))</f>
        <v>93.600000000000023</v>
      </c>
      <c r="G9" s="84">
        <f t="shared" si="9"/>
        <v>0</v>
      </c>
      <c r="H9" s="84">
        <f>(C9*'Dane dla CWU'!$AB$53+'Dane dla CWU'!$AD$53)/(C9*'Dane dla CO'!$P$35+'Dane dla CO'!$Q$35)</f>
        <v>1.4163237311385457</v>
      </c>
      <c r="I9" s="84">
        <f t="shared" si="10"/>
        <v>10.319026666666666</v>
      </c>
      <c r="J9" s="84">
        <f>IF(C9&lt;'Dane dla CWU'!$R$67,0,IF(H9&gt;1,I9,H9*I9))</f>
        <v>10.319026666666666</v>
      </c>
      <c r="K9" s="84">
        <f t="shared" si="11"/>
        <v>0</v>
      </c>
      <c r="M9">
        <v>7</v>
      </c>
      <c r="N9">
        <v>-9</v>
      </c>
      <c r="O9" s="84">
        <f>(N9*'Dane dla CO'!$T$53+'Dane dla CO'!$V$53)/(N9*'Dane dla CO'!$P$35+'Dane dla CO'!$Q$35)</f>
        <v>1.0834538966049381</v>
      </c>
      <c r="P9" s="84">
        <f>N9*'Dane dla CO'!$N$96+'Dane dla CO'!$N$97</f>
        <v>180.00000000000003</v>
      </c>
      <c r="Q9" s="84">
        <f>IF(N9&lt;'Dane dla CO'!$R$67,0,IF(O9&gt;1,P9,O9*P9))</f>
        <v>0</v>
      </c>
      <c r="R9" s="84">
        <f t="shared" si="12"/>
        <v>180.00000000000003</v>
      </c>
      <c r="S9" s="84">
        <f>(N9*'Dane dla CWU'!$T$53+'Dane dla CWU'!$V$53)/(N9*'Dane dla CO'!$P$35+'Dane dla CO'!$Q$35)</f>
        <v>1.0191454475308641</v>
      </c>
      <c r="T9" s="84">
        <f t="shared" si="13"/>
        <v>10.319026666666666</v>
      </c>
      <c r="U9" s="84">
        <f>IF(N9&lt;'Dane dla CWU'!$R$67,0,IF(S9&gt;1,T9,S9*T9))</f>
        <v>0</v>
      </c>
      <c r="V9" s="84">
        <f t="shared" si="14"/>
        <v>10.319026666666666</v>
      </c>
      <c r="X9">
        <v>7</v>
      </c>
      <c r="Y9">
        <v>-2</v>
      </c>
      <c r="Z9" s="84">
        <f>(Y9*'Dane dla CO'!$T$53+'Dane dla CO'!$V$53)/(Y9*'Dane dla CO'!$P$35+'Dane dla CO'!$Q$35)</f>
        <v>1.7572678376906314</v>
      </c>
      <c r="AA9" s="84">
        <f>Y9*'Dane dla CO'!$N$96+'Dane dla CO'!$N$97</f>
        <v>129.60000000000002</v>
      </c>
      <c r="AB9" s="84">
        <f>IF(Y9&lt;'Dane dla CO'!$R$67,0,IF(Z9&gt;1,AA9,Z9*AA9))</f>
        <v>129.60000000000002</v>
      </c>
      <c r="AC9" s="84">
        <f t="shared" si="15"/>
        <v>0</v>
      </c>
      <c r="AD9" s="84">
        <f>(Y9*'Dane dla CWU'!$T$53+'Dane dla CWU'!$V$53)/(Y9*'Dane dla CO'!$P$35+'Dane dla CO'!$Q$35)</f>
        <v>1.7140182461873639</v>
      </c>
      <c r="AE9" s="84">
        <f t="shared" si="16"/>
        <v>10.319026666666666</v>
      </c>
      <c r="AF9" s="84">
        <f>IF(Y9&lt;'Dane dla CWU'!$R$67,0,IF(AD9&gt;1,AE9,AD9*AE9))</f>
        <v>0</v>
      </c>
      <c r="AG9" s="84">
        <f t="shared" si="17"/>
        <v>10.319026666666666</v>
      </c>
      <c r="AI9">
        <v>7</v>
      </c>
      <c r="AJ9">
        <v>8</v>
      </c>
      <c r="AK9" s="84">
        <f>(AJ9*'Dane dla CO'!$T$53+'Dane dla CO'!$V$53)/(AJ9*'Dane dla CO'!$P$35+'Dane dla CO'!$Q$35)</f>
        <v>5.0575810185185182</v>
      </c>
      <c r="AL9" s="84">
        <f>AJ9*'Dane dla CO'!$N$96+'Dane dla CO'!$N$97</f>
        <v>57.600000000000009</v>
      </c>
      <c r="AM9" s="84">
        <f>IF(AJ9&lt;'Dane dla CO'!$R$67,0,IF(AK9&gt;1,AL9,AK9*AL9))</f>
        <v>57.600000000000009</v>
      </c>
      <c r="AN9" s="84">
        <f t="shared" si="18"/>
        <v>0</v>
      </c>
      <c r="AO9" s="84">
        <f>(AJ9*'Dane dla CWU'!$T$53+'Dane dla CWU'!$V$53)/(AJ9*'Dane dla CO'!$P$35+'Dane dla CO'!$Q$35)</f>
        <v>5.1174768518518521</v>
      </c>
      <c r="AP9" s="84">
        <f t="shared" si="19"/>
        <v>10.319026666666666</v>
      </c>
      <c r="AQ9" s="84">
        <f>IF(AJ9&lt;'Dane dla CWU'!$R$67,0,IF(AO9&gt;1,AP9,AO9*AP9))</f>
        <v>10.319026666666666</v>
      </c>
      <c r="AR9" s="84">
        <f t="shared" si="20"/>
        <v>0</v>
      </c>
      <c r="AT9">
        <v>7</v>
      </c>
      <c r="AU9">
        <v>11</v>
      </c>
      <c r="BA9">
        <v>7</v>
      </c>
      <c r="BB9">
        <v>18</v>
      </c>
      <c r="BH9">
        <v>7</v>
      </c>
      <c r="BI9">
        <v>26</v>
      </c>
      <c r="BO9">
        <v>7</v>
      </c>
      <c r="BP9">
        <v>21</v>
      </c>
      <c r="BV9">
        <v>7</v>
      </c>
      <c r="BW9">
        <v>14</v>
      </c>
      <c r="CB9" s="84"/>
      <c r="CC9" s="84">
        <f t="shared" si="21"/>
        <v>10.319026666666666</v>
      </c>
      <c r="CD9" s="84">
        <f t="shared" si="22"/>
        <v>10.319026666666666</v>
      </c>
      <c r="CE9" s="84">
        <f t="shared" si="23"/>
        <v>0</v>
      </c>
      <c r="CG9">
        <v>7</v>
      </c>
      <c r="CH9">
        <v>11</v>
      </c>
      <c r="CI9" s="84">
        <f>(CH9*'Dane dla CO'!$T$53+'Dane dla CO'!$V$53)/(CH9*'Dane dla CO'!$P$35+'Dane dla CO'!$Q$35)</f>
        <v>9.2654803240740726</v>
      </c>
      <c r="CJ9" s="84">
        <f>CH9*'Dane dla CO'!$N$96+'Dane dla CO'!$N$97</f>
        <v>36</v>
      </c>
      <c r="CK9" s="84">
        <f>IF(CH9&lt;'Dane dla CO'!$R$67,0,IF(CI9&gt;1,CJ9,CI9*CJ9))</f>
        <v>36</v>
      </c>
      <c r="CL9" s="84">
        <f t="shared" si="0"/>
        <v>0</v>
      </c>
      <c r="CM9" s="84">
        <f>(CH9*'Dane dla CWU'!$T$53+'Dane dla CWU'!$V$53)/(CH9*'Dane dla CO'!$P$35+'Dane dla CO'!$Q$35)</f>
        <v>9.4568865740740744</v>
      </c>
      <c r="CN9" s="84">
        <f t="shared" si="1"/>
        <v>10.319026666666666</v>
      </c>
      <c r="CO9" s="84">
        <f>IF(CH9&lt;'Dane dla CWU'!$R$67,0,IF(CM9&gt;1,CN9,CM9*CN9))</f>
        <v>10.319026666666666</v>
      </c>
      <c r="CP9" s="84">
        <f t="shared" si="2"/>
        <v>0</v>
      </c>
      <c r="CR9">
        <v>7</v>
      </c>
      <c r="CS9">
        <v>5</v>
      </c>
      <c r="CT9" s="84">
        <f>(CS9*'Dane dla CO'!$T$53+'Dane dla CO'!$V$53)/(CS9*'Dane dla CO'!$P$35+'Dane dla CO'!$Q$35)</f>
        <v>3.3744212962962958</v>
      </c>
      <c r="CU9" s="84">
        <f>CS9*'Dane dla CO'!$N$96+'Dane dla CO'!$N$97</f>
        <v>79.200000000000017</v>
      </c>
      <c r="CV9" s="84">
        <f>IF(CS9&lt;'Dane dla CO'!$R$67,0,IF(CT9&gt;1,CU9,CT9*CU9))</f>
        <v>79.200000000000017</v>
      </c>
      <c r="CW9" s="84">
        <f t="shared" si="3"/>
        <v>0</v>
      </c>
      <c r="CX9" s="84">
        <f>(CS9*'Dane dla CWU'!$T$53+'Dane dla CWU'!$V$53)/(CS9*'Dane dla CO'!$P$35+'Dane dla CO'!$Q$35)</f>
        <v>3.381712962962963</v>
      </c>
      <c r="CY9" s="84">
        <f t="shared" si="4"/>
        <v>10.319026666666666</v>
      </c>
      <c r="CZ9" s="84">
        <f>IF(CS9&lt;'Dane dla CWU'!$R$67,0,IF(CX9&gt;1,CY9,CX9*CY9))</f>
        <v>10.319026666666666</v>
      </c>
      <c r="DA9" s="84">
        <f t="shared" si="5"/>
        <v>0</v>
      </c>
      <c r="DC9">
        <v>7</v>
      </c>
      <c r="DD9">
        <v>-4</v>
      </c>
      <c r="DE9" s="84">
        <f>(DD9*'Dane dla CO'!$T$53+'Dane dla CO'!$V$53)/(DD9*'Dane dla CO'!$P$35+'Dane dla CO'!$Q$35)</f>
        <v>1.5140868664717346</v>
      </c>
      <c r="DF9" s="84">
        <f>DD9*'Dane dla CO'!$N$96+'Dane dla CO'!$N$97</f>
        <v>144.00000000000003</v>
      </c>
      <c r="DG9" s="84">
        <f>IF(DD9&lt;'Dane dla CO'!$R$67,0,IF(DE9&gt;1,DF9,DE9*DF9))</f>
        <v>144.00000000000003</v>
      </c>
      <c r="DH9" s="84">
        <f t="shared" si="6"/>
        <v>0</v>
      </c>
      <c r="DI9" s="84">
        <f>(DD9*'Dane dla CWU'!$T$53+'Dane dla CWU'!$V$53)/(DD9*'Dane dla CO'!$P$35+'Dane dla CO'!$Q$35)</f>
        <v>1.4632370857699804</v>
      </c>
      <c r="DJ9" s="84">
        <f t="shared" si="7"/>
        <v>10.319026666666666</v>
      </c>
      <c r="DK9" s="84">
        <f>IF(DD9&lt;'Dane dla CWU'!$R$67,0,IF(DI9&gt;1,DJ9,DI9*DJ9))</f>
        <v>0</v>
      </c>
      <c r="DL9" s="84">
        <f t="shared" si="8"/>
        <v>10.319026666666666</v>
      </c>
      <c r="DM9" s="49">
        <v>-12</v>
      </c>
      <c r="DN9" s="94">
        <f>DO9*'Dane dla CO'!$N$80</f>
        <v>1093.2244897959185</v>
      </c>
      <c r="DO9" s="94">
        <f>(15-DS9)/35*'Dane dla CO'!$N$75</f>
        <v>9.5657142857142858</v>
      </c>
      <c r="DP9" s="94">
        <f t="shared" si="31"/>
        <v>1093.2244897959185</v>
      </c>
      <c r="DQ9" s="51">
        <v>-12</v>
      </c>
      <c r="DR9" s="130">
        <v>1</v>
      </c>
      <c r="DS9" s="130">
        <v>-16</v>
      </c>
      <c r="DT9" s="89">
        <f>Wykresy!Y7</f>
        <v>52.6</v>
      </c>
      <c r="DU9" s="90">
        <f>Wykresy!AE7</f>
        <v>33.533333333333331</v>
      </c>
      <c r="DV9" s="92">
        <f>(($DV$10-$DV$5)/5)*4+$DV$5</f>
        <v>6.8</v>
      </c>
      <c r="DW9" s="92">
        <f>(($DW$10-$DW$5)/5)*4+$DW$5</f>
        <v>4.0960000000000001</v>
      </c>
      <c r="DX9" s="92">
        <f t="shared" si="24"/>
        <v>1.66015625</v>
      </c>
      <c r="DY9" s="86">
        <f>(($DY$10-$DY$5)/5)*4+$DY$5</f>
        <v>7.8159999999999998</v>
      </c>
      <c r="DZ9" s="86">
        <f>(($DZ$10-$DZ$5)/5)*4+$DZ$5</f>
        <v>3.0979999999999999</v>
      </c>
      <c r="EA9" s="96">
        <f t="shared" si="32"/>
        <v>2.5229180116204004</v>
      </c>
      <c r="EB9" s="85">
        <f t="shared" si="25"/>
        <v>1</v>
      </c>
      <c r="EC9" s="85">
        <f t="shared" si="26"/>
        <v>7.378472222222222E-3</v>
      </c>
      <c r="ED9" s="92">
        <f>'Energia 221.A29'!P6</f>
        <v>3.1708064359788488</v>
      </c>
      <c r="EE9" s="86">
        <f t="shared" si="27"/>
        <v>1</v>
      </c>
      <c r="EF9" s="86">
        <f t="shared" si="28"/>
        <v>1.1212968940535114E-2</v>
      </c>
      <c r="EG9" s="96">
        <f>'Energia 221.A29'!S6</f>
        <v>4.2011087483986138</v>
      </c>
      <c r="EI9" s="130">
        <v>1</v>
      </c>
      <c r="EJ9" s="130">
        <f t="shared" si="34"/>
        <v>2</v>
      </c>
      <c r="EK9" s="130">
        <v>-16</v>
      </c>
      <c r="EL9" s="89">
        <v>55</v>
      </c>
      <c r="EM9" s="92">
        <f t="shared" si="35"/>
        <v>6.2480000000000011</v>
      </c>
      <c r="EN9" s="92">
        <f t="shared" si="36"/>
        <v>4.096000000000001</v>
      </c>
      <c r="EO9" s="92">
        <f>EM9/EN9</f>
        <v>1.525390625</v>
      </c>
      <c r="EP9" s="85">
        <f t="shared" si="29"/>
        <v>1</v>
      </c>
      <c r="EQ9" s="85">
        <f t="shared" si="30"/>
        <v>6.7795138888888887E-3</v>
      </c>
      <c r="ER9" s="92">
        <f>'Energia 221.A29'!V6</f>
        <v>2.7509264422446993</v>
      </c>
      <c r="FL9" s="103"/>
      <c r="FM9" s="103"/>
    </row>
    <row r="10" spans="1:170">
      <c r="A10" s="162"/>
      <c r="B10">
        <v>8</v>
      </c>
      <c r="C10">
        <v>4</v>
      </c>
      <c r="D10" s="84">
        <f>(C10*'Dane dla CO'!$T$53+'Dane dla CO'!$V$53)/(C10*'Dane dla CO'!$P$35+'Dane dla CO'!$Q$35)</f>
        <v>3.0173874158249157</v>
      </c>
      <c r="E10" s="84">
        <f>C10*'Dane dla CO'!$N$96+'Dane dla CO'!$N$97</f>
        <v>86.4</v>
      </c>
      <c r="F10" s="84">
        <f>IF(C10&lt;'Dane dla CO'!$R$67,0,IF(D10&gt;1,E10,D10*E10))</f>
        <v>86.4</v>
      </c>
      <c r="G10" s="84">
        <f t="shared" si="9"/>
        <v>0</v>
      </c>
      <c r="H10" s="84">
        <f>(C10*'Dane dla CWU'!$AB$53+'Dane dla CWU'!$AD$53)/(C10*'Dane dla CO'!$P$35+'Dane dla CO'!$Q$35)</f>
        <v>1.5876356154133928</v>
      </c>
      <c r="I10" s="84">
        <f t="shared" si="10"/>
        <v>10.319026666666666</v>
      </c>
      <c r="J10" s="84">
        <f>IF(C10&lt;'Dane dla CWU'!$R$67,0,IF(H10&gt;1,I10,H10*I10))</f>
        <v>10.319026666666666</v>
      </c>
      <c r="K10" s="84">
        <f t="shared" si="11"/>
        <v>0</v>
      </c>
      <c r="M10">
        <v>8</v>
      </c>
      <c r="N10">
        <v>-11</v>
      </c>
      <c r="O10" s="84">
        <f>(N10*'Dane dla CO'!$T$53+'Dane dla CO'!$V$53)/(N10*'Dane dla CO'!$P$35+'Dane dla CO'!$Q$35)</f>
        <v>0.95757656695156679</v>
      </c>
      <c r="P10" s="84">
        <f>N10*'Dane dla CO'!$N$96+'Dane dla CO'!$N$97</f>
        <v>194.40000000000003</v>
      </c>
      <c r="Q10" s="84">
        <f>IF(N10&lt;'Dane dla CO'!$R$67,0,IF(O10&gt;1,P10,O10*P10))</f>
        <v>0</v>
      </c>
      <c r="R10" s="84">
        <f t="shared" si="12"/>
        <v>194.40000000000003</v>
      </c>
      <c r="S10" s="84">
        <f>(N10*'Dane dla CWU'!$T$53+'Dane dla CWU'!$V$53)/(N10*'Dane dla CO'!$P$35+'Dane dla CO'!$Q$35)</f>
        <v>0.8893340455840455</v>
      </c>
      <c r="T10" s="84">
        <f t="shared" si="13"/>
        <v>10.319026666666666</v>
      </c>
      <c r="U10" s="84">
        <f>IF(N10&lt;'Dane dla CWU'!$R$67,0,IF(S10&gt;1,T10,S10*T10))</f>
        <v>0</v>
      </c>
      <c r="V10" s="84">
        <f t="shared" si="14"/>
        <v>10.319026666666666</v>
      </c>
      <c r="X10">
        <v>8</v>
      </c>
      <c r="Y10">
        <v>0</v>
      </c>
      <c r="Z10" s="84">
        <f>(Y10*'Dane dla CO'!$T$53+'Dane dla CO'!$V$53)/(Y10*'Dane dla CO'!$P$35+'Dane dla CO'!$Q$35)</f>
        <v>2.0652970679012341</v>
      </c>
      <c r="AA10" s="84">
        <f>Y10*'Dane dla CO'!$N$96+'Dane dla CO'!$N$97</f>
        <v>115.20000000000002</v>
      </c>
      <c r="AB10" s="84">
        <f>IF(Y10&lt;'Dane dla CO'!$R$67,0,IF(Z10&gt;1,AA10,Z10*AA10))</f>
        <v>115.20000000000002</v>
      </c>
      <c r="AC10" s="84">
        <f t="shared" si="15"/>
        <v>0</v>
      </c>
      <c r="AD10" s="84">
        <f>(Y10*'Dane dla CWU'!$T$53+'Dane dla CWU'!$V$53)/(Y10*'Dane dla CO'!$P$35+'Dane dla CO'!$Q$35)</f>
        <v>2.0316743827160493</v>
      </c>
      <c r="AE10" s="84">
        <f t="shared" si="16"/>
        <v>10.319026666666666</v>
      </c>
      <c r="AF10" s="84">
        <f>IF(Y10&lt;'Dane dla CWU'!$R$67,0,IF(AD10&gt;1,AE10,AD10*AE10))</f>
        <v>0</v>
      </c>
      <c r="AG10" s="84">
        <f t="shared" si="17"/>
        <v>10.319026666666666</v>
      </c>
      <c r="AI10">
        <v>8</v>
      </c>
      <c r="AJ10">
        <v>2</v>
      </c>
      <c r="AK10" s="84">
        <f>(AJ10*'Dane dla CO'!$T$53+'Dane dla CO'!$V$53)/(AJ10*'Dane dla CO'!$P$35+'Dane dla CO'!$Q$35)</f>
        <v>2.4681045227920229</v>
      </c>
      <c r="AL10" s="84">
        <f>AJ10*'Dane dla CO'!$N$96+'Dane dla CO'!$N$97</f>
        <v>100.80000000000001</v>
      </c>
      <c r="AM10" s="84">
        <f>IF(AJ10&lt;'Dane dla CO'!$R$67,0,IF(AK10&gt;1,AL10,AK10*AL10))</f>
        <v>100.80000000000001</v>
      </c>
      <c r="AN10" s="84">
        <f t="shared" si="18"/>
        <v>0</v>
      </c>
      <c r="AO10" s="84">
        <f>(AJ10*'Dane dla CWU'!$T$53+'Dane dla CWU'!$V$53)/(AJ10*'Dane dla CO'!$P$35+'Dane dla CO'!$Q$35)</f>
        <v>2.4470708689458691</v>
      </c>
      <c r="AP10" s="84">
        <f t="shared" si="19"/>
        <v>10.319026666666666</v>
      </c>
      <c r="AQ10" s="84">
        <f>IF(AJ10&lt;'Dane dla CWU'!$R$67,0,IF(AO10&gt;1,AP10,AO10*AP10))</f>
        <v>0</v>
      </c>
      <c r="AR10" s="84">
        <f t="shared" si="20"/>
        <v>10.319026666666666</v>
      </c>
      <c r="AT10">
        <v>8</v>
      </c>
      <c r="AU10">
        <v>10</v>
      </c>
      <c r="BA10">
        <v>8</v>
      </c>
      <c r="BB10">
        <v>21</v>
      </c>
      <c r="BH10">
        <v>8</v>
      </c>
      <c r="BI10">
        <v>24</v>
      </c>
      <c r="BO10">
        <v>8</v>
      </c>
      <c r="BP10">
        <v>18</v>
      </c>
      <c r="BV10">
        <v>8</v>
      </c>
      <c r="BW10">
        <v>17</v>
      </c>
      <c r="CB10" s="84"/>
      <c r="CC10" s="84">
        <f t="shared" si="21"/>
        <v>10.319026666666666</v>
      </c>
      <c r="CD10" s="84">
        <f t="shared" si="22"/>
        <v>10.319026666666666</v>
      </c>
      <c r="CE10" s="84">
        <f t="shared" si="23"/>
        <v>0</v>
      </c>
      <c r="CG10">
        <v>8</v>
      </c>
      <c r="CH10">
        <v>8</v>
      </c>
      <c r="CI10" s="84">
        <f>(CH10*'Dane dla CO'!$T$53+'Dane dla CO'!$V$53)/(CH10*'Dane dla CO'!$P$35+'Dane dla CO'!$Q$35)</f>
        <v>5.0575810185185182</v>
      </c>
      <c r="CJ10" s="84">
        <f>CH10*'Dane dla CO'!$N$96+'Dane dla CO'!$N$97</f>
        <v>57.600000000000009</v>
      </c>
      <c r="CK10" s="84">
        <f>IF(CH10&lt;'Dane dla CO'!$R$67,0,IF(CI10&gt;1,CJ10,CI10*CJ10))</f>
        <v>57.600000000000009</v>
      </c>
      <c r="CL10" s="84">
        <f t="shared" si="0"/>
        <v>0</v>
      </c>
      <c r="CM10" s="84">
        <f>(CH10*'Dane dla CWU'!$T$53+'Dane dla CWU'!$V$53)/(CH10*'Dane dla CO'!$P$35+'Dane dla CO'!$Q$35)</f>
        <v>5.1174768518518521</v>
      </c>
      <c r="CN10" s="84">
        <f t="shared" si="1"/>
        <v>10.319026666666666</v>
      </c>
      <c r="CO10" s="84">
        <f>IF(CH10&lt;'Dane dla CWU'!$R$67,0,IF(CM10&gt;1,CN10,CM10*CN10))</f>
        <v>10.319026666666666</v>
      </c>
      <c r="CP10" s="84">
        <f t="shared" si="2"/>
        <v>0</v>
      </c>
      <c r="CR10">
        <v>8</v>
      </c>
      <c r="CS10">
        <v>8</v>
      </c>
      <c r="CT10" s="84">
        <f>(CS10*'Dane dla CO'!$T$53+'Dane dla CO'!$V$53)/(CS10*'Dane dla CO'!$P$35+'Dane dla CO'!$Q$35)</f>
        <v>5.0575810185185182</v>
      </c>
      <c r="CU10" s="84">
        <f>CS10*'Dane dla CO'!$N$96+'Dane dla CO'!$N$97</f>
        <v>57.600000000000009</v>
      </c>
      <c r="CV10" s="84">
        <f>IF(CS10&lt;'Dane dla CO'!$R$67,0,IF(CT10&gt;1,CU10,CT10*CU10))</f>
        <v>57.600000000000009</v>
      </c>
      <c r="CW10" s="84">
        <f t="shared" si="3"/>
        <v>0</v>
      </c>
      <c r="CX10" s="84">
        <f>(CS10*'Dane dla CWU'!$T$53+'Dane dla CWU'!$V$53)/(CS10*'Dane dla CO'!$P$35+'Dane dla CO'!$Q$35)</f>
        <v>5.1174768518518521</v>
      </c>
      <c r="CY10" s="84">
        <f t="shared" si="4"/>
        <v>10.319026666666666</v>
      </c>
      <c r="CZ10" s="84">
        <f>IF(CS10&lt;'Dane dla CWU'!$R$67,0,IF(CX10&gt;1,CY10,CX10*CY10))</f>
        <v>10.319026666666666</v>
      </c>
      <c r="DA10" s="84">
        <f t="shared" si="5"/>
        <v>0</v>
      </c>
      <c r="DC10">
        <v>8</v>
      </c>
      <c r="DD10">
        <v>-10</v>
      </c>
      <c r="DE10" s="84">
        <f>(DD10*'Dane dla CO'!$T$53+'Dane dla CO'!$V$53)/(DD10*'Dane dla CO'!$P$35+'Dane dla CO'!$Q$35)</f>
        <v>1.0179976851851849</v>
      </c>
      <c r="DF10" s="84">
        <f>DD10*'Dane dla CO'!$N$96+'Dane dla CO'!$N$97</f>
        <v>187.20000000000005</v>
      </c>
      <c r="DG10" s="84">
        <f>IF(DD10&lt;'Dane dla CO'!$R$67,0,IF(DE10&gt;1,DF10,DE10*DF10))</f>
        <v>0</v>
      </c>
      <c r="DH10" s="84">
        <f t="shared" si="6"/>
        <v>187.20000000000005</v>
      </c>
      <c r="DI10" s="84">
        <f>(DD10*'Dane dla CWU'!$T$53+'Dane dla CWU'!$V$53)/(DD10*'Dane dla CO'!$P$35+'Dane dla CO'!$Q$35)</f>
        <v>0.95164351851851847</v>
      </c>
      <c r="DJ10" s="84">
        <f t="shared" si="7"/>
        <v>10.319026666666666</v>
      </c>
      <c r="DK10" s="84">
        <f>IF(DD10&lt;'Dane dla CWU'!$R$67,0,IF(DI10&gt;1,DJ10,DI10*DJ10))</f>
        <v>0</v>
      </c>
      <c r="DL10" s="84">
        <f t="shared" si="8"/>
        <v>10.319026666666666</v>
      </c>
      <c r="DM10" s="49">
        <v>-12</v>
      </c>
      <c r="DN10" s="94">
        <f>DO10*'Dane dla CO'!$N$80</f>
        <v>1057.9591836734696</v>
      </c>
      <c r="DO10" s="94">
        <f>(15-DS10)/35*'Dane dla CO'!$N$75</f>
        <v>9.257142857142858</v>
      </c>
      <c r="DP10" s="94">
        <f t="shared" si="31"/>
        <v>1057.9591836734696</v>
      </c>
      <c r="DQ10" s="51">
        <v>-12</v>
      </c>
      <c r="DR10" s="130">
        <v>0</v>
      </c>
      <c r="DS10" s="130">
        <v>-15</v>
      </c>
      <c r="DT10" s="89">
        <f>Wykresy!Y8</f>
        <v>52</v>
      </c>
      <c r="DU10" s="90">
        <f>Wykresy!AE8</f>
        <v>33.166666666666671</v>
      </c>
      <c r="DV10" s="117">
        <v>7</v>
      </c>
      <c r="DW10" s="117">
        <v>4.07</v>
      </c>
      <c r="DX10" s="92">
        <f t="shared" si="24"/>
        <v>1.7199017199017197</v>
      </c>
      <c r="DY10" s="118">
        <v>8.01</v>
      </c>
      <c r="DZ10" s="118">
        <v>3.1</v>
      </c>
      <c r="EA10" s="96">
        <f>DY10/DZ10</f>
        <v>2.5838709677419351</v>
      </c>
      <c r="EB10" s="85">
        <f t="shared" si="25"/>
        <v>0</v>
      </c>
      <c r="EC10" s="85">
        <f t="shared" si="26"/>
        <v>0</v>
      </c>
      <c r="ED10" s="92">
        <f>'Energia 221.A29'!P7</f>
        <v>3.1884684038090727</v>
      </c>
      <c r="EE10" s="86">
        <f t="shared" si="27"/>
        <v>0</v>
      </c>
      <c r="EF10" s="86">
        <f t="shared" si="28"/>
        <v>0</v>
      </c>
      <c r="EG10" s="96">
        <f>'Energia 221.A29'!S7</f>
        <v>4.2207295388907236</v>
      </c>
      <c r="EI10" s="130">
        <v>0</v>
      </c>
      <c r="EJ10" s="130">
        <f t="shared" si="34"/>
        <v>2</v>
      </c>
      <c r="EK10" s="130">
        <v>-15</v>
      </c>
      <c r="EL10" s="89">
        <v>55</v>
      </c>
      <c r="EM10" s="117">
        <v>6.31</v>
      </c>
      <c r="EN10" s="117">
        <v>4.07</v>
      </c>
      <c r="EO10" s="92">
        <f>EM10/EN10</f>
        <v>1.5503685503685503</v>
      </c>
      <c r="EP10" s="85">
        <f t="shared" si="29"/>
        <v>0</v>
      </c>
      <c r="EQ10" s="85">
        <f t="shared" si="30"/>
        <v>0</v>
      </c>
      <c r="ER10" s="92">
        <f>'Energia 221.A29'!V7</f>
        <v>2.7542932988854809</v>
      </c>
      <c r="ES10">
        <f>(EM18-EM10)/8</f>
        <v>0.20625000000000004</v>
      </c>
      <c r="ET10">
        <f>(EN18-EN10)/8</f>
        <v>-8.7500000000000355E-3</v>
      </c>
      <c r="EZ10" t="s">
        <v>272</v>
      </c>
      <c r="FB10" s="84">
        <f>'Energia 221.A26'!H2</f>
        <v>20181.599999999999</v>
      </c>
      <c r="FL10" s="103"/>
      <c r="FM10" s="103"/>
    </row>
    <row r="11" spans="1:170">
      <c r="A11" s="162"/>
      <c r="B11">
        <v>9</v>
      </c>
      <c r="C11">
        <v>3</v>
      </c>
      <c r="D11" s="84">
        <f>(C11*'Dane dla CO'!$T$53+'Dane dla CO'!$V$53)/(C11*'Dane dla CO'!$P$35+'Dane dla CO'!$Q$35)</f>
        <v>2.719859182098765</v>
      </c>
      <c r="E11" s="84">
        <f>C11*'Dane dla CO'!$N$96+'Dane dla CO'!$N$97</f>
        <v>93.600000000000023</v>
      </c>
      <c r="F11" s="84">
        <f>IF(C11&lt;'Dane dla CO'!$R$67,0,IF(D11&gt;1,E11,D11*E11))</f>
        <v>93.600000000000023</v>
      </c>
      <c r="G11" s="84">
        <f t="shared" si="9"/>
        <v>0</v>
      </c>
      <c r="H11" s="84">
        <f>(C11*'Dane dla CWU'!$AB$53+'Dane dla CWU'!$AD$53)/(C11*'Dane dla CO'!$P$35+'Dane dla CO'!$Q$35)</f>
        <v>1.4163237311385457</v>
      </c>
      <c r="I11" s="84">
        <f t="shared" si="10"/>
        <v>10.319026666666666</v>
      </c>
      <c r="J11" s="84">
        <f>IF(C11&lt;'Dane dla CWU'!$R$67,0,IF(H11&gt;1,I11,H11*I11))</f>
        <v>10.319026666666666</v>
      </c>
      <c r="K11" s="84">
        <f t="shared" si="11"/>
        <v>0</v>
      </c>
      <c r="M11">
        <v>9</v>
      </c>
      <c r="N11">
        <v>-10</v>
      </c>
      <c r="O11" s="84">
        <f>(N11*'Dane dla CO'!$T$53+'Dane dla CO'!$V$53)/(N11*'Dane dla CO'!$P$35+'Dane dla CO'!$Q$35)</f>
        <v>1.0179976851851849</v>
      </c>
      <c r="P11" s="84">
        <f>N11*'Dane dla CO'!$N$96+'Dane dla CO'!$N$97</f>
        <v>187.20000000000005</v>
      </c>
      <c r="Q11" s="84">
        <f>IF(N11&lt;'Dane dla CO'!$R$67,0,IF(O11&gt;1,P11,O11*P11))</f>
        <v>0</v>
      </c>
      <c r="R11" s="84">
        <f t="shared" si="12"/>
        <v>187.20000000000005</v>
      </c>
      <c r="S11" s="84">
        <f>(N11*'Dane dla CWU'!$T$53+'Dane dla CWU'!$V$53)/(N11*'Dane dla CO'!$P$35+'Dane dla CO'!$Q$35)</f>
        <v>0.95164351851851847</v>
      </c>
      <c r="T11" s="84">
        <f t="shared" si="13"/>
        <v>10.319026666666666</v>
      </c>
      <c r="U11" s="84">
        <f>IF(N11&lt;'Dane dla CWU'!$R$67,0,IF(S11&gt;1,T11,S11*T11))</f>
        <v>0</v>
      </c>
      <c r="V11" s="84">
        <f t="shared" si="14"/>
        <v>10.319026666666666</v>
      </c>
      <c r="X11">
        <v>9</v>
      </c>
      <c r="Y11">
        <v>3</v>
      </c>
      <c r="Z11" s="84">
        <f>(Y11*'Dane dla CO'!$T$53+'Dane dla CO'!$V$53)/(Y11*'Dane dla CO'!$P$35+'Dane dla CO'!$Q$35)</f>
        <v>2.719859182098765</v>
      </c>
      <c r="AA11" s="84">
        <f>Y11*'Dane dla CO'!$N$96+'Dane dla CO'!$N$97</f>
        <v>93.600000000000023</v>
      </c>
      <c r="AB11" s="84">
        <f>IF(Y11&lt;'Dane dla CO'!$R$67,0,IF(Z11&gt;1,AA11,Z11*AA11))</f>
        <v>93.600000000000023</v>
      </c>
      <c r="AC11" s="84">
        <f t="shared" si="15"/>
        <v>0</v>
      </c>
      <c r="AD11" s="84">
        <f>(Y11*'Dane dla CWU'!$T$53+'Dane dla CWU'!$V$53)/(Y11*'Dane dla CO'!$P$35+'Dane dla CO'!$Q$35)</f>
        <v>2.7066936728395059</v>
      </c>
      <c r="AE11" s="84">
        <f t="shared" si="16"/>
        <v>10.319026666666666</v>
      </c>
      <c r="AF11" s="84">
        <f>IF(Y11&lt;'Dane dla CWU'!$R$67,0,IF(AD11&gt;1,AE11,AD11*AE11))</f>
        <v>10.319026666666666</v>
      </c>
      <c r="AG11" s="84">
        <f t="shared" si="17"/>
        <v>0</v>
      </c>
      <c r="AI11">
        <v>9</v>
      </c>
      <c r="AJ11">
        <v>2</v>
      </c>
      <c r="AK11" s="84">
        <f>(AJ11*'Dane dla CO'!$T$53+'Dane dla CO'!$V$53)/(AJ11*'Dane dla CO'!$P$35+'Dane dla CO'!$Q$35)</f>
        <v>2.4681045227920229</v>
      </c>
      <c r="AL11" s="84">
        <f>AJ11*'Dane dla CO'!$N$96+'Dane dla CO'!$N$97</f>
        <v>100.80000000000001</v>
      </c>
      <c r="AM11" s="84">
        <f>IF(AJ11&lt;'Dane dla CO'!$R$67,0,IF(AK11&gt;1,AL11,AK11*AL11))</f>
        <v>100.80000000000001</v>
      </c>
      <c r="AN11" s="84">
        <f t="shared" si="18"/>
        <v>0</v>
      </c>
      <c r="AO11" s="84">
        <f>(AJ11*'Dane dla CWU'!$T$53+'Dane dla CWU'!$V$53)/(AJ11*'Dane dla CO'!$P$35+'Dane dla CO'!$Q$35)</f>
        <v>2.4470708689458691</v>
      </c>
      <c r="AP11" s="84">
        <f t="shared" si="19"/>
        <v>10.319026666666666</v>
      </c>
      <c r="AQ11" s="84">
        <f>IF(AJ11&lt;'Dane dla CWU'!$R$67,0,IF(AO11&gt;1,AP11,AO11*AP11))</f>
        <v>0</v>
      </c>
      <c r="AR11" s="84">
        <f t="shared" si="20"/>
        <v>10.319026666666666</v>
      </c>
      <c r="AT11">
        <v>9</v>
      </c>
      <c r="AU11">
        <v>12</v>
      </c>
      <c r="BA11">
        <v>9</v>
      </c>
      <c r="BB11">
        <v>20</v>
      </c>
      <c r="BH11">
        <v>9</v>
      </c>
      <c r="BI11">
        <v>23</v>
      </c>
      <c r="BO11">
        <v>9</v>
      </c>
      <c r="BP11">
        <v>19</v>
      </c>
      <c r="BV11">
        <v>9</v>
      </c>
      <c r="BW11">
        <v>17</v>
      </c>
      <c r="CB11" s="84"/>
      <c r="CC11" s="84">
        <f t="shared" si="21"/>
        <v>10.319026666666666</v>
      </c>
      <c r="CD11" s="84">
        <f t="shared" si="22"/>
        <v>10.319026666666666</v>
      </c>
      <c r="CE11" s="84">
        <f t="shared" si="23"/>
        <v>0</v>
      </c>
      <c r="CG11">
        <v>9</v>
      </c>
      <c r="CH11">
        <v>8</v>
      </c>
      <c r="CI11" s="84">
        <f>(CH11*'Dane dla CO'!$T$53+'Dane dla CO'!$V$53)/(CH11*'Dane dla CO'!$P$35+'Dane dla CO'!$Q$35)</f>
        <v>5.0575810185185182</v>
      </c>
      <c r="CJ11" s="84">
        <f>CH11*'Dane dla CO'!$N$96+'Dane dla CO'!$N$97</f>
        <v>57.600000000000009</v>
      </c>
      <c r="CK11" s="84">
        <f>IF(CH11&lt;'Dane dla CO'!$R$67,0,IF(CI11&gt;1,CJ11,CI11*CJ11))</f>
        <v>57.600000000000009</v>
      </c>
      <c r="CL11" s="84">
        <f t="shared" si="0"/>
        <v>0</v>
      </c>
      <c r="CM11" s="84">
        <f>(CH11*'Dane dla CWU'!$T$53+'Dane dla CWU'!$V$53)/(CH11*'Dane dla CO'!$P$35+'Dane dla CO'!$Q$35)</f>
        <v>5.1174768518518521</v>
      </c>
      <c r="CN11" s="84">
        <f t="shared" si="1"/>
        <v>10.319026666666666</v>
      </c>
      <c r="CO11" s="84">
        <f>IF(CH11&lt;'Dane dla CWU'!$R$67,0,IF(CM11&gt;1,CN11,CM11*CN11))</f>
        <v>10.319026666666666</v>
      </c>
      <c r="CP11" s="84">
        <f t="shared" si="2"/>
        <v>0</v>
      </c>
      <c r="CR11">
        <v>9</v>
      </c>
      <c r="CS11">
        <v>6</v>
      </c>
      <c r="CT11" s="84">
        <f>(CS11*'Dane dla CO'!$T$53+'Dane dla CO'!$V$53)/(CS11*'Dane dla CO'!$P$35+'Dane dla CO'!$Q$35)</f>
        <v>3.8107960390946491</v>
      </c>
      <c r="CU11" s="84">
        <f>CS11*'Dane dla CO'!$N$96+'Dane dla CO'!$N$97</f>
        <v>72.000000000000014</v>
      </c>
      <c r="CV11" s="84">
        <f>IF(CS11&lt;'Dane dla CO'!$R$67,0,IF(CT11&gt;1,CU11,CT11*CU11))</f>
        <v>72.000000000000014</v>
      </c>
      <c r="CW11" s="84">
        <f t="shared" si="3"/>
        <v>0</v>
      </c>
      <c r="CX11" s="84">
        <f>(CS11*'Dane dla CWU'!$T$53+'Dane dla CWU'!$V$53)/(CS11*'Dane dla CO'!$P$35+'Dane dla CO'!$Q$35)</f>
        <v>3.8317258230452675</v>
      </c>
      <c r="CY11" s="84">
        <f t="shared" si="4"/>
        <v>10.319026666666666</v>
      </c>
      <c r="CZ11" s="84">
        <f>IF(CS11&lt;'Dane dla CWU'!$R$67,0,IF(CX11&gt;1,CY11,CX11*CY11))</f>
        <v>10.319026666666666</v>
      </c>
      <c r="DA11" s="84">
        <f t="shared" si="5"/>
        <v>0</v>
      </c>
      <c r="DC11">
        <v>9</v>
      </c>
      <c r="DD11">
        <v>-11</v>
      </c>
      <c r="DE11" s="84">
        <f>(DD11*'Dane dla CO'!$T$53+'Dane dla CO'!$V$53)/(DD11*'Dane dla CO'!$P$35+'Dane dla CO'!$Q$35)</f>
        <v>0.95757656695156679</v>
      </c>
      <c r="DF11" s="84">
        <f>DD11*'Dane dla CO'!$N$96+'Dane dla CO'!$N$97</f>
        <v>194.40000000000003</v>
      </c>
      <c r="DG11" s="84">
        <f>IF(DD11&lt;'Dane dla CO'!$R$67,0,IF(DE11&gt;1,DF11,DE11*DF11))</f>
        <v>0</v>
      </c>
      <c r="DH11" s="84">
        <f t="shared" si="6"/>
        <v>194.40000000000003</v>
      </c>
      <c r="DI11" s="84">
        <f>(DD11*'Dane dla CWU'!$T$53+'Dane dla CWU'!$V$53)/(DD11*'Dane dla CO'!$P$35+'Dane dla CO'!$Q$35)</f>
        <v>0.8893340455840455</v>
      </c>
      <c r="DJ11" s="84">
        <f t="shared" si="7"/>
        <v>10.319026666666666</v>
      </c>
      <c r="DK11" s="84">
        <f>IF(DD11&lt;'Dane dla CWU'!$R$67,0,IF(DI11&gt;1,DJ11,DI11*DJ11))</f>
        <v>0</v>
      </c>
      <c r="DL11" s="84">
        <f t="shared" si="8"/>
        <v>10.319026666666666</v>
      </c>
      <c r="DM11" s="49">
        <v>-11</v>
      </c>
      <c r="DN11" s="94">
        <f>DO11*'Dane dla CO'!$N$80</f>
        <v>1022.6938775510206</v>
      </c>
      <c r="DO11" s="94">
        <f>(15-DS11)/35*'Dane dla CO'!$N$75</f>
        <v>8.9485714285714302</v>
      </c>
      <c r="DP11" s="94">
        <f t="shared" si="31"/>
        <v>340.89795918367355</v>
      </c>
      <c r="DQ11" s="51">
        <v>-11</v>
      </c>
      <c r="DR11" s="130">
        <v>3</v>
      </c>
      <c r="DS11" s="130">
        <v>-14</v>
      </c>
      <c r="DT11" s="89">
        <f>Wykresy!Y9</f>
        <v>51.4</v>
      </c>
      <c r="DU11" s="90">
        <f>Wykresy!AE9</f>
        <v>32.799999999999997</v>
      </c>
      <c r="DV11" s="92">
        <f>($DV$15-$DV$10)/5+$DV$10</f>
        <v>6.42</v>
      </c>
      <c r="DW11" s="92">
        <v>2.41</v>
      </c>
      <c r="DX11" s="92">
        <f t="shared" si="24"/>
        <v>2.6639004149377592</v>
      </c>
      <c r="DY11" s="86">
        <f>($DY$15-$DY$10)/5+$DY$10</f>
        <v>7.6079999999999997</v>
      </c>
      <c r="DZ11" s="86">
        <v>2.5299999999999998</v>
      </c>
      <c r="EA11" s="96">
        <f t="shared" ref="EA11:EA40" si="37">DY11/DZ11</f>
        <v>3.0071146245059288</v>
      </c>
      <c r="EB11" s="85">
        <f>DR11</f>
        <v>3</v>
      </c>
      <c r="EC11" s="85">
        <f t="shared" si="26"/>
        <v>3.5518672199170126E-2</v>
      </c>
      <c r="ED11" s="92">
        <f>'Energia 221.A29'!P8</f>
        <v>3.1884684038090727</v>
      </c>
      <c r="EE11" s="86">
        <f>DR11</f>
        <v>3</v>
      </c>
      <c r="EF11" s="86">
        <f t="shared" si="28"/>
        <v>4.0094861660079049E-2</v>
      </c>
      <c r="EG11" s="96">
        <f>'Energia 221.A29'!S8</f>
        <v>4.2207295388907236</v>
      </c>
      <c r="EI11" s="130">
        <v>3</v>
      </c>
      <c r="EJ11" s="130">
        <f t="shared" si="34"/>
        <v>5</v>
      </c>
      <c r="EK11" s="130">
        <v>-14</v>
      </c>
      <c r="EL11" s="89">
        <v>55</v>
      </c>
      <c r="EM11" s="92">
        <f>EM10+ES10</f>
        <v>6.5162499999999994</v>
      </c>
      <c r="EN11" s="92">
        <f>EN10+ET10</f>
        <v>4.0612500000000002</v>
      </c>
      <c r="EO11" s="92">
        <f t="shared" ref="EO11:EO53" si="38">EM11/EN11</f>
        <v>1.6044936903662663</v>
      </c>
      <c r="EP11" s="85">
        <f t="shared" si="29"/>
        <v>3</v>
      </c>
      <c r="EQ11" s="85">
        <f t="shared" si="30"/>
        <v>2.1393249204883551E-2</v>
      </c>
      <c r="ER11" s="92">
        <f>'Energia 221.A29'!V8</f>
        <v>2.7542932988854809</v>
      </c>
      <c r="EZ11" t="s">
        <v>273</v>
      </c>
      <c r="FB11" s="84">
        <f>'Energia 221.A26'!J2</f>
        <v>3776.7637599999998</v>
      </c>
      <c r="FL11" s="103"/>
      <c r="FM11" s="103"/>
    </row>
    <row r="12" spans="1:170">
      <c r="A12" s="162"/>
      <c r="B12">
        <v>10</v>
      </c>
      <c r="C12">
        <v>3</v>
      </c>
      <c r="D12" s="84">
        <f>(C12*'Dane dla CO'!$T$53+'Dane dla CO'!$V$53)/(C12*'Dane dla CO'!$P$35+'Dane dla CO'!$Q$35)</f>
        <v>2.719859182098765</v>
      </c>
      <c r="E12" s="84">
        <f>C12*'Dane dla CO'!$N$96+'Dane dla CO'!$N$97</f>
        <v>93.600000000000023</v>
      </c>
      <c r="F12" s="84">
        <f>IF(C12&lt;'Dane dla CO'!$R$67,0,IF(D12&gt;1,E12,D12*E12))</f>
        <v>93.600000000000023</v>
      </c>
      <c r="G12" s="84">
        <f t="shared" si="9"/>
        <v>0</v>
      </c>
      <c r="H12" s="84">
        <f>(C12*'Dane dla CWU'!$AB$53+'Dane dla CWU'!$AD$53)/(C12*'Dane dla CO'!$P$35+'Dane dla CO'!$Q$35)</f>
        <v>1.4163237311385457</v>
      </c>
      <c r="I12" s="84">
        <f t="shared" si="10"/>
        <v>10.319026666666666</v>
      </c>
      <c r="J12" s="84">
        <f>IF(C12&lt;'Dane dla CWU'!$R$67,0,IF(H12&gt;1,I12,H12*I12))</f>
        <v>10.319026666666666</v>
      </c>
      <c r="K12" s="84">
        <f t="shared" si="11"/>
        <v>0</v>
      </c>
      <c r="M12">
        <v>10</v>
      </c>
      <c r="N12">
        <v>-12</v>
      </c>
      <c r="O12" s="84">
        <f>(N12*'Dane dla CO'!$T$53+'Dane dla CO'!$V$53)/(N12*'Dane dla CO'!$P$35+'Dane dla CO'!$Q$35)</f>
        <v>0.9016310871056239</v>
      </c>
      <c r="P12" s="84">
        <f>N12*'Dane dla CO'!$N$96+'Dane dla CO'!$N$97</f>
        <v>201.60000000000002</v>
      </c>
      <c r="Q12" s="84">
        <f>IF(N12&lt;'Dane dla CO'!$R$67,0,IF(O12&gt;1,P12,O12*P12))</f>
        <v>0</v>
      </c>
      <c r="R12" s="84">
        <f t="shared" si="12"/>
        <v>201.60000000000002</v>
      </c>
      <c r="S12" s="84">
        <f>(N12*'Dane dla CWU'!$T$53+'Dane dla CWU'!$V$53)/(N12*'Dane dla CO'!$P$35+'Dane dla CO'!$Q$35)</f>
        <v>0.83164008916323717</v>
      </c>
      <c r="T12" s="84">
        <f t="shared" si="13"/>
        <v>10.319026666666666</v>
      </c>
      <c r="U12" s="84">
        <f>IF(N12&lt;'Dane dla CWU'!$R$67,0,IF(S12&gt;1,T12,S12*T12))</f>
        <v>0</v>
      </c>
      <c r="V12" s="84">
        <f t="shared" si="14"/>
        <v>10.319026666666666</v>
      </c>
      <c r="X12">
        <v>10</v>
      </c>
      <c r="Y12">
        <v>4</v>
      </c>
      <c r="Z12" s="84">
        <f>(Y12*'Dane dla CO'!$T$53+'Dane dla CO'!$V$53)/(Y12*'Dane dla CO'!$P$35+'Dane dla CO'!$Q$35)</f>
        <v>3.0173874158249157</v>
      </c>
      <c r="AA12" s="84">
        <f>Y12*'Dane dla CO'!$N$96+'Dane dla CO'!$N$97</f>
        <v>86.4</v>
      </c>
      <c r="AB12" s="84">
        <f>IF(Y12&lt;'Dane dla CO'!$R$67,0,IF(Z12&gt;1,AA12,Z12*AA12))</f>
        <v>86.4</v>
      </c>
      <c r="AC12" s="84">
        <f t="shared" si="15"/>
        <v>0</v>
      </c>
      <c r="AD12" s="84">
        <f>(Y12*'Dane dla CWU'!$T$53+'Dane dla CWU'!$V$53)/(Y12*'Dane dla CO'!$P$35+'Dane dla CO'!$Q$35)</f>
        <v>3.0135206228956233</v>
      </c>
      <c r="AE12" s="84">
        <f t="shared" si="16"/>
        <v>10.319026666666666</v>
      </c>
      <c r="AF12" s="84">
        <f>IF(Y12&lt;'Dane dla CWU'!$R$67,0,IF(AD12&gt;1,AE12,AD12*AE12))</f>
        <v>10.319026666666666</v>
      </c>
      <c r="AG12" s="84">
        <f t="shared" si="17"/>
        <v>0</v>
      </c>
      <c r="AI12">
        <v>10</v>
      </c>
      <c r="AJ12">
        <v>6</v>
      </c>
      <c r="AK12" s="84">
        <f>(AJ12*'Dane dla CO'!$T$53+'Dane dla CO'!$V$53)/(AJ12*'Dane dla CO'!$P$35+'Dane dla CO'!$Q$35)</f>
        <v>3.8107960390946491</v>
      </c>
      <c r="AL12" s="84">
        <f>AJ12*'Dane dla CO'!$N$96+'Dane dla CO'!$N$97</f>
        <v>72.000000000000014</v>
      </c>
      <c r="AM12" s="84">
        <f>IF(AJ12&lt;'Dane dla CO'!$R$67,0,IF(AK12&gt;1,AL12,AK12*AL12))</f>
        <v>72.000000000000014</v>
      </c>
      <c r="AN12" s="84">
        <f t="shared" si="18"/>
        <v>0</v>
      </c>
      <c r="AO12" s="84">
        <f>(AJ12*'Dane dla CWU'!$T$53+'Dane dla CWU'!$V$53)/(AJ12*'Dane dla CO'!$P$35+'Dane dla CO'!$Q$35)</f>
        <v>3.8317258230452675</v>
      </c>
      <c r="AP12" s="84">
        <f t="shared" si="19"/>
        <v>10.319026666666666</v>
      </c>
      <c r="AQ12" s="84">
        <f>IF(AJ12&lt;'Dane dla CWU'!$R$67,0,IF(AO12&gt;1,AP12,AO12*AP12))</f>
        <v>10.319026666666666</v>
      </c>
      <c r="AR12" s="84">
        <f t="shared" si="20"/>
        <v>0</v>
      </c>
      <c r="AT12">
        <v>10</v>
      </c>
      <c r="AU12">
        <v>18</v>
      </c>
      <c r="BA12">
        <v>10</v>
      </c>
      <c r="BB12">
        <v>20</v>
      </c>
      <c r="BH12">
        <v>10</v>
      </c>
      <c r="BI12">
        <v>23</v>
      </c>
      <c r="BO12">
        <v>10</v>
      </c>
      <c r="BP12">
        <v>17</v>
      </c>
      <c r="BV12">
        <v>10</v>
      </c>
      <c r="BW12">
        <v>17</v>
      </c>
      <c r="CB12" s="84"/>
      <c r="CC12" s="84">
        <f t="shared" si="21"/>
        <v>10.319026666666666</v>
      </c>
      <c r="CD12" s="84">
        <f t="shared" si="22"/>
        <v>10.319026666666666</v>
      </c>
      <c r="CE12" s="84">
        <f t="shared" si="23"/>
        <v>0</v>
      </c>
      <c r="CG12">
        <v>10</v>
      </c>
      <c r="CH12">
        <v>8</v>
      </c>
      <c r="CI12" s="84">
        <f>(CH12*'Dane dla CO'!$T$53+'Dane dla CO'!$V$53)/(CH12*'Dane dla CO'!$P$35+'Dane dla CO'!$Q$35)</f>
        <v>5.0575810185185182</v>
      </c>
      <c r="CJ12" s="84">
        <f>CH12*'Dane dla CO'!$N$96+'Dane dla CO'!$N$97</f>
        <v>57.600000000000009</v>
      </c>
      <c r="CK12" s="84">
        <f>IF(CH12&lt;'Dane dla CO'!$R$67,0,IF(CI12&gt;1,CJ12,CI12*CJ12))</f>
        <v>57.600000000000009</v>
      </c>
      <c r="CL12" s="84">
        <f t="shared" si="0"/>
        <v>0</v>
      </c>
      <c r="CM12" s="84">
        <f>(CH12*'Dane dla CWU'!$T$53+'Dane dla CWU'!$V$53)/(CH12*'Dane dla CO'!$P$35+'Dane dla CO'!$Q$35)</f>
        <v>5.1174768518518521</v>
      </c>
      <c r="CN12" s="84">
        <f t="shared" si="1"/>
        <v>10.319026666666666</v>
      </c>
      <c r="CO12" s="84">
        <f>IF(CH12&lt;'Dane dla CWU'!$R$67,0,IF(CM12&gt;1,CN12,CM12*CN12))</f>
        <v>10.319026666666666</v>
      </c>
      <c r="CP12" s="84">
        <f t="shared" si="2"/>
        <v>0</v>
      </c>
      <c r="CR12">
        <v>10</v>
      </c>
      <c r="CS12">
        <v>5</v>
      </c>
      <c r="CT12" s="84">
        <f>(CS12*'Dane dla CO'!$T$53+'Dane dla CO'!$V$53)/(CS12*'Dane dla CO'!$P$35+'Dane dla CO'!$Q$35)</f>
        <v>3.3744212962962958</v>
      </c>
      <c r="CU12" s="84">
        <f>CS12*'Dane dla CO'!$N$96+'Dane dla CO'!$N$97</f>
        <v>79.200000000000017</v>
      </c>
      <c r="CV12" s="84">
        <f>IF(CS12&lt;'Dane dla CO'!$R$67,0,IF(CT12&gt;1,CU12,CT12*CU12))</f>
        <v>79.200000000000017</v>
      </c>
      <c r="CW12" s="84">
        <f t="shared" si="3"/>
        <v>0</v>
      </c>
      <c r="CX12" s="84">
        <f>(CS12*'Dane dla CWU'!$T$53+'Dane dla CWU'!$V$53)/(CS12*'Dane dla CO'!$P$35+'Dane dla CO'!$Q$35)</f>
        <v>3.381712962962963</v>
      </c>
      <c r="CY12" s="84">
        <f t="shared" si="4"/>
        <v>10.319026666666666</v>
      </c>
      <c r="CZ12" s="84">
        <f>IF(CS12&lt;'Dane dla CWU'!$R$67,0,IF(CX12&gt;1,CY12,CX12*CY12))</f>
        <v>10.319026666666666</v>
      </c>
      <c r="DA12" s="84">
        <f t="shared" si="5"/>
        <v>0</v>
      </c>
      <c r="DC12">
        <v>10</v>
      </c>
      <c r="DD12">
        <v>-6</v>
      </c>
      <c r="DE12" s="84">
        <f>(DD12*'Dane dla CO'!$T$53+'Dane dla CO'!$V$53)/(DD12*'Dane dla CO'!$P$35+'Dane dla CO'!$Q$35)</f>
        <v>1.3172260802469133</v>
      </c>
      <c r="DF12" s="84">
        <f>DD12*'Dane dla CO'!$N$96+'Dane dla CO'!$N$97</f>
        <v>158.40000000000003</v>
      </c>
      <c r="DG12" s="84">
        <f>IF(DD12&lt;'Dane dla CO'!$R$67,0,IF(DE12&gt;1,DF12,DE12*DF12))</f>
        <v>158.40000000000003</v>
      </c>
      <c r="DH12" s="84">
        <f t="shared" si="6"/>
        <v>0</v>
      </c>
      <c r="DI12" s="84">
        <f>(DD12*'Dane dla CWU'!$T$53+'Dane dla CWU'!$V$53)/(DD12*'Dane dla CO'!$P$35+'Dane dla CO'!$Q$35)</f>
        <v>1.2602237654320987</v>
      </c>
      <c r="DJ12" s="84">
        <f t="shared" si="7"/>
        <v>10.319026666666666</v>
      </c>
      <c r="DK12" s="84">
        <f>IF(DD12&lt;'Dane dla CWU'!$R$67,0,IF(DI12&gt;1,DJ12,DI12*DJ12))</f>
        <v>0</v>
      </c>
      <c r="DL12" s="84">
        <f t="shared" si="8"/>
        <v>10.319026666666666</v>
      </c>
      <c r="DM12" s="49">
        <v>-11</v>
      </c>
      <c r="DN12" s="94">
        <f>DO12*'Dane dla CO'!$N$80</f>
        <v>987.42857142857156</v>
      </c>
      <c r="DO12" s="94">
        <f>(15-DS12)/35*'Dane dla CO'!$N$75</f>
        <v>8.64</v>
      </c>
      <c r="DP12" s="94">
        <f t="shared" si="31"/>
        <v>987.42857142857156</v>
      </c>
      <c r="DQ12" s="51">
        <v>-11</v>
      </c>
      <c r="DR12" s="130">
        <v>1</v>
      </c>
      <c r="DS12" s="130">
        <v>-13</v>
      </c>
      <c r="DT12" s="89">
        <f>Wykresy!Y10</f>
        <v>50.8</v>
      </c>
      <c r="DU12" s="90">
        <f>Wykresy!AE10</f>
        <v>32.433333333333337</v>
      </c>
      <c r="DV12" s="92">
        <f>(($DV$15-$DV$10)/5)*2+$DV$10</f>
        <v>5.84</v>
      </c>
      <c r="DW12" s="92">
        <v>2.42</v>
      </c>
      <c r="DX12" s="92">
        <f t="shared" si="24"/>
        <v>2.4132231404958677</v>
      </c>
      <c r="DY12" s="86">
        <f>(($DY$15-$DY$10)/5)*2+$DY$10</f>
        <v>7.2059999999999995</v>
      </c>
      <c r="DZ12" s="86">
        <v>2.5299999999999998</v>
      </c>
      <c r="EA12" s="96">
        <f t="shared" si="37"/>
        <v>2.8482213438735178</v>
      </c>
      <c r="EB12" s="85">
        <f t="shared" ref="EB12:EB40" si="39">DR12</f>
        <v>1</v>
      </c>
      <c r="EC12" s="85">
        <f t="shared" si="26"/>
        <v>1.0725436179981635E-2</v>
      </c>
      <c r="ED12" s="92">
        <f>'Energia 221.A29'!P9</f>
        <v>3.2063041117797639</v>
      </c>
      <c r="EE12" s="86">
        <f t="shared" ref="EE12:EE40" si="40">DR12</f>
        <v>1</v>
      </c>
      <c r="EF12" s="86">
        <f t="shared" si="28"/>
        <v>1.2658761528326746E-2</v>
      </c>
      <c r="EG12" s="96">
        <f>'Energia 221.A29'!S9</f>
        <v>4.2619933629536746</v>
      </c>
      <c r="EI12" s="130">
        <v>1</v>
      </c>
      <c r="EJ12" s="130">
        <f t="shared" si="34"/>
        <v>6</v>
      </c>
      <c r="EK12" s="130">
        <v>-13</v>
      </c>
      <c r="EL12" s="89">
        <v>55</v>
      </c>
      <c r="EM12" s="92">
        <f t="shared" ref="EM12:EM17" si="41">EM11+$ES$10</f>
        <v>6.7224999999999993</v>
      </c>
      <c r="EN12" s="92">
        <f t="shared" ref="EN12:EN17" si="42">EN11+$ET$10</f>
        <v>4.0525000000000002</v>
      </c>
      <c r="EO12" s="92">
        <f t="shared" si="38"/>
        <v>1.6588525601480564</v>
      </c>
      <c r="EP12" s="85">
        <f t="shared" si="29"/>
        <v>1</v>
      </c>
      <c r="EQ12" s="85">
        <f t="shared" si="30"/>
        <v>7.3726780451024727E-3</v>
      </c>
      <c r="ER12" s="92">
        <f>'Energia 221.A29'!V9</f>
        <v>2.7638484202859179</v>
      </c>
    </row>
    <row r="13" spans="1:170">
      <c r="A13" s="162"/>
      <c r="B13">
        <v>11</v>
      </c>
      <c r="C13">
        <v>4</v>
      </c>
      <c r="D13" s="84">
        <f>(C13*'Dane dla CO'!$T$53+'Dane dla CO'!$V$53)/(C13*'Dane dla CO'!$P$35+'Dane dla CO'!$Q$35)</f>
        <v>3.0173874158249157</v>
      </c>
      <c r="E13" s="84">
        <f>C13*'Dane dla CO'!$N$96+'Dane dla CO'!$N$97</f>
        <v>86.4</v>
      </c>
      <c r="F13" s="84">
        <f>IF(C13&lt;'Dane dla CO'!$R$67,0,IF(D13&gt;1,E13,D13*E13))</f>
        <v>86.4</v>
      </c>
      <c r="G13" s="84">
        <f t="shared" si="9"/>
        <v>0</v>
      </c>
      <c r="H13" s="84">
        <f>(C13*'Dane dla CWU'!$AB$53+'Dane dla CWU'!$AD$53)/(C13*'Dane dla CO'!$P$35+'Dane dla CO'!$Q$35)</f>
        <v>1.5876356154133928</v>
      </c>
      <c r="I13" s="84">
        <f t="shared" si="10"/>
        <v>10.319026666666666</v>
      </c>
      <c r="J13" s="84">
        <f>IF(C13&lt;'Dane dla CWU'!$R$67,0,IF(H13&gt;1,I13,H13*I13))</f>
        <v>10.319026666666666</v>
      </c>
      <c r="K13" s="84">
        <f t="shared" si="11"/>
        <v>0</v>
      </c>
      <c r="M13">
        <v>11</v>
      </c>
      <c r="N13">
        <v>-14</v>
      </c>
      <c r="O13" s="84">
        <f>(N13*'Dane dla CO'!$T$53+'Dane dla CO'!$V$53)/(N13*'Dane dla CO'!$P$35+'Dane dla CO'!$Q$35)</f>
        <v>0.80131505427841609</v>
      </c>
      <c r="P13" s="84">
        <f>N13*'Dane dla CO'!$N$96+'Dane dla CO'!$N$97</f>
        <v>216.00000000000003</v>
      </c>
      <c r="Q13" s="84">
        <f>IF(N13&lt;'Dane dla CO'!$R$67,0,IF(O13&gt;1,P13,O13*P13))</f>
        <v>0</v>
      </c>
      <c r="R13" s="84">
        <f t="shared" si="12"/>
        <v>216.00000000000003</v>
      </c>
      <c r="S13" s="84">
        <f>(N13*'Dane dla CWU'!$T$53+'Dane dla CWU'!$V$53)/(N13*'Dane dla CO'!$P$35+'Dane dla CO'!$Q$35)</f>
        <v>0.72818885696040847</v>
      </c>
      <c r="T13" s="84">
        <f t="shared" si="13"/>
        <v>10.319026666666666</v>
      </c>
      <c r="U13" s="84">
        <f>IF(N13&lt;'Dane dla CWU'!$R$67,0,IF(S13&gt;1,T13,S13*T13))</f>
        <v>0</v>
      </c>
      <c r="V13" s="84">
        <f t="shared" si="14"/>
        <v>10.319026666666666</v>
      </c>
      <c r="X13">
        <v>11</v>
      </c>
      <c r="Y13">
        <v>6</v>
      </c>
      <c r="Z13" s="84">
        <f>(Y13*'Dane dla CO'!$T$53+'Dane dla CO'!$V$53)/(Y13*'Dane dla CO'!$P$35+'Dane dla CO'!$Q$35)</f>
        <v>3.8107960390946491</v>
      </c>
      <c r="AA13" s="84">
        <f>Y13*'Dane dla CO'!$N$96+'Dane dla CO'!$N$97</f>
        <v>72.000000000000014</v>
      </c>
      <c r="AB13" s="84">
        <f>IF(Y13&lt;'Dane dla CO'!$R$67,0,IF(Z13&gt;1,AA13,Z13*AA13))</f>
        <v>72.000000000000014</v>
      </c>
      <c r="AC13" s="84">
        <f t="shared" si="15"/>
        <v>0</v>
      </c>
      <c r="AD13" s="84">
        <f>(Y13*'Dane dla CWU'!$T$53+'Dane dla CWU'!$V$53)/(Y13*'Dane dla CO'!$P$35+'Dane dla CO'!$Q$35)</f>
        <v>3.8317258230452675</v>
      </c>
      <c r="AE13" s="84">
        <f t="shared" si="16"/>
        <v>10.319026666666666</v>
      </c>
      <c r="AF13" s="84">
        <f>IF(Y13&lt;'Dane dla CWU'!$R$67,0,IF(AD13&gt;1,AE13,AD13*AE13))</f>
        <v>10.319026666666666</v>
      </c>
      <c r="AG13" s="84">
        <f t="shared" si="17"/>
        <v>0</v>
      </c>
      <c r="AI13">
        <v>11</v>
      </c>
      <c r="AJ13">
        <v>11</v>
      </c>
      <c r="AK13" s="84">
        <f>(AJ13*'Dane dla CO'!$T$53+'Dane dla CO'!$V$53)/(AJ13*'Dane dla CO'!$P$35+'Dane dla CO'!$Q$35)</f>
        <v>9.2654803240740726</v>
      </c>
      <c r="AL13" s="84">
        <f>AJ13*'Dane dla CO'!$N$96+'Dane dla CO'!$N$97</f>
        <v>36</v>
      </c>
      <c r="AM13" s="84">
        <f>IF(AJ13&lt;'Dane dla CO'!$R$67,0,IF(AK13&gt;1,AL13,AK13*AL13))</f>
        <v>36</v>
      </c>
      <c r="AN13" s="84">
        <f t="shared" si="18"/>
        <v>0</v>
      </c>
      <c r="AO13" s="84">
        <f>(AJ13*'Dane dla CWU'!$T$53+'Dane dla CWU'!$V$53)/(AJ13*'Dane dla CO'!$P$35+'Dane dla CO'!$Q$35)</f>
        <v>9.4568865740740744</v>
      </c>
      <c r="AP13" s="84">
        <f t="shared" si="19"/>
        <v>10.319026666666666</v>
      </c>
      <c r="AQ13" s="84">
        <f>IF(AJ13&lt;'Dane dla CWU'!$R$67,0,IF(AO13&gt;1,AP13,AO13*AP13))</f>
        <v>10.319026666666666</v>
      </c>
      <c r="AR13" s="84">
        <f t="shared" si="20"/>
        <v>0</v>
      </c>
      <c r="AT13">
        <v>11</v>
      </c>
      <c r="AU13">
        <v>21</v>
      </c>
      <c r="BA13">
        <v>11</v>
      </c>
      <c r="BB13">
        <v>16</v>
      </c>
      <c r="BH13">
        <v>11</v>
      </c>
      <c r="BI13">
        <v>21</v>
      </c>
      <c r="BO13">
        <v>11</v>
      </c>
      <c r="BP13">
        <v>13</v>
      </c>
      <c r="BV13">
        <v>11</v>
      </c>
      <c r="BW13">
        <v>19</v>
      </c>
      <c r="CB13" s="84"/>
      <c r="CC13" s="84">
        <f t="shared" si="21"/>
        <v>10.319026666666666</v>
      </c>
      <c r="CD13" s="84">
        <f t="shared" si="22"/>
        <v>10.319026666666666</v>
      </c>
      <c r="CE13" s="84">
        <f t="shared" si="23"/>
        <v>0</v>
      </c>
      <c r="CG13">
        <v>11</v>
      </c>
      <c r="CH13">
        <v>7</v>
      </c>
      <c r="CI13" s="84">
        <f>(CH13*'Dane dla CO'!$T$53+'Dane dla CO'!$V$53)/(CH13*'Dane dla CO'!$P$35+'Dane dla CO'!$Q$35)</f>
        <v>4.3562644675925926</v>
      </c>
      <c r="CJ13" s="84">
        <f>CH13*'Dane dla CO'!$N$96+'Dane dla CO'!$N$97</f>
        <v>64.800000000000011</v>
      </c>
      <c r="CK13" s="84">
        <f>IF(CH13&lt;'Dane dla CO'!$R$67,0,IF(CI13&gt;1,CJ13,CI13*CJ13))</f>
        <v>64.800000000000011</v>
      </c>
      <c r="CL13" s="84">
        <f t="shared" si="0"/>
        <v>0</v>
      </c>
      <c r="CM13" s="84">
        <f>(CH13*'Dane dla CWU'!$T$53+'Dane dla CWU'!$V$53)/(CH13*'Dane dla CO'!$P$35+'Dane dla CO'!$Q$35)</f>
        <v>4.3942418981481479</v>
      </c>
      <c r="CN13" s="84">
        <f t="shared" si="1"/>
        <v>10.319026666666666</v>
      </c>
      <c r="CO13" s="84">
        <f>IF(CH13&lt;'Dane dla CWU'!$R$67,0,IF(CM13&gt;1,CN13,CM13*CN13))</f>
        <v>10.319026666666666</v>
      </c>
      <c r="CP13" s="84">
        <f t="shared" si="2"/>
        <v>0</v>
      </c>
      <c r="CR13">
        <v>11</v>
      </c>
      <c r="CS13">
        <v>11</v>
      </c>
      <c r="CT13" s="84">
        <f>(CS13*'Dane dla CO'!$T$53+'Dane dla CO'!$V$53)/(CS13*'Dane dla CO'!$P$35+'Dane dla CO'!$Q$35)</f>
        <v>9.2654803240740726</v>
      </c>
      <c r="CU13" s="84">
        <f>CS13*'Dane dla CO'!$N$96+'Dane dla CO'!$N$97</f>
        <v>36</v>
      </c>
      <c r="CV13" s="84">
        <f>IF(CS13&lt;'Dane dla CO'!$R$67,0,IF(CT13&gt;1,CU13,CT13*CU13))</f>
        <v>36</v>
      </c>
      <c r="CW13" s="84">
        <f t="shared" si="3"/>
        <v>0</v>
      </c>
      <c r="CX13" s="84">
        <f>(CS13*'Dane dla CWU'!$T$53+'Dane dla CWU'!$V$53)/(CS13*'Dane dla CO'!$P$35+'Dane dla CO'!$Q$35)</f>
        <v>9.4568865740740744</v>
      </c>
      <c r="CY13" s="84">
        <f t="shared" si="4"/>
        <v>10.319026666666666</v>
      </c>
      <c r="CZ13" s="84">
        <f>IF(CS13&lt;'Dane dla CWU'!$R$67,0,IF(CX13&gt;1,CY13,CX13*CY13))</f>
        <v>10.319026666666666</v>
      </c>
      <c r="DA13" s="84">
        <f t="shared" si="5"/>
        <v>0</v>
      </c>
      <c r="DC13">
        <v>11</v>
      </c>
      <c r="DD13">
        <v>-3</v>
      </c>
      <c r="DE13" s="84">
        <f>(DD13*'Dane dla CO'!$T$53+'Dane dla CO'!$V$53)/(DD13*'Dane dla CO'!$P$35+'Dane dla CO'!$Q$35)</f>
        <v>1.6289223251028804</v>
      </c>
      <c r="DF13" s="84">
        <f>DD13*'Dane dla CO'!$N$96+'Dane dla CO'!$N$97</f>
        <v>136.80000000000001</v>
      </c>
      <c r="DG13" s="84">
        <f>IF(DD13&lt;'Dane dla CO'!$R$67,0,IF(DE13&gt;1,DF13,DE13*DF13))</f>
        <v>136.80000000000001</v>
      </c>
      <c r="DH13" s="84">
        <f t="shared" si="6"/>
        <v>0</v>
      </c>
      <c r="DI13" s="84">
        <f>(DD13*'Dane dla CWU'!$T$53+'Dane dla CWU'!$V$53)/(DD13*'Dane dla CO'!$P$35+'Dane dla CO'!$Q$35)</f>
        <v>1.5816615226337447</v>
      </c>
      <c r="DJ13" s="84">
        <f t="shared" si="7"/>
        <v>10.319026666666666</v>
      </c>
      <c r="DK13" s="84">
        <f>IF(DD13&lt;'Dane dla CWU'!$R$67,0,IF(DI13&gt;1,DJ13,DI13*DJ13))</f>
        <v>0</v>
      </c>
      <c r="DL13" s="84">
        <f t="shared" si="8"/>
        <v>10.319026666666666</v>
      </c>
      <c r="DM13" s="49">
        <v>-11</v>
      </c>
      <c r="DN13" s="94">
        <f>DO13*'Dane dla CO'!$N$80</f>
        <v>952.16326530612264</v>
      </c>
      <c r="DO13" s="94">
        <f>(15-DS13)/35*'Dane dla CO'!$N$75</f>
        <v>8.3314285714285727</v>
      </c>
      <c r="DP13" s="94">
        <f t="shared" si="31"/>
        <v>317.3877551020409</v>
      </c>
      <c r="DQ13" s="51">
        <v>-11</v>
      </c>
      <c r="DR13" s="130">
        <v>3</v>
      </c>
      <c r="DS13" s="130">
        <v>-12</v>
      </c>
      <c r="DT13" s="89">
        <f>Wykresy!Y11</f>
        <v>50.2</v>
      </c>
      <c r="DU13" s="90">
        <f>Wykresy!AE11</f>
        <v>32.06666666666667</v>
      </c>
      <c r="DV13" s="92">
        <f>(($DV$15-$DV$10)/5)*3+$DV$10</f>
        <v>5.26</v>
      </c>
      <c r="DW13" s="92">
        <v>2.4300000000000002</v>
      </c>
      <c r="DX13" s="92">
        <f t="shared" si="24"/>
        <v>2.1646090534979421</v>
      </c>
      <c r="DY13" s="86">
        <f>(($DY$15-$DY$10)/5)*3+$DY$10</f>
        <v>6.8040000000000003</v>
      </c>
      <c r="DZ13" s="86">
        <v>2.5299999999999998</v>
      </c>
      <c r="EA13" s="96">
        <f t="shared" si="37"/>
        <v>2.6893280632411072</v>
      </c>
      <c r="EB13" s="85">
        <f t="shared" si="39"/>
        <v>3</v>
      </c>
      <c r="EC13" s="85">
        <f t="shared" si="26"/>
        <v>2.8861454046639225E-2</v>
      </c>
      <c r="ED13" s="92">
        <f>'Energia 221.A29'!P10</f>
        <v>3.2150891951133134</v>
      </c>
      <c r="EE13" s="86">
        <f t="shared" si="40"/>
        <v>3</v>
      </c>
      <c r="EF13" s="86">
        <f t="shared" si="28"/>
        <v>3.5857707509881431E-2</v>
      </c>
      <c r="EG13" s="96">
        <f>'Energia 221.A29'!S10</f>
        <v>4.2776539391772506</v>
      </c>
      <c r="EI13" s="130">
        <v>3</v>
      </c>
      <c r="EJ13" s="130">
        <f t="shared" si="34"/>
        <v>9</v>
      </c>
      <c r="EK13" s="130">
        <v>-12</v>
      </c>
      <c r="EL13" s="89">
        <v>55</v>
      </c>
      <c r="EM13" s="92">
        <f t="shared" si="41"/>
        <v>6.9287499999999991</v>
      </c>
      <c r="EN13" s="92">
        <f t="shared" si="42"/>
        <v>4.0437500000000002</v>
      </c>
      <c r="EO13" s="92">
        <f t="shared" si="38"/>
        <v>1.7134466769706334</v>
      </c>
      <c r="EP13" s="85">
        <f t="shared" si="29"/>
        <v>3</v>
      </c>
      <c r="EQ13" s="85">
        <f t="shared" si="30"/>
        <v>2.2845955692941778E-2</v>
      </c>
      <c r="ER13" s="92">
        <f>'Energia 221.A29'!V10</f>
        <v>2.7669178532307455</v>
      </c>
      <c r="EZ13" t="s">
        <v>274</v>
      </c>
      <c r="FB13" s="84"/>
      <c r="FD13" s="103">
        <f>'Dane dla CO'!H36</f>
        <v>6373.6565901788554</v>
      </c>
      <c r="FL13" s="103"/>
      <c r="FM13" s="103"/>
    </row>
    <row r="14" spans="1:170">
      <c r="A14" s="162"/>
      <c r="B14">
        <v>12</v>
      </c>
      <c r="C14">
        <v>6</v>
      </c>
      <c r="D14" s="84">
        <f>(C14*'Dane dla CO'!$T$53+'Dane dla CO'!$V$53)/(C14*'Dane dla CO'!$P$35+'Dane dla CO'!$Q$35)</f>
        <v>3.8107960390946491</v>
      </c>
      <c r="E14" s="84">
        <f>C14*'Dane dla CO'!$N$96+'Dane dla CO'!$N$97</f>
        <v>72.000000000000014</v>
      </c>
      <c r="F14" s="84">
        <f>IF(C14&lt;'Dane dla CO'!$R$67,0,IF(D14&gt;1,E14,D14*E14))</f>
        <v>72.000000000000014</v>
      </c>
      <c r="G14" s="84">
        <f t="shared" si="9"/>
        <v>0</v>
      </c>
      <c r="H14" s="84">
        <f>(C14*'Dane dla CWU'!$AB$53+'Dane dla CWU'!$AD$53)/(C14*'Dane dla CO'!$P$35+'Dane dla CO'!$Q$35)</f>
        <v>2.0444673068129853</v>
      </c>
      <c r="I14" s="84">
        <f t="shared" si="10"/>
        <v>10.319026666666666</v>
      </c>
      <c r="J14" s="84">
        <f>IF(C14&lt;'Dane dla CWU'!$R$67,0,IF(H14&gt;1,I14,H14*I14))</f>
        <v>10.319026666666666</v>
      </c>
      <c r="K14" s="84">
        <f t="shared" si="11"/>
        <v>0</v>
      </c>
      <c r="M14">
        <v>12</v>
      </c>
      <c r="N14">
        <v>-13</v>
      </c>
      <c r="O14" s="84">
        <f>(N14*'Dane dla CO'!$T$53+'Dane dla CO'!$V$53)/(N14*'Dane dla CO'!$P$35+'Dane dla CO'!$Q$35)</f>
        <v>0.8496817129629628</v>
      </c>
      <c r="P14" s="84">
        <f>N14*'Dane dla CO'!$N$96+'Dane dla CO'!$N$97</f>
        <v>208.8</v>
      </c>
      <c r="Q14" s="84">
        <f>IF(N14&lt;'Dane dla CO'!$R$67,0,IF(O14&gt;1,P14,O14*P14))</f>
        <v>0</v>
      </c>
      <c r="R14" s="84">
        <f t="shared" si="12"/>
        <v>208.8</v>
      </c>
      <c r="S14" s="84">
        <f>(N14*'Dane dla CWU'!$T$53+'Dane dla CWU'!$V$53)/(N14*'Dane dla CO'!$P$35+'Dane dla CO'!$Q$35)</f>
        <v>0.77806712962962965</v>
      </c>
      <c r="T14" s="84">
        <f t="shared" si="13"/>
        <v>10.319026666666666</v>
      </c>
      <c r="U14" s="84">
        <f>IF(N14&lt;'Dane dla CWU'!$R$67,0,IF(S14&gt;1,T14,S14*T14))</f>
        <v>0</v>
      </c>
      <c r="V14" s="84">
        <f t="shared" si="14"/>
        <v>10.319026666666666</v>
      </c>
      <c r="X14">
        <v>12</v>
      </c>
      <c r="Y14">
        <v>3</v>
      </c>
      <c r="Z14" s="84">
        <f>(Y14*'Dane dla CO'!$T$53+'Dane dla CO'!$V$53)/(Y14*'Dane dla CO'!$P$35+'Dane dla CO'!$Q$35)</f>
        <v>2.719859182098765</v>
      </c>
      <c r="AA14" s="84">
        <f>Y14*'Dane dla CO'!$N$96+'Dane dla CO'!$N$97</f>
        <v>93.600000000000023</v>
      </c>
      <c r="AB14" s="84">
        <f>IF(Y14&lt;'Dane dla CO'!$R$67,0,IF(Z14&gt;1,AA14,Z14*AA14))</f>
        <v>93.600000000000023</v>
      </c>
      <c r="AC14" s="84">
        <f t="shared" si="15"/>
        <v>0</v>
      </c>
      <c r="AD14" s="84">
        <f>(Y14*'Dane dla CWU'!$T$53+'Dane dla CWU'!$V$53)/(Y14*'Dane dla CO'!$P$35+'Dane dla CO'!$Q$35)</f>
        <v>2.7066936728395059</v>
      </c>
      <c r="AE14" s="84">
        <f t="shared" si="16"/>
        <v>10.319026666666666</v>
      </c>
      <c r="AF14" s="84">
        <f>IF(Y14&lt;'Dane dla CWU'!$R$67,0,IF(AD14&gt;1,AE14,AD14*AE14))</f>
        <v>10.319026666666666</v>
      </c>
      <c r="AG14" s="84">
        <f t="shared" si="17"/>
        <v>0</v>
      </c>
      <c r="AI14">
        <v>12</v>
      </c>
      <c r="AJ14">
        <v>13</v>
      </c>
      <c r="AK14" s="84">
        <f>(AJ14*'Dane dla CO'!$T$53+'Dane dla CO'!$V$53)/(AJ14*'Dane dla CO'!$P$35+'Dane dla CO'!$Q$35)</f>
        <v>19.083912037037027</v>
      </c>
      <c r="AL14" s="84">
        <f>AJ14*'Dane dla CO'!$N$96+'Dane dla CO'!$N$97</f>
        <v>21.600000000000009</v>
      </c>
      <c r="AM14" s="84">
        <f>IF(AJ14&lt;'Dane dla CO'!$R$67,0,IF(AK14&gt;1,AL14,AK14*AL14))</f>
        <v>21.600000000000009</v>
      </c>
      <c r="AN14" s="84">
        <f t="shared" si="18"/>
        <v>0</v>
      </c>
      <c r="AO14" s="84">
        <f>(AJ14*'Dane dla CWU'!$T$53+'Dane dla CWU'!$V$53)/(AJ14*'Dane dla CO'!$P$35+'Dane dla CO'!$Q$35)</f>
        <v>19.582175925925917</v>
      </c>
      <c r="AP14" s="84">
        <f t="shared" si="19"/>
        <v>10.319026666666666</v>
      </c>
      <c r="AQ14" s="84">
        <f>IF(AJ14&lt;'Dane dla CWU'!$R$67,0,IF(AO14&gt;1,AP14,AO14*AP14))</f>
        <v>10.319026666666666</v>
      </c>
      <c r="AR14" s="84">
        <f t="shared" si="20"/>
        <v>0</v>
      </c>
      <c r="AT14">
        <v>12</v>
      </c>
      <c r="AU14">
        <v>14</v>
      </c>
      <c r="BA14">
        <v>12</v>
      </c>
      <c r="BB14">
        <v>16</v>
      </c>
      <c r="BH14">
        <v>12</v>
      </c>
      <c r="BI14">
        <v>19</v>
      </c>
      <c r="BO14">
        <v>12</v>
      </c>
      <c r="BP14">
        <v>13</v>
      </c>
      <c r="BV14">
        <v>12</v>
      </c>
      <c r="BW14">
        <v>19</v>
      </c>
      <c r="CB14" s="84"/>
      <c r="CC14" s="84">
        <f t="shared" si="21"/>
        <v>10.319026666666666</v>
      </c>
      <c r="CD14" s="84">
        <f t="shared" si="22"/>
        <v>10.319026666666666</v>
      </c>
      <c r="CE14" s="84">
        <f t="shared" si="23"/>
        <v>0</v>
      </c>
      <c r="CG14">
        <v>12</v>
      </c>
      <c r="CH14">
        <v>4</v>
      </c>
      <c r="CI14" s="84">
        <f>(CH14*'Dane dla CO'!$T$53+'Dane dla CO'!$V$53)/(CH14*'Dane dla CO'!$P$35+'Dane dla CO'!$Q$35)</f>
        <v>3.0173874158249157</v>
      </c>
      <c r="CJ14" s="84">
        <f>CH14*'Dane dla CO'!$N$96+'Dane dla CO'!$N$97</f>
        <v>86.4</v>
      </c>
      <c r="CK14" s="84">
        <f>IF(CH14&lt;'Dane dla CO'!$R$67,0,IF(CI14&gt;1,CJ14,CI14*CJ14))</f>
        <v>86.4</v>
      </c>
      <c r="CL14" s="84">
        <f t="shared" si="0"/>
        <v>0</v>
      </c>
      <c r="CM14" s="84">
        <f>(CH14*'Dane dla CWU'!$T$53+'Dane dla CWU'!$V$53)/(CH14*'Dane dla CO'!$P$35+'Dane dla CO'!$Q$35)</f>
        <v>3.0135206228956233</v>
      </c>
      <c r="CN14" s="84">
        <f t="shared" si="1"/>
        <v>10.319026666666666</v>
      </c>
      <c r="CO14" s="84">
        <f>IF(CH14&lt;'Dane dla CWU'!$R$67,0,IF(CM14&gt;1,CN14,CM14*CN14))</f>
        <v>10.319026666666666</v>
      </c>
      <c r="CP14" s="84">
        <f t="shared" si="2"/>
        <v>0</v>
      </c>
      <c r="CR14">
        <v>12</v>
      </c>
      <c r="CS14">
        <v>8</v>
      </c>
      <c r="CT14" s="84">
        <f>(CS14*'Dane dla CO'!$T$53+'Dane dla CO'!$V$53)/(CS14*'Dane dla CO'!$P$35+'Dane dla CO'!$Q$35)</f>
        <v>5.0575810185185182</v>
      </c>
      <c r="CU14" s="84">
        <f>CS14*'Dane dla CO'!$N$96+'Dane dla CO'!$N$97</f>
        <v>57.600000000000009</v>
      </c>
      <c r="CV14" s="84">
        <f>IF(CS14&lt;'Dane dla CO'!$R$67,0,IF(CT14&gt;1,CU14,CT14*CU14))</f>
        <v>57.600000000000009</v>
      </c>
      <c r="CW14" s="84">
        <f t="shared" si="3"/>
        <v>0</v>
      </c>
      <c r="CX14" s="84">
        <f>(CS14*'Dane dla CWU'!$T$53+'Dane dla CWU'!$V$53)/(CS14*'Dane dla CO'!$P$35+'Dane dla CO'!$Q$35)</f>
        <v>5.1174768518518521</v>
      </c>
      <c r="CY14" s="84">
        <f t="shared" si="4"/>
        <v>10.319026666666666</v>
      </c>
      <c r="CZ14" s="84">
        <f>IF(CS14&lt;'Dane dla CWU'!$R$67,0,IF(CX14&gt;1,CY14,CX14*CY14))</f>
        <v>10.319026666666666</v>
      </c>
      <c r="DA14" s="84">
        <f t="shared" si="5"/>
        <v>0</v>
      </c>
      <c r="DC14">
        <v>12</v>
      </c>
      <c r="DD14">
        <v>-2</v>
      </c>
      <c r="DE14" s="84">
        <f>(DD14*'Dane dla CO'!$T$53+'Dane dla CO'!$V$53)/(DD14*'Dane dla CO'!$P$35+'Dane dla CO'!$Q$35)</f>
        <v>1.7572678376906314</v>
      </c>
      <c r="DF14" s="84">
        <f>DD14*'Dane dla CO'!$N$96+'Dane dla CO'!$N$97</f>
        <v>129.60000000000002</v>
      </c>
      <c r="DG14" s="84">
        <f>IF(DD14&lt;'Dane dla CO'!$R$67,0,IF(DE14&gt;1,DF14,DE14*DF14))</f>
        <v>129.60000000000002</v>
      </c>
      <c r="DH14" s="84">
        <f t="shared" si="6"/>
        <v>0</v>
      </c>
      <c r="DI14" s="84">
        <f>(DD14*'Dane dla CWU'!$T$53+'Dane dla CWU'!$V$53)/(DD14*'Dane dla CO'!$P$35+'Dane dla CO'!$Q$35)</f>
        <v>1.7140182461873639</v>
      </c>
      <c r="DJ14" s="84">
        <f t="shared" si="7"/>
        <v>10.319026666666666</v>
      </c>
      <c r="DK14" s="84">
        <f>IF(DD14&lt;'Dane dla CWU'!$R$67,0,IF(DI14&gt;1,DJ14,DI14*DJ14))</f>
        <v>0</v>
      </c>
      <c r="DL14" s="84">
        <f t="shared" si="8"/>
        <v>10.319026666666666</v>
      </c>
      <c r="DM14" s="49">
        <v>-11</v>
      </c>
      <c r="DN14" s="94">
        <f>DO14*'Dane dla CO'!$N$80</f>
        <v>916.89795918367361</v>
      </c>
      <c r="DO14" s="94">
        <f>(15-DS14)/35*'Dane dla CO'!$N$75</f>
        <v>8.0228571428571431</v>
      </c>
      <c r="DP14" s="94">
        <f t="shared" si="31"/>
        <v>229.2244897959184</v>
      </c>
      <c r="DQ14" s="51">
        <v>-11</v>
      </c>
      <c r="DR14" s="130">
        <v>4</v>
      </c>
      <c r="DS14" s="130">
        <v>-11</v>
      </c>
      <c r="DT14" s="89">
        <f>Wykresy!Y12</f>
        <v>49.6</v>
      </c>
      <c r="DU14" s="90">
        <f>Wykresy!AE12</f>
        <v>31.700000000000003</v>
      </c>
      <c r="DV14" s="92">
        <f>(($DV$15-$DV$10)/5)*4+$DV$10</f>
        <v>4.68</v>
      </c>
      <c r="DW14" s="92">
        <v>2.44</v>
      </c>
      <c r="DX14" s="92">
        <f t="shared" si="24"/>
        <v>1.9180327868852458</v>
      </c>
      <c r="DY14" s="86">
        <f>(($DY$15-$DY$10)/5)*4+$DY$10</f>
        <v>6.4020000000000001</v>
      </c>
      <c r="DZ14" s="86">
        <v>2.5299999999999998</v>
      </c>
      <c r="EA14" s="96">
        <f t="shared" si="37"/>
        <v>2.5304347826086957</v>
      </c>
      <c r="EB14" s="85">
        <f t="shared" si="39"/>
        <v>4</v>
      </c>
      <c r="EC14" s="85">
        <f t="shared" si="26"/>
        <v>3.4098360655737701E-2</v>
      </c>
      <c r="ED14" s="92">
        <f>'Energia 221.A29'!P11</f>
        <v>3.2499117412442096</v>
      </c>
      <c r="EE14" s="86">
        <f t="shared" si="40"/>
        <v>4</v>
      </c>
      <c r="EF14" s="86">
        <f t="shared" si="28"/>
        <v>4.4985507246376816E-2</v>
      </c>
      <c r="EG14" s="96">
        <f>'Energia 221.A29'!S11</f>
        <v>4.3303056256723718</v>
      </c>
      <c r="EI14" s="130">
        <v>4</v>
      </c>
      <c r="EJ14" s="130">
        <f t="shared" si="34"/>
        <v>13</v>
      </c>
      <c r="EK14" s="130">
        <v>-11</v>
      </c>
      <c r="EL14" s="89">
        <v>55</v>
      </c>
      <c r="EM14" s="92">
        <f t="shared" si="41"/>
        <v>7.1349999999999989</v>
      </c>
      <c r="EN14" s="92">
        <f t="shared" si="42"/>
        <v>4.0350000000000001</v>
      </c>
      <c r="EO14" s="92">
        <f t="shared" si="38"/>
        <v>1.7682775712515486</v>
      </c>
      <c r="EP14" s="85">
        <f t="shared" si="29"/>
        <v>4</v>
      </c>
      <c r="EQ14" s="85">
        <f t="shared" si="30"/>
        <v>3.1436045711138644E-2</v>
      </c>
      <c r="ER14" s="92">
        <f>'Energia 221.A29'!V11</f>
        <v>2.7757705521909144</v>
      </c>
      <c r="EZ14" t="s">
        <v>275</v>
      </c>
      <c r="FD14" s="103">
        <f>FL3+FL6</f>
        <v>5242.5217901653868</v>
      </c>
      <c r="FE14" s="103"/>
    </row>
    <row r="15" spans="1:170">
      <c r="A15" s="162"/>
      <c r="B15">
        <v>13</v>
      </c>
      <c r="C15">
        <v>2</v>
      </c>
      <c r="D15" s="84">
        <f>(C15*'Dane dla CO'!$T$53+'Dane dla CO'!$V$53)/(C15*'Dane dla CO'!$P$35+'Dane dla CO'!$Q$35)</f>
        <v>2.4681045227920229</v>
      </c>
      <c r="E15" s="84">
        <f>C15*'Dane dla CO'!$N$96+'Dane dla CO'!$N$97</f>
        <v>100.80000000000001</v>
      </c>
      <c r="F15" s="84">
        <f>IF(C15&lt;'Dane dla CO'!$R$67,0,IF(D15&gt;1,E15,D15*E15))</f>
        <v>100.80000000000001</v>
      </c>
      <c r="G15" s="84">
        <f t="shared" si="9"/>
        <v>0</v>
      </c>
      <c r="H15" s="84">
        <f>(C15*'Dane dla CWU'!$AB$53+'Dane dla CWU'!$AD$53)/(C15*'Dane dla CO'!$P$35+'Dane dla CO'!$Q$35)</f>
        <v>1.2713675213675213</v>
      </c>
      <c r="I15" s="84">
        <f t="shared" si="10"/>
        <v>10.319026666666666</v>
      </c>
      <c r="J15" s="84">
        <f>IF(C15&lt;'Dane dla CWU'!$R$67,0,IF(H15&gt;1,I15,H15*I15))</f>
        <v>0</v>
      </c>
      <c r="K15" s="84">
        <f t="shared" si="11"/>
        <v>10.319026666666666</v>
      </c>
      <c r="M15">
        <v>13</v>
      </c>
      <c r="N15">
        <v>-7</v>
      </c>
      <c r="O15" s="84">
        <f>(N15*'Dane dla CO'!$T$53+'Dane dla CO'!$V$53)/(N15*'Dane dla CO'!$P$35+'Dane dla CO'!$Q$35)</f>
        <v>1.2322180134680132</v>
      </c>
      <c r="P15" s="84">
        <f>N15*'Dane dla CO'!$N$96+'Dane dla CO'!$N$97</f>
        <v>165.60000000000002</v>
      </c>
      <c r="Q15" s="84">
        <f>IF(N15&lt;'Dane dla CO'!$R$67,0,IF(O15&gt;1,P15,O15*P15))</f>
        <v>165.60000000000002</v>
      </c>
      <c r="R15" s="84">
        <f t="shared" si="12"/>
        <v>0</v>
      </c>
      <c r="S15" s="84">
        <f>(N15*'Dane dla CWU'!$T$53+'Dane dla CWU'!$V$53)/(N15*'Dane dla CO'!$P$35+'Dane dla CO'!$Q$35)</f>
        <v>1.1725589225589224</v>
      </c>
      <c r="T15" s="84">
        <f t="shared" si="13"/>
        <v>10.319026666666666</v>
      </c>
      <c r="U15" s="84">
        <f>IF(N15&lt;'Dane dla CWU'!$R$67,0,IF(S15&gt;1,T15,S15*T15))</f>
        <v>0</v>
      </c>
      <c r="V15" s="84">
        <f t="shared" si="14"/>
        <v>10.319026666666666</v>
      </c>
      <c r="X15">
        <v>13</v>
      </c>
      <c r="Y15">
        <v>7</v>
      </c>
      <c r="Z15" s="84">
        <f>(Y15*'Dane dla CO'!$T$53+'Dane dla CO'!$V$53)/(Y15*'Dane dla CO'!$P$35+'Dane dla CO'!$Q$35)</f>
        <v>4.3562644675925926</v>
      </c>
      <c r="AA15" s="84">
        <f>Y15*'Dane dla CO'!$N$96+'Dane dla CO'!$N$97</f>
        <v>64.800000000000011</v>
      </c>
      <c r="AB15" s="84">
        <f>IF(Y15&lt;'Dane dla CO'!$R$67,0,IF(Z15&gt;1,AA15,Z15*AA15))</f>
        <v>64.800000000000011</v>
      </c>
      <c r="AC15" s="84">
        <f t="shared" si="15"/>
        <v>0</v>
      </c>
      <c r="AD15" s="84">
        <f>(Y15*'Dane dla CWU'!$T$53+'Dane dla CWU'!$V$53)/(Y15*'Dane dla CO'!$P$35+'Dane dla CO'!$Q$35)</f>
        <v>4.3942418981481479</v>
      </c>
      <c r="AE15" s="84">
        <f t="shared" si="16"/>
        <v>10.319026666666666</v>
      </c>
      <c r="AF15" s="84">
        <f>IF(Y15&lt;'Dane dla CWU'!$R$67,0,IF(AD15&gt;1,AE15,AD15*AE15))</f>
        <v>10.319026666666666</v>
      </c>
      <c r="AG15" s="84">
        <f t="shared" si="17"/>
        <v>0</v>
      </c>
      <c r="AI15">
        <v>13</v>
      </c>
      <c r="AJ15">
        <v>11</v>
      </c>
      <c r="AK15" s="84">
        <f>(AJ15*'Dane dla CO'!$T$53+'Dane dla CO'!$V$53)/(AJ15*'Dane dla CO'!$P$35+'Dane dla CO'!$Q$35)</f>
        <v>9.2654803240740726</v>
      </c>
      <c r="AL15" s="84">
        <f>AJ15*'Dane dla CO'!$N$96+'Dane dla CO'!$N$97</f>
        <v>36</v>
      </c>
      <c r="AM15" s="84">
        <f>IF(AJ15&lt;'Dane dla CO'!$R$67,0,IF(AK15&gt;1,AL15,AK15*AL15))</f>
        <v>36</v>
      </c>
      <c r="AN15" s="84">
        <f t="shared" si="18"/>
        <v>0</v>
      </c>
      <c r="AO15" s="84">
        <f>(AJ15*'Dane dla CWU'!$T$53+'Dane dla CWU'!$V$53)/(AJ15*'Dane dla CO'!$P$35+'Dane dla CO'!$Q$35)</f>
        <v>9.4568865740740744</v>
      </c>
      <c r="AP15" s="84">
        <f t="shared" si="19"/>
        <v>10.319026666666666</v>
      </c>
      <c r="AQ15" s="84">
        <f>IF(AJ15&lt;'Dane dla CWU'!$R$67,0,IF(AO15&gt;1,AP15,AO15*AP15))</f>
        <v>10.319026666666666</v>
      </c>
      <c r="AR15" s="84">
        <f t="shared" si="20"/>
        <v>0</v>
      </c>
      <c r="AT15">
        <v>13</v>
      </c>
      <c r="AU15">
        <v>10</v>
      </c>
      <c r="BA15">
        <v>13</v>
      </c>
      <c r="BB15">
        <v>17</v>
      </c>
      <c r="BH15">
        <v>13</v>
      </c>
      <c r="BI15">
        <v>17</v>
      </c>
      <c r="BO15">
        <v>13</v>
      </c>
      <c r="BP15">
        <v>14</v>
      </c>
      <c r="BV15">
        <v>13</v>
      </c>
      <c r="BW15">
        <v>13</v>
      </c>
      <c r="BX15" s="84">
        <f>(BW15*'Dane dla CO'!$T$53+'Dane dla CO'!$V$53)/(BW15*'Dane dla CO'!$P$35+'Dane dla CO'!$Q$35)</f>
        <v>19.083912037037027</v>
      </c>
      <c r="BY15" s="84">
        <f>BW15*'Dane dla CO'!$N$96+'Dane dla CO'!$N$97</f>
        <v>21.600000000000009</v>
      </c>
      <c r="BZ15" s="84">
        <f>IF(BW15&lt;'Dane dla CO'!$R$67,0,IF(BX15&gt;1,BY15,BX15*BY15))</f>
        <v>21.600000000000009</v>
      </c>
      <c r="CA15" s="84">
        <f>BY15-BZ15</f>
        <v>0</v>
      </c>
      <c r="CB15" s="84">
        <f>(BW15*'Dane dla CWU'!$T$53+'Dane dla CWU'!$V$53)/(BW15*'Dane dla CO'!$P$35+'Dane dla CO'!$Q$35)</f>
        <v>19.582175925925917</v>
      </c>
      <c r="CC15" s="84">
        <f>$E$42/365</f>
        <v>10.319026666666666</v>
      </c>
      <c r="CD15" s="84">
        <f>IF(BW15&lt;'Dane dla CWU'!$R$67,0,IF(CB15&gt;1,CC15,CB15*CC15))</f>
        <v>10.319026666666666</v>
      </c>
      <c r="CE15" s="84">
        <f>CC15-CD15</f>
        <v>0</v>
      </c>
      <c r="CG15">
        <v>13</v>
      </c>
      <c r="CH15">
        <v>8</v>
      </c>
      <c r="CI15" s="84">
        <f>(CH15*'Dane dla CO'!$T$53+'Dane dla CO'!$V$53)/(CH15*'Dane dla CO'!$P$35+'Dane dla CO'!$Q$35)</f>
        <v>5.0575810185185182</v>
      </c>
      <c r="CJ15" s="84">
        <f>CH15*'Dane dla CO'!$N$96+'Dane dla CO'!$N$97</f>
        <v>57.600000000000009</v>
      </c>
      <c r="CK15" s="84">
        <f>IF(CH15&lt;'Dane dla CO'!$R$67,0,IF(CI15&gt;1,CJ15,CI15*CJ15))</f>
        <v>57.600000000000009</v>
      </c>
      <c r="CL15" s="84">
        <f t="shared" si="0"/>
        <v>0</v>
      </c>
      <c r="CM15" s="84">
        <f>(CH15*'Dane dla CWU'!$T$53+'Dane dla CWU'!$V$53)/(CH15*'Dane dla CO'!$P$35+'Dane dla CO'!$Q$35)</f>
        <v>5.1174768518518521</v>
      </c>
      <c r="CN15" s="84">
        <f t="shared" si="1"/>
        <v>10.319026666666666</v>
      </c>
      <c r="CO15" s="84">
        <f>IF(CH15&lt;'Dane dla CWU'!$R$67,0,IF(CM15&gt;1,CN15,CM15*CN15))</f>
        <v>10.319026666666666</v>
      </c>
      <c r="CP15" s="84">
        <f t="shared" si="2"/>
        <v>0</v>
      </c>
      <c r="CR15">
        <v>13</v>
      </c>
      <c r="CS15">
        <v>6</v>
      </c>
      <c r="CT15" s="84">
        <f>(CS15*'Dane dla CO'!$T$53+'Dane dla CO'!$V$53)/(CS15*'Dane dla CO'!$P$35+'Dane dla CO'!$Q$35)</f>
        <v>3.8107960390946491</v>
      </c>
      <c r="CU15" s="84">
        <f>CS15*'Dane dla CO'!$N$96+'Dane dla CO'!$N$97</f>
        <v>72.000000000000014</v>
      </c>
      <c r="CV15" s="84">
        <f>IF(CS15&lt;'Dane dla CO'!$R$67,0,IF(CT15&gt;1,CU15,CT15*CU15))</f>
        <v>72.000000000000014</v>
      </c>
      <c r="CW15" s="84">
        <f t="shared" si="3"/>
        <v>0</v>
      </c>
      <c r="CX15" s="84">
        <f>(CS15*'Dane dla CWU'!$T$53+'Dane dla CWU'!$V$53)/(CS15*'Dane dla CO'!$P$35+'Dane dla CO'!$Q$35)</f>
        <v>3.8317258230452675</v>
      </c>
      <c r="CY15" s="84">
        <f t="shared" si="4"/>
        <v>10.319026666666666</v>
      </c>
      <c r="CZ15" s="84">
        <f>IF(CS15&lt;'Dane dla CWU'!$R$67,0,IF(CX15&gt;1,CY15,CX15*CY15))</f>
        <v>10.319026666666666</v>
      </c>
      <c r="DA15" s="84">
        <f t="shared" si="5"/>
        <v>0</v>
      </c>
      <c r="DC15">
        <v>13</v>
      </c>
      <c r="DD15">
        <v>-6</v>
      </c>
      <c r="DE15" s="84">
        <f>(DD15*'Dane dla CO'!$T$53+'Dane dla CO'!$V$53)/(DD15*'Dane dla CO'!$P$35+'Dane dla CO'!$Q$35)</f>
        <v>1.3172260802469133</v>
      </c>
      <c r="DF15" s="84">
        <f>DD15*'Dane dla CO'!$N$96+'Dane dla CO'!$N$97</f>
        <v>158.40000000000003</v>
      </c>
      <c r="DG15" s="84">
        <f>IF(DD15&lt;'Dane dla CO'!$R$67,0,IF(DE15&gt;1,DF15,DE15*DF15))</f>
        <v>158.40000000000003</v>
      </c>
      <c r="DH15" s="84">
        <f t="shared" si="6"/>
        <v>0</v>
      </c>
      <c r="DI15" s="84">
        <f>(DD15*'Dane dla CWU'!$T$53+'Dane dla CWU'!$V$53)/(DD15*'Dane dla CO'!$P$35+'Dane dla CO'!$Q$35)</f>
        <v>1.2602237654320987</v>
      </c>
      <c r="DJ15" s="84">
        <f t="shared" si="7"/>
        <v>10.319026666666666</v>
      </c>
      <c r="DK15" s="84">
        <f>IF(DD15&lt;'Dane dla CWU'!$R$67,0,IF(DI15&gt;1,DJ15,DI15*DJ15))</f>
        <v>0</v>
      </c>
      <c r="DL15" s="84">
        <f t="shared" si="8"/>
        <v>10.319026666666666</v>
      </c>
      <c r="DM15" s="49">
        <v>-10</v>
      </c>
      <c r="DN15" s="94">
        <f>DO15*'Dane dla CO'!$N$80</f>
        <v>881.63265306122469</v>
      </c>
      <c r="DO15" s="94">
        <f>(15-DS15)/35*'Dane dla CO'!$N$75</f>
        <v>7.7142857142857153</v>
      </c>
      <c r="DP15" s="94">
        <f t="shared" si="31"/>
        <v>176.32653061224494</v>
      </c>
      <c r="DQ15" s="51">
        <v>-10</v>
      </c>
      <c r="DR15" s="130">
        <v>5</v>
      </c>
      <c r="DS15" s="130">
        <v>-10</v>
      </c>
      <c r="DT15" s="89">
        <f>Wykresy!Y13</f>
        <v>49</v>
      </c>
      <c r="DU15" s="90">
        <f>Wykresy!AE13</f>
        <v>31.333333333333336</v>
      </c>
      <c r="DV15" s="92">
        <v>4.0999999999999996</v>
      </c>
      <c r="DW15" s="92">
        <v>2.4500000000000002</v>
      </c>
      <c r="DX15" s="92">
        <f t="shared" si="24"/>
        <v>1.6734693877551017</v>
      </c>
      <c r="DY15" s="86">
        <v>6</v>
      </c>
      <c r="DZ15" s="86">
        <v>2.5299999999999998</v>
      </c>
      <c r="EA15" s="96">
        <f t="shared" si="37"/>
        <v>2.3715415019762847</v>
      </c>
      <c r="EB15" s="85">
        <f t="shared" si="39"/>
        <v>5</v>
      </c>
      <c r="EC15" s="85">
        <f t="shared" si="26"/>
        <v>3.7188208616780037E-2</v>
      </c>
      <c r="ED15" s="92">
        <f>'Energia 221.A29'!P12</f>
        <v>3.3092039618009972</v>
      </c>
      <c r="EE15" s="86">
        <f t="shared" si="40"/>
        <v>5</v>
      </c>
      <c r="EF15" s="86">
        <f t="shared" si="28"/>
        <v>5.2700922266139663E-2</v>
      </c>
      <c r="EG15" s="96">
        <f>'Energia 221.A29'!S12</f>
        <v>4.4104317802687749</v>
      </c>
      <c r="EI15" s="130">
        <v>5</v>
      </c>
      <c r="EJ15" s="130">
        <f t="shared" si="34"/>
        <v>18</v>
      </c>
      <c r="EK15" s="130">
        <v>-10</v>
      </c>
      <c r="EL15" s="89">
        <v>55</v>
      </c>
      <c r="EM15" s="92">
        <f t="shared" si="41"/>
        <v>7.3412499999999987</v>
      </c>
      <c r="EN15" s="92">
        <f t="shared" si="42"/>
        <v>4.0262500000000001</v>
      </c>
      <c r="EO15" s="92">
        <f t="shared" si="38"/>
        <v>1.8233467867122009</v>
      </c>
      <c r="EP15" s="85">
        <f t="shared" si="29"/>
        <v>5</v>
      </c>
      <c r="EQ15" s="85">
        <f t="shared" si="30"/>
        <v>4.0518817482493356E-2</v>
      </c>
      <c r="ER15" s="92">
        <f>'Energia 221.A29'!V12</f>
        <v>2.7871869032497174</v>
      </c>
      <c r="EZ15" t="s">
        <v>276</v>
      </c>
      <c r="FD15" s="103">
        <f>FL4+FL7</f>
        <v>4976.7595699992207</v>
      </c>
      <c r="FE15" s="103"/>
      <c r="FF15" s="103">
        <f>IF(FD14&lt;FD15,0,FD14-FD15)</f>
        <v>265.76222016616612</v>
      </c>
      <c r="FG15" s="103"/>
    </row>
    <row r="16" spans="1:170">
      <c r="A16" s="162"/>
      <c r="B16">
        <v>14</v>
      </c>
      <c r="C16">
        <v>0</v>
      </c>
      <c r="D16" s="84">
        <f>(C16*'Dane dla CO'!$T$53+'Dane dla CO'!$V$53)/(C16*'Dane dla CO'!$P$35+'Dane dla CO'!$Q$35)</f>
        <v>2.0652970679012341</v>
      </c>
      <c r="E16" s="84">
        <f>C16*'Dane dla CO'!$N$96+'Dane dla CO'!$N$97</f>
        <v>115.20000000000002</v>
      </c>
      <c r="F16" s="84">
        <f>IF(C16&lt;'Dane dla CO'!$R$67,0,IF(D16&gt;1,E16,D16*E16))</f>
        <v>115.20000000000002</v>
      </c>
      <c r="G16" s="84">
        <f t="shared" si="9"/>
        <v>0</v>
      </c>
      <c r="H16" s="84">
        <f>(C16*'Dane dla CWU'!$AB$53+'Dane dla CWU'!$AD$53)/(C16*'Dane dla CO'!$P$35+'Dane dla CO'!$Q$35)</f>
        <v>1.0394375857338818</v>
      </c>
      <c r="I16" s="84">
        <f t="shared" si="10"/>
        <v>10.319026666666666</v>
      </c>
      <c r="J16" s="84">
        <f>IF(C16&lt;'Dane dla CWU'!$R$67,0,IF(H16&gt;1,I16,H16*I16))</f>
        <v>0</v>
      </c>
      <c r="K16" s="84">
        <f t="shared" si="11"/>
        <v>10.319026666666666</v>
      </c>
      <c r="M16">
        <v>14</v>
      </c>
      <c r="N16">
        <v>-3</v>
      </c>
      <c r="O16" s="84">
        <f>(N16*'Dane dla CO'!$T$53+'Dane dla CO'!$V$53)/(N16*'Dane dla CO'!$P$35+'Dane dla CO'!$Q$35)</f>
        <v>1.6289223251028804</v>
      </c>
      <c r="P16" s="84">
        <f>N16*'Dane dla CO'!$N$96+'Dane dla CO'!$N$97</f>
        <v>136.80000000000001</v>
      </c>
      <c r="Q16" s="84">
        <f>IF(N16&lt;'Dane dla CO'!$R$67,0,IF(O16&gt;1,P16,O16*P16))</f>
        <v>136.80000000000001</v>
      </c>
      <c r="R16" s="84">
        <f t="shared" si="12"/>
        <v>0</v>
      </c>
      <c r="S16" s="84">
        <f>(N16*'Dane dla CWU'!$T$53+'Dane dla CWU'!$V$53)/(N16*'Dane dla CO'!$P$35+'Dane dla CO'!$Q$35)</f>
        <v>1.5816615226337447</v>
      </c>
      <c r="T16" s="84">
        <f t="shared" si="13"/>
        <v>10.319026666666666</v>
      </c>
      <c r="U16" s="84">
        <f>IF(N16&lt;'Dane dla CWU'!$R$67,0,IF(S16&gt;1,T16,S16*T16))</f>
        <v>0</v>
      </c>
      <c r="V16" s="84">
        <f t="shared" si="14"/>
        <v>10.319026666666666</v>
      </c>
      <c r="X16">
        <v>14</v>
      </c>
      <c r="Y16">
        <v>6</v>
      </c>
      <c r="Z16" s="84">
        <f>(Y16*'Dane dla CO'!$T$53+'Dane dla CO'!$V$53)/(Y16*'Dane dla CO'!$P$35+'Dane dla CO'!$Q$35)</f>
        <v>3.8107960390946491</v>
      </c>
      <c r="AA16" s="84">
        <f>Y16*'Dane dla CO'!$N$96+'Dane dla CO'!$N$97</f>
        <v>72.000000000000014</v>
      </c>
      <c r="AB16" s="84">
        <f>IF(Y16&lt;'Dane dla CO'!$R$67,0,IF(Z16&gt;1,AA16,Z16*AA16))</f>
        <v>72.000000000000014</v>
      </c>
      <c r="AC16" s="84">
        <f t="shared" si="15"/>
        <v>0</v>
      </c>
      <c r="AD16" s="84">
        <f>(Y16*'Dane dla CWU'!$T$53+'Dane dla CWU'!$V$53)/(Y16*'Dane dla CO'!$P$35+'Dane dla CO'!$Q$35)</f>
        <v>3.8317258230452675</v>
      </c>
      <c r="AE16" s="84">
        <f t="shared" si="16"/>
        <v>10.319026666666666</v>
      </c>
      <c r="AF16" s="84">
        <f>IF(Y16&lt;'Dane dla CWU'!$R$67,0,IF(AD16&gt;1,AE16,AD16*AE16))</f>
        <v>10.319026666666666</v>
      </c>
      <c r="AG16" s="84">
        <f t="shared" si="17"/>
        <v>0</v>
      </c>
      <c r="AI16">
        <v>14</v>
      </c>
      <c r="AJ16">
        <v>10</v>
      </c>
      <c r="AK16" s="84">
        <f>(AJ16*'Dane dla CO'!$T$53+'Dane dla CO'!$V$53)/(AJ16*'Dane dla CO'!$P$35+'Dane dla CO'!$Q$35)</f>
        <v>7.3017939814814818</v>
      </c>
      <c r="AL16" s="84">
        <f>AJ16*'Dane dla CO'!$N$96+'Dane dla CO'!$N$97</f>
        <v>43.2</v>
      </c>
      <c r="AM16" s="84">
        <f>IF(AJ16&lt;'Dane dla CO'!$R$67,0,IF(AK16&gt;1,AL16,AK16*AL16))</f>
        <v>43.2</v>
      </c>
      <c r="AN16" s="84">
        <f t="shared" si="18"/>
        <v>0</v>
      </c>
      <c r="AO16" s="84">
        <f>(AJ16*'Dane dla CWU'!$T$53+'Dane dla CWU'!$V$53)/(AJ16*'Dane dla CO'!$P$35+'Dane dla CO'!$Q$35)</f>
        <v>7.4318287037037045</v>
      </c>
      <c r="AP16" s="84">
        <f t="shared" si="19"/>
        <v>10.319026666666666</v>
      </c>
      <c r="AQ16" s="84">
        <f>IF(AJ16&lt;'Dane dla CWU'!$R$67,0,IF(AO16&gt;1,AP16,AO16*AP16))</f>
        <v>10.319026666666666</v>
      </c>
      <c r="AR16" s="84">
        <f t="shared" si="20"/>
        <v>0</v>
      </c>
      <c r="AT16">
        <v>14</v>
      </c>
      <c r="AU16">
        <v>10</v>
      </c>
      <c r="BA16">
        <v>14</v>
      </c>
      <c r="BB16">
        <v>15</v>
      </c>
      <c r="BH16">
        <v>14</v>
      </c>
      <c r="BI16">
        <v>18</v>
      </c>
      <c r="BO16">
        <v>14</v>
      </c>
      <c r="BP16">
        <v>14</v>
      </c>
      <c r="BV16">
        <v>14</v>
      </c>
      <c r="BW16">
        <v>12</v>
      </c>
      <c r="BX16" s="84">
        <f>(BW16*'Dane dla CO'!$T$53+'Dane dla CO'!$V$53)/(BW16*'Dane dla CO'!$P$35+'Dane dla CO'!$Q$35)</f>
        <v>12.538290895061728</v>
      </c>
      <c r="BY16" s="84">
        <f>BW16*'Dane dla CO'!$N$96+'Dane dla CO'!$N$97</f>
        <v>28.800000000000011</v>
      </c>
      <c r="BZ16" s="84">
        <f>IF(BW16&lt;'Dane dla CO'!$R$67,0,IF(BX16&gt;1,BY16,BX16*BY16))</f>
        <v>28.800000000000011</v>
      </c>
      <c r="CA16" s="84">
        <f t="shared" ref="CA16:CA32" si="43">BY16-BZ16</f>
        <v>0</v>
      </c>
      <c r="CB16" s="84">
        <f>(BW16*'Dane dla CWU'!$T$53+'Dane dla CWU'!$V$53)/(BW16*'Dane dla CO'!$P$35+'Dane dla CO'!$Q$35)</f>
        <v>12.831983024691358</v>
      </c>
      <c r="CC16" s="84">
        <f t="shared" ref="CC16:CC32" si="44">$E$42/365</f>
        <v>10.319026666666666</v>
      </c>
      <c r="CD16" s="84">
        <f>IF(BW16&lt;'Dane dla CWU'!$R$67,0,IF(CB16&gt;1,CC16,CB16*CC16))</f>
        <v>10.319026666666666</v>
      </c>
      <c r="CE16" s="84">
        <f t="shared" ref="CE16:CE32" si="45">CC16-CD16</f>
        <v>0</v>
      </c>
      <c r="CG16">
        <v>14</v>
      </c>
      <c r="CH16">
        <v>10</v>
      </c>
      <c r="CI16" s="84">
        <f>(CH16*'Dane dla CO'!$T$53+'Dane dla CO'!$V$53)/(CH16*'Dane dla CO'!$P$35+'Dane dla CO'!$Q$35)</f>
        <v>7.3017939814814818</v>
      </c>
      <c r="CJ16" s="84">
        <f>CH16*'Dane dla CO'!$N$96+'Dane dla CO'!$N$97</f>
        <v>43.2</v>
      </c>
      <c r="CK16" s="84">
        <f>IF(CH16&lt;'Dane dla CO'!$R$67,0,IF(CI16&gt;1,CJ16,CI16*CJ16))</f>
        <v>43.2</v>
      </c>
      <c r="CL16" s="84">
        <f t="shared" si="0"/>
        <v>0</v>
      </c>
      <c r="CM16" s="84">
        <f>(CH16*'Dane dla CWU'!$T$53+'Dane dla CWU'!$V$53)/(CH16*'Dane dla CO'!$P$35+'Dane dla CO'!$Q$35)</f>
        <v>7.4318287037037045</v>
      </c>
      <c r="CN16" s="84">
        <f t="shared" si="1"/>
        <v>10.319026666666666</v>
      </c>
      <c r="CO16" s="84">
        <f>IF(CH16&lt;'Dane dla CWU'!$R$67,0,IF(CM16&gt;1,CN16,CM16*CN16))</f>
        <v>10.319026666666666</v>
      </c>
      <c r="CP16" s="84">
        <f t="shared" si="2"/>
        <v>0</v>
      </c>
      <c r="CR16">
        <v>14</v>
      </c>
      <c r="CS16">
        <v>2</v>
      </c>
      <c r="CT16" s="84">
        <f>(CS16*'Dane dla CO'!$T$53+'Dane dla CO'!$V$53)/(CS16*'Dane dla CO'!$P$35+'Dane dla CO'!$Q$35)</f>
        <v>2.4681045227920229</v>
      </c>
      <c r="CU16" s="84">
        <f>CS16*'Dane dla CO'!$N$96+'Dane dla CO'!$N$97</f>
        <v>100.80000000000001</v>
      </c>
      <c r="CV16" s="84">
        <f>IF(CS16&lt;'Dane dla CO'!$R$67,0,IF(CT16&gt;1,CU16,CT16*CU16))</f>
        <v>100.80000000000001</v>
      </c>
      <c r="CW16" s="84">
        <f t="shared" si="3"/>
        <v>0</v>
      </c>
      <c r="CX16" s="84">
        <f>(CS16*'Dane dla CWU'!$T$53+'Dane dla CWU'!$V$53)/(CS16*'Dane dla CO'!$P$35+'Dane dla CO'!$Q$35)</f>
        <v>2.4470708689458691</v>
      </c>
      <c r="CY16" s="84">
        <f t="shared" si="4"/>
        <v>10.319026666666666</v>
      </c>
      <c r="CZ16" s="84">
        <f>IF(CS16&lt;'Dane dla CWU'!$R$67,0,IF(CX16&gt;1,CY16,CX16*CY16))</f>
        <v>0</v>
      </c>
      <c r="DA16" s="84">
        <f t="shared" si="5"/>
        <v>10.319026666666666</v>
      </c>
      <c r="DC16">
        <v>14</v>
      </c>
      <c r="DD16">
        <v>-5</v>
      </c>
      <c r="DE16" s="84">
        <f>(DD16*'Dane dla CO'!$T$53+'Dane dla CO'!$V$53)/(DD16*'Dane dla CO'!$P$35+'Dane dla CO'!$Q$35)</f>
        <v>1.4107349537037033</v>
      </c>
      <c r="DF16" s="84">
        <f>DD16*'Dane dla CO'!$N$96+'Dane dla CO'!$N$97</f>
        <v>151.20000000000002</v>
      </c>
      <c r="DG16" s="84">
        <f>IF(DD16&lt;'Dane dla CO'!$R$67,0,IF(DE16&gt;1,DF16,DE16*DF16))</f>
        <v>151.20000000000002</v>
      </c>
      <c r="DH16" s="84">
        <f t="shared" si="6"/>
        <v>0</v>
      </c>
      <c r="DI16" s="84">
        <f>(DD16*'Dane dla CWU'!$T$53+'Dane dla CWU'!$V$53)/(DD16*'Dane dla CO'!$P$35+'Dane dla CO'!$Q$35)</f>
        <v>1.3566550925925924</v>
      </c>
      <c r="DJ16" s="84">
        <f t="shared" si="7"/>
        <v>10.319026666666666</v>
      </c>
      <c r="DK16" s="84">
        <f>IF(DD16&lt;'Dane dla CWU'!$R$67,0,IF(DI16&gt;1,DJ16,DI16*DJ16))</f>
        <v>0</v>
      </c>
      <c r="DL16" s="84">
        <f t="shared" si="8"/>
        <v>10.319026666666666</v>
      </c>
      <c r="DM16" s="49">
        <v>-10</v>
      </c>
      <c r="DN16" s="94">
        <f>DO16*'Dane dla CO'!$N$80</f>
        <v>846.36734693877565</v>
      </c>
      <c r="DO16" s="94">
        <f>(15-DS16)/35*'Dane dla CO'!$N$75</f>
        <v>7.4057142857142866</v>
      </c>
      <c r="DP16" s="94">
        <f t="shared" si="31"/>
        <v>846.36734693877565</v>
      </c>
      <c r="DQ16" s="51">
        <v>-10</v>
      </c>
      <c r="DR16" s="130">
        <v>1</v>
      </c>
      <c r="DS16" s="130">
        <v>-9</v>
      </c>
      <c r="DT16" s="89">
        <f>Wykresy!Y14</f>
        <v>48.4</v>
      </c>
      <c r="DU16" s="90">
        <f>Wykresy!AE14</f>
        <v>30.966666666666669</v>
      </c>
      <c r="DV16" s="92">
        <f>(($DV$18-$DV$15)/3)*1+$DV$15</f>
        <v>5.5216666666666665</v>
      </c>
      <c r="DW16" s="92">
        <v>2.46</v>
      </c>
      <c r="DX16" s="92">
        <f t="shared" si="24"/>
        <v>2.2445799457994577</v>
      </c>
      <c r="DY16" s="86">
        <f>(($DY$18-$DY$15)/3)*1+$DY$15</f>
        <v>7.333333333333333</v>
      </c>
      <c r="DZ16" s="86">
        <v>2.5299999999999998</v>
      </c>
      <c r="EA16" s="96">
        <f t="shared" si="37"/>
        <v>2.8985507246376812</v>
      </c>
      <c r="EB16" s="85">
        <f t="shared" si="39"/>
        <v>1</v>
      </c>
      <c r="EC16" s="85">
        <f t="shared" si="26"/>
        <v>9.9759108702198122E-3</v>
      </c>
      <c r="ED16" s="92">
        <f>'Energia 221.A29'!P13</f>
        <v>3.4018195953488921</v>
      </c>
      <c r="EE16" s="86">
        <f t="shared" si="40"/>
        <v>1</v>
      </c>
      <c r="EF16" s="86">
        <f t="shared" si="28"/>
        <v>1.2882447665056361E-2</v>
      </c>
      <c r="EG16" s="96">
        <f>'Energia 221.A29'!S13</f>
        <v>4.5258741740745343</v>
      </c>
      <c r="EI16" s="130">
        <v>1</v>
      </c>
      <c r="EJ16" s="130">
        <f t="shared" si="34"/>
        <v>19</v>
      </c>
      <c r="EK16" s="130">
        <v>-9</v>
      </c>
      <c r="EL16" s="89">
        <v>55</v>
      </c>
      <c r="EM16" s="92">
        <f t="shared" si="41"/>
        <v>7.5474999999999985</v>
      </c>
      <c r="EN16" s="92">
        <f t="shared" si="42"/>
        <v>4.0175000000000001</v>
      </c>
      <c r="EO16" s="92">
        <f t="shared" si="38"/>
        <v>1.8786558805227127</v>
      </c>
      <c r="EP16" s="85">
        <f t="shared" si="29"/>
        <v>1</v>
      </c>
      <c r="EQ16" s="85">
        <f t="shared" si="30"/>
        <v>8.3495816912120564E-3</v>
      </c>
      <c r="ER16" s="92">
        <f>'Energia 221.A29'!V13</f>
        <v>2.801035180786176</v>
      </c>
      <c r="EZ16" t="s">
        <v>257</v>
      </c>
      <c r="FD16" s="103">
        <f>IF(FD13&lt;FD14,0,FD13-FD14)</f>
        <v>1131.1348000134685</v>
      </c>
      <c r="FE16" s="103"/>
      <c r="FL16" s="103"/>
      <c r="FM16" s="103"/>
      <c r="FN16" s="103"/>
    </row>
    <row r="17" spans="1:169">
      <c r="A17" s="162"/>
      <c r="B17">
        <v>15</v>
      </c>
      <c r="C17">
        <v>0</v>
      </c>
      <c r="D17" s="84">
        <f>(C17*'Dane dla CO'!$T$53+'Dane dla CO'!$V$53)/(C17*'Dane dla CO'!$P$35+'Dane dla CO'!$Q$35)</f>
        <v>2.0652970679012341</v>
      </c>
      <c r="E17" s="84">
        <f>C17*'Dane dla CO'!$N$96+'Dane dla CO'!$N$97</f>
        <v>115.20000000000002</v>
      </c>
      <c r="F17" s="84">
        <f>IF(C17&lt;'Dane dla CO'!$R$67,0,IF(D17&gt;1,E17,D17*E17))</f>
        <v>115.20000000000002</v>
      </c>
      <c r="G17" s="84">
        <f t="shared" si="9"/>
        <v>0</v>
      </c>
      <c r="H17" s="84">
        <f>(C17*'Dane dla CWU'!$AB$53+'Dane dla CWU'!$AD$53)/(C17*'Dane dla CO'!$P$35+'Dane dla CO'!$Q$35)</f>
        <v>1.0394375857338818</v>
      </c>
      <c r="I17" s="84">
        <f t="shared" si="10"/>
        <v>10.319026666666666</v>
      </c>
      <c r="J17" s="84">
        <f>IF(C17&lt;'Dane dla CWU'!$R$67,0,IF(H17&gt;1,I17,H17*I17))</f>
        <v>0</v>
      </c>
      <c r="K17" s="84">
        <f t="shared" si="11"/>
        <v>10.319026666666666</v>
      </c>
      <c r="M17">
        <v>15</v>
      </c>
      <c r="N17">
        <v>0</v>
      </c>
      <c r="O17" s="84">
        <f>(N17*'Dane dla CO'!$T$53+'Dane dla CO'!$V$53)/(N17*'Dane dla CO'!$P$35+'Dane dla CO'!$Q$35)</f>
        <v>2.0652970679012341</v>
      </c>
      <c r="P17" s="84">
        <f>N17*'Dane dla CO'!$N$96+'Dane dla CO'!$N$97</f>
        <v>115.20000000000002</v>
      </c>
      <c r="Q17" s="84">
        <f>IF(N17&lt;'Dane dla CO'!$R$67,0,IF(O17&gt;1,P17,O17*P17))</f>
        <v>115.20000000000002</v>
      </c>
      <c r="R17" s="84">
        <f t="shared" si="12"/>
        <v>0</v>
      </c>
      <c r="S17" s="84">
        <f>(N17*'Dane dla CWU'!$T$53+'Dane dla CWU'!$V$53)/(N17*'Dane dla CO'!$P$35+'Dane dla CO'!$Q$35)</f>
        <v>2.0316743827160493</v>
      </c>
      <c r="T17" s="84">
        <f t="shared" si="13"/>
        <v>10.319026666666666</v>
      </c>
      <c r="U17" s="84">
        <f>IF(N17&lt;'Dane dla CWU'!$R$67,0,IF(S17&gt;1,T17,S17*T17))</f>
        <v>0</v>
      </c>
      <c r="V17" s="84">
        <f t="shared" si="14"/>
        <v>10.319026666666666</v>
      </c>
      <c r="X17">
        <v>15</v>
      </c>
      <c r="Y17">
        <v>5</v>
      </c>
      <c r="Z17" s="84">
        <f>(Y17*'Dane dla CO'!$T$53+'Dane dla CO'!$V$53)/(Y17*'Dane dla CO'!$P$35+'Dane dla CO'!$Q$35)</f>
        <v>3.3744212962962958</v>
      </c>
      <c r="AA17" s="84">
        <f>Y17*'Dane dla CO'!$N$96+'Dane dla CO'!$N$97</f>
        <v>79.200000000000017</v>
      </c>
      <c r="AB17" s="84">
        <f>IF(Y17&lt;'Dane dla CO'!$R$67,0,IF(Z17&gt;1,AA17,Z17*AA17))</f>
        <v>79.200000000000017</v>
      </c>
      <c r="AC17" s="84">
        <f t="shared" si="15"/>
        <v>0</v>
      </c>
      <c r="AD17" s="84">
        <f>(Y17*'Dane dla CWU'!$T$53+'Dane dla CWU'!$V$53)/(Y17*'Dane dla CO'!$P$35+'Dane dla CO'!$Q$35)</f>
        <v>3.381712962962963</v>
      </c>
      <c r="AE17" s="84">
        <f t="shared" si="16"/>
        <v>10.319026666666666</v>
      </c>
      <c r="AF17" s="84">
        <f>IF(Y17&lt;'Dane dla CWU'!$R$67,0,IF(AD17&gt;1,AE17,AD17*AE17))</f>
        <v>10.319026666666666</v>
      </c>
      <c r="AG17" s="84">
        <f t="shared" si="17"/>
        <v>0</v>
      </c>
      <c r="AI17">
        <v>15</v>
      </c>
      <c r="AJ17">
        <v>10</v>
      </c>
      <c r="AK17" s="84">
        <f>(AJ17*'Dane dla CO'!$T$53+'Dane dla CO'!$V$53)/(AJ17*'Dane dla CO'!$P$35+'Dane dla CO'!$Q$35)</f>
        <v>7.3017939814814818</v>
      </c>
      <c r="AL17" s="84">
        <f>AJ17*'Dane dla CO'!$N$96+'Dane dla CO'!$N$97</f>
        <v>43.2</v>
      </c>
      <c r="AM17" s="84">
        <f>IF(AJ17&lt;'Dane dla CO'!$R$67,0,IF(AK17&gt;1,AL17,AK17*AL17))</f>
        <v>43.2</v>
      </c>
      <c r="AN17" s="84">
        <f t="shared" si="18"/>
        <v>0</v>
      </c>
      <c r="AO17" s="84">
        <f>(AJ17*'Dane dla CWU'!$T$53+'Dane dla CWU'!$V$53)/(AJ17*'Dane dla CO'!$P$35+'Dane dla CO'!$Q$35)</f>
        <v>7.4318287037037045</v>
      </c>
      <c r="AP17" s="84">
        <f t="shared" si="19"/>
        <v>10.319026666666666</v>
      </c>
      <c r="AQ17" s="84">
        <f>IF(AJ17&lt;'Dane dla CWU'!$R$67,0,IF(AO17&gt;1,AP17,AO17*AP17))</f>
        <v>10.319026666666666</v>
      </c>
      <c r="AR17" s="84">
        <f t="shared" si="20"/>
        <v>0</v>
      </c>
      <c r="AT17">
        <v>15</v>
      </c>
      <c r="AU17">
        <v>10</v>
      </c>
      <c r="BA17">
        <v>15</v>
      </c>
      <c r="BB17">
        <v>16</v>
      </c>
      <c r="BH17">
        <v>15</v>
      </c>
      <c r="BI17">
        <v>19</v>
      </c>
      <c r="BO17">
        <v>15</v>
      </c>
      <c r="BP17">
        <v>16</v>
      </c>
      <c r="BV17">
        <v>15</v>
      </c>
      <c r="BW17">
        <v>13</v>
      </c>
      <c r="BX17" s="84">
        <f>(BW17*'Dane dla CO'!$T$53+'Dane dla CO'!$V$53)/(BW17*'Dane dla CO'!$P$35+'Dane dla CO'!$Q$35)</f>
        <v>19.083912037037027</v>
      </c>
      <c r="BY17" s="84">
        <f>BW17*'Dane dla CO'!$N$96+'Dane dla CO'!$N$97</f>
        <v>21.600000000000009</v>
      </c>
      <c r="BZ17" s="84">
        <f>IF(BW17&lt;'Dane dla CO'!$R$67,0,IF(BX17&gt;1,BY17,BX17*BY17))</f>
        <v>21.600000000000009</v>
      </c>
      <c r="CA17" s="84">
        <f t="shared" si="43"/>
        <v>0</v>
      </c>
      <c r="CB17" s="84">
        <f>(BW17*'Dane dla CWU'!$T$53+'Dane dla CWU'!$V$53)/(BW17*'Dane dla CO'!$P$35+'Dane dla CO'!$Q$35)</f>
        <v>19.582175925925917</v>
      </c>
      <c r="CC17" s="84">
        <f t="shared" si="44"/>
        <v>10.319026666666666</v>
      </c>
      <c r="CD17" s="84">
        <f>IF(BW17&lt;'Dane dla CWU'!$R$67,0,IF(CB17&gt;1,CC17,CB17*CC17))</f>
        <v>10.319026666666666</v>
      </c>
      <c r="CE17" s="84">
        <f t="shared" si="45"/>
        <v>0</v>
      </c>
      <c r="CG17">
        <v>15</v>
      </c>
      <c r="CH17">
        <v>11</v>
      </c>
      <c r="CI17" s="84">
        <f>(CH17*'Dane dla CO'!$T$53+'Dane dla CO'!$V$53)/(CH17*'Dane dla CO'!$P$35+'Dane dla CO'!$Q$35)</f>
        <v>9.2654803240740726</v>
      </c>
      <c r="CJ17" s="84">
        <f>CH17*'Dane dla CO'!$N$96+'Dane dla CO'!$N$97</f>
        <v>36</v>
      </c>
      <c r="CK17" s="84">
        <f>IF(CH17&lt;'Dane dla CO'!$R$67,0,IF(CI17&gt;1,CJ17,CI17*CJ17))</f>
        <v>36</v>
      </c>
      <c r="CL17" s="84">
        <f t="shared" si="0"/>
        <v>0</v>
      </c>
      <c r="CM17" s="84">
        <f>(CH17*'Dane dla CWU'!$T$53+'Dane dla CWU'!$V$53)/(CH17*'Dane dla CO'!$P$35+'Dane dla CO'!$Q$35)</f>
        <v>9.4568865740740744</v>
      </c>
      <c r="CN17" s="84">
        <f t="shared" si="1"/>
        <v>10.319026666666666</v>
      </c>
      <c r="CO17" s="84">
        <f>IF(CH17&lt;'Dane dla CWU'!$R$67,0,IF(CM17&gt;1,CN17,CM17*CN17))</f>
        <v>10.319026666666666</v>
      </c>
      <c r="CP17" s="84">
        <f t="shared" si="2"/>
        <v>0</v>
      </c>
      <c r="CR17">
        <v>15</v>
      </c>
      <c r="CS17">
        <v>-1</v>
      </c>
      <c r="CT17" s="84">
        <f>(CS17*'Dane dla CO'!$T$53+'Dane dla CO'!$V$53)/(CS17*'Dane dla CO'!$P$35+'Dane dla CO'!$Q$35)</f>
        <v>1.9016565393518516</v>
      </c>
      <c r="CU17" s="84">
        <f>CS17*'Dane dla CO'!$N$96+'Dane dla CO'!$N$97</f>
        <v>122.40000000000002</v>
      </c>
      <c r="CV17" s="84">
        <f>IF(CS17&lt;'Dane dla CO'!$R$67,0,IF(CT17&gt;1,CU17,CT17*CU17))</f>
        <v>122.40000000000002</v>
      </c>
      <c r="CW17" s="84">
        <f t="shared" si="3"/>
        <v>0</v>
      </c>
      <c r="CX17" s="84">
        <f>(CS17*'Dane dla CWU'!$T$53+'Dane dla CWU'!$V$53)/(CS17*'Dane dla CO'!$P$35+'Dane dla CO'!$Q$35)</f>
        <v>1.8629195601851849</v>
      </c>
      <c r="CY17" s="84">
        <f t="shared" si="4"/>
        <v>10.319026666666666</v>
      </c>
      <c r="CZ17" s="84">
        <f>IF(CS17&lt;'Dane dla CWU'!$R$67,0,IF(CX17&gt;1,CY17,CX17*CY17))</f>
        <v>0</v>
      </c>
      <c r="DA17" s="84">
        <f t="shared" si="5"/>
        <v>10.319026666666666</v>
      </c>
      <c r="DC17">
        <v>15</v>
      </c>
      <c r="DD17">
        <v>2</v>
      </c>
      <c r="DE17" s="84">
        <f>(DD17*'Dane dla CO'!$T$53+'Dane dla CO'!$V$53)/(DD17*'Dane dla CO'!$P$35+'Dane dla CO'!$Q$35)</f>
        <v>2.4681045227920229</v>
      </c>
      <c r="DF17" s="84">
        <f>DD17*'Dane dla CO'!$N$96+'Dane dla CO'!$N$97</f>
        <v>100.80000000000001</v>
      </c>
      <c r="DG17" s="84">
        <f>IF(DD17&lt;'Dane dla CO'!$R$67,0,IF(DE17&gt;1,DF17,DE17*DF17))</f>
        <v>100.80000000000001</v>
      </c>
      <c r="DH17" s="84">
        <f t="shared" si="6"/>
        <v>0</v>
      </c>
      <c r="DI17" s="84">
        <f>(DD17*'Dane dla CWU'!$T$53+'Dane dla CWU'!$V$53)/(DD17*'Dane dla CO'!$P$35+'Dane dla CO'!$Q$35)</f>
        <v>2.4470708689458691</v>
      </c>
      <c r="DJ17" s="84">
        <f t="shared" si="7"/>
        <v>10.319026666666666</v>
      </c>
      <c r="DK17" s="84">
        <f>IF(DD17&lt;'Dane dla CWU'!$R$67,0,IF(DI17&gt;1,DJ17,DI17*DJ17))</f>
        <v>0</v>
      </c>
      <c r="DL17" s="84">
        <f t="shared" si="8"/>
        <v>10.319026666666666</v>
      </c>
      <c r="DM17" s="49">
        <v>-10</v>
      </c>
      <c r="DN17" s="94">
        <f>DO17*'Dane dla CO'!$N$80</f>
        <v>811.10204081632662</v>
      </c>
      <c r="DO17" s="94">
        <f>(15-DS17)/35*'Dane dla CO'!$N$75</f>
        <v>7.0971428571428579</v>
      </c>
      <c r="DP17" s="94">
        <f t="shared" si="31"/>
        <v>811.10204081632662</v>
      </c>
      <c r="DQ17" s="51">
        <v>-10</v>
      </c>
      <c r="DR17" s="130">
        <v>0</v>
      </c>
      <c r="DS17" s="130">
        <v>-8</v>
      </c>
      <c r="DT17" s="89">
        <f>Wykresy!Y15</f>
        <v>47.8</v>
      </c>
      <c r="DU17" s="90">
        <f>Wykresy!AE15</f>
        <v>30.6</v>
      </c>
      <c r="DV17" s="92">
        <f>(($DV$18-$DV$15)/3)*2+$DV$15</f>
        <v>6.9433333333333334</v>
      </c>
      <c r="DW17" s="92">
        <v>2.4700000000000002</v>
      </c>
      <c r="DX17" s="92">
        <f t="shared" si="24"/>
        <v>2.8110661268556005</v>
      </c>
      <c r="DY17" s="86">
        <f>(($DY$18-$DY$15)/3)*2+$DY$15</f>
        <v>8.6666666666666661</v>
      </c>
      <c r="DZ17" s="86">
        <v>2.5299999999999998</v>
      </c>
      <c r="EA17" s="96">
        <f t="shared" si="37"/>
        <v>3.4255599472990776</v>
      </c>
      <c r="EB17" s="85">
        <f t="shared" si="39"/>
        <v>0</v>
      </c>
      <c r="EC17" s="85">
        <f t="shared" si="26"/>
        <v>0</v>
      </c>
      <c r="ED17" s="92">
        <f>'Energia 221.A29'!P14</f>
        <v>3.414558913375636</v>
      </c>
      <c r="EE17" s="86">
        <f t="shared" si="40"/>
        <v>0</v>
      </c>
      <c r="EF17" s="86">
        <f t="shared" si="28"/>
        <v>0</v>
      </c>
      <c r="EG17" s="96">
        <f>'Energia 221.A29'!S14</f>
        <v>4.5437883467896025</v>
      </c>
      <c r="EI17" s="130">
        <v>0</v>
      </c>
      <c r="EJ17" s="130">
        <f t="shared" si="34"/>
        <v>19</v>
      </c>
      <c r="EK17" s="130">
        <v>-8</v>
      </c>
      <c r="EL17" s="89">
        <v>55</v>
      </c>
      <c r="EM17" s="92">
        <f t="shared" si="41"/>
        <v>7.7537499999999984</v>
      </c>
      <c r="EN17" s="92">
        <f t="shared" si="42"/>
        <v>4.00875</v>
      </c>
      <c r="EO17" s="92">
        <f t="shared" si="38"/>
        <v>1.9342064234487055</v>
      </c>
      <c r="EP17" s="85">
        <f t="shared" si="29"/>
        <v>0</v>
      </c>
      <c r="EQ17" s="85">
        <f t="shared" si="30"/>
        <v>0</v>
      </c>
      <c r="ER17" s="92">
        <f>'Energia 221.A29'!V14</f>
        <v>2.8036933343892407</v>
      </c>
      <c r="EZ17" t="s">
        <v>207</v>
      </c>
      <c r="FD17" s="103">
        <f>FF15</f>
        <v>265.76222016616612</v>
      </c>
      <c r="FE17" s="103"/>
    </row>
    <row r="18" spans="1:169">
      <c r="A18" s="162"/>
      <c r="B18">
        <v>16</v>
      </c>
      <c r="C18">
        <v>-1</v>
      </c>
      <c r="D18" s="84">
        <f>(C18*'Dane dla CO'!$T$53+'Dane dla CO'!$V$53)/(C18*'Dane dla CO'!$P$35+'Dane dla CO'!$Q$35)</f>
        <v>1.9016565393518516</v>
      </c>
      <c r="E18" s="84">
        <f>C18*'Dane dla CO'!$N$96+'Dane dla CO'!$N$97</f>
        <v>122.40000000000002</v>
      </c>
      <c r="F18" s="84">
        <f>IF(C18&lt;'Dane dla CO'!$R$67,0,IF(D18&gt;1,E18,D18*E18))</f>
        <v>122.40000000000002</v>
      </c>
      <c r="G18" s="84">
        <f t="shared" si="9"/>
        <v>0</v>
      </c>
      <c r="H18" s="84">
        <f>(C18*'Dane dla CWU'!$AB$53+'Dane dla CWU'!$AD$53)/(C18*'Dane dla CO'!$P$35+'Dane dla CO'!$Q$35)</f>
        <v>0.94521604938271586</v>
      </c>
      <c r="I18" s="84">
        <f t="shared" si="10"/>
        <v>10.319026666666666</v>
      </c>
      <c r="J18" s="84">
        <f>IF(C18&lt;'Dane dla CWU'!$R$67,0,IF(H18&gt;1,I18,H18*I18))</f>
        <v>0</v>
      </c>
      <c r="K18" s="84">
        <f t="shared" si="11"/>
        <v>10.319026666666666</v>
      </c>
      <c r="M18">
        <v>16</v>
      </c>
      <c r="N18">
        <v>-1</v>
      </c>
      <c r="O18" s="84">
        <f>(N18*'Dane dla CO'!$T$53+'Dane dla CO'!$V$53)/(N18*'Dane dla CO'!$P$35+'Dane dla CO'!$Q$35)</f>
        <v>1.9016565393518516</v>
      </c>
      <c r="P18" s="84">
        <f>N18*'Dane dla CO'!$N$96+'Dane dla CO'!$N$97</f>
        <v>122.40000000000002</v>
      </c>
      <c r="Q18" s="84">
        <f>IF(N18&lt;'Dane dla CO'!$R$67,0,IF(O18&gt;1,P18,O18*P18))</f>
        <v>122.40000000000002</v>
      </c>
      <c r="R18" s="84">
        <f t="shared" si="12"/>
        <v>0</v>
      </c>
      <c r="S18" s="84">
        <f>(N18*'Dane dla CWU'!$T$53+'Dane dla CWU'!$V$53)/(N18*'Dane dla CO'!$P$35+'Dane dla CO'!$Q$35)</f>
        <v>1.8629195601851849</v>
      </c>
      <c r="T18" s="84">
        <f t="shared" si="13"/>
        <v>10.319026666666666</v>
      </c>
      <c r="U18" s="84">
        <f>IF(N18&lt;'Dane dla CWU'!$R$67,0,IF(S18&gt;1,T18,S18*T18))</f>
        <v>0</v>
      </c>
      <c r="V18" s="84">
        <f t="shared" si="14"/>
        <v>10.319026666666666</v>
      </c>
      <c r="X18">
        <v>16</v>
      </c>
      <c r="Y18">
        <v>6</v>
      </c>
      <c r="Z18" s="84">
        <f>(Y18*'Dane dla CO'!$T$53+'Dane dla CO'!$V$53)/(Y18*'Dane dla CO'!$P$35+'Dane dla CO'!$Q$35)</f>
        <v>3.8107960390946491</v>
      </c>
      <c r="AA18" s="84">
        <f>Y18*'Dane dla CO'!$N$96+'Dane dla CO'!$N$97</f>
        <v>72.000000000000014</v>
      </c>
      <c r="AB18" s="84">
        <f>IF(Y18&lt;'Dane dla CO'!$R$67,0,IF(Z18&gt;1,AA18,Z18*AA18))</f>
        <v>72.000000000000014</v>
      </c>
      <c r="AC18" s="84">
        <f t="shared" si="15"/>
        <v>0</v>
      </c>
      <c r="AD18" s="84">
        <f>(Y18*'Dane dla CWU'!$T$53+'Dane dla CWU'!$V$53)/(Y18*'Dane dla CO'!$P$35+'Dane dla CO'!$Q$35)</f>
        <v>3.8317258230452675</v>
      </c>
      <c r="AE18" s="84">
        <f t="shared" si="16"/>
        <v>10.319026666666666</v>
      </c>
      <c r="AF18" s="84">
        <f>IF(Y18&lt;'Dane dla CWU'!$R$67,0,IF(AD18&gt;1,AE18,AD18*AE18))</f>
        <v>10.319026666666666</v>
      </c>
      <c r="AG18" s="84">
        <f t="shared" si="17"/>
        <v>0</v>
      </c>
      <c r="AI18">
        <v>16</v>
      </c>
      <c r="AJ18">
        <v>9</v>
      </c>
      <c r="AK18" s="84">
        <f>(AJ18*'Dane dla CO'!$T$53+'Dane dla CO'!$V$53)/(AJ18*'Dane dla CO'!$P$35+'Dane dla CO'!$Q$35)</f>
        <v>5.9926697530864192</v>
      </c>
      <c r="AL18" s="84">
        <f>AJ18*'Dane dla CO'!$N$96+'Dane dla CO'!$N$97</f>
        <v>50.400000000000006</v>
      </c>
      <c r="AM18" s="84">
        <f>IF(AJ18&lt;'Dane dla CO'!$R$67,0,IF(AK18&gt;1,AL18,AK18*AL18))</f>
        <v>50.400000000000006</v>
      </c>
      <c r="AN18" s="84">
        <f t="shared" si="18"/>
        <v>0</v>
      </c>
      <c r="AO18" s="84">
        <f>(AJ18*'Dane dla CWU'!$T$53+'Dane dla CWU'!$V$53)/(AJ18*'Dane dla CO'!$P$35+'Dane dla CO'!$Q$35)</f>
        <v>6.0817901234567913</v>
      </c>
      <c r="AP18" s="84">
        <f t="shared" si="19"/>
        <v>10.319026666666666</v>
      </c>
      <c r="AQ18" s="84">
        <f>IF(AJ18&lt;'Dane dla CWU'!$R$67,0,IF(AO18&gt;1,AP18,AO18*AP18))</f>
        <v>10.319026666666666</v>
      </c>
      <c r="AR18" s="84">
        <f t="shared" si="20"/>
        <v>0</v>
      </c>
      <c r="AT18">
        <v>16</v>
      </c>
      <c r="AU18">
        <v>12</v>
      </c>
      <c r="BA18">
        <v>16</v>
      </c>
      <c r="BB18">
        <v>21</v>
      </c>
      <c r="BH18">
        <v>16</v>
      </c>
      <c r="BI18">
        <v>15</v>
      </c>
      <c r="BO18">
        <v>16</v>
      </c>
      <c r="BP18">
        <v>19</v>
      </c>
      <c r="BV18">
        <v>16</v>
      </c>
      <c r="BX18" s="84"/>
      <c r="BY18" s="84"/>
      <c r="BZ18" s="84"/>
      <c r="CA18" s="84"/>
      <c r="CB18" s="84"/>
      <c r="CC18" s="84">
        <f t="shared" si="44"/>
        <v>10.319026666666666</v>
      </c>
      <c r="CD18" s="84">
        <f>IF(BW18&lt;'Dane dla CWU'!$R$67,0,IF(CB18&gt;1,CC18,CB18*CC18))</f>
        <v>0</v>
      </c>
      <c r="CE18" s="84">
        <f t="shared" si="45"/>
        <v>10.319026666666666</v>
      </c>
      <c r="CG18">
        <v>16</v>
      </c>
      <c r="CH18">
        <v>11</v>
      </c>
      <c r="CI18" s="84">
        <f>(CH18*'Dane dla CO'!$T$53+'Dane dla CO'!$V$53)/(CH18*'Dane dla CO'!$P$35+'Dane dla CO'!$Q$35)</f>
        <v>9.2654803240740726</v>
      </c>
      <c r="CJ18" s="84">
        <f>CH18*'Dane dla CO'!$N$96+'Dane dla CO'!$N$97</f>
        <v>36</v>
      </c>
      <c r="CK18" s="84">
        <f>IF(CH18&lt;'Dane dla CO'!$R$67,0,IF(CI18&gt;1,CJ18,CI18*CJ18))</f>
        <v>36</v>
      </c>
      <c r="CL18" s="84">
        <f t="shared" si="0"/>
        <v>0</v>
      </c>
      <c r="CM18" s="84">
        <f>(CH18*'Dane dla CWU'!$T$53+'Dane dla CWU'!$V$53)/(CH18*'Dane dla CO'!$P$35+'Dane dla CO'!$Q$35)</f>
        <v>9.4568865740740744</v>
      </c>
      <c r="CN18" s="84">
        <f t="shared" si="1"/>
        <v>10.319026666666666</v>
      </c>
      <c r="CO18" s="84">
        <f>IF(CH18&lt;'Dane dla CWU'!$R$67,0,IF(CM18&gt;1,CN18,CM18*CN18))</f>
        <v>10.319026666666666</v>
      </c>
      <c r="CP18" s="84">
        <f t="shared" si="2"/>
        <v>0</v>
      </c>
      <c r="CR18">
        <v>16</v>
      </c>
      <c r="CS18">
        <v>-1</v>
      </c>
      <c r="CT18" s="84">
        <f>(CS18*'Dane dla CO'!$T$53+'Dane dla CO'!$V$53)/(CS18*'Dane dla CO'!$P$35+'Dane dla CO'!$Q$35)</f>
        <v>1.9016565393518516</v>
      </c>
      <c r="CU18" s="84">
        <f>CS18*'Dane dla CO'!$N$96+'Dane dla CO'!$N$97</f>
        <v>122.40000000000002</v>
      </c>
      <c r="CV18" s="84">
        <f>IF(CS18&lt;'Dane dla CO'!$R$67,0,IF(CT18&gt;1,CU18,CT18*CU18))</f>
        <v>122.40000000000002</v>
      </c>
      <c r="CW18" s="84">
        <f t="shared" si="3"/>
        <v>0</v>
      </c>
      <c r="CX18" s="84">
        <f>(CS18*'Dane dla CWU'!$T$53+'Dane dla CWU'!$V$53)/(CS18*'Dane dla CO'!$P$35+'Dane dla CO'!$Q$35)</f>
        <v>1.8629195601851849</v>
      </c>
      <c r="CY18" s="84">
        <f t="shared" si="4"/>
        <v>10.319026666666666</v>
      </c>
      <c r="CZ18" s="84">
        <f>IF(CS18&lt;'Dane dla CWU'!$R$67,0,IF(CX18&gt;1,CY18,CX18*CY18))</f>
        <v>0</v>
      </c>
      <c r="DA18" s="84">
        <f t="shared" si="5"/>
        <v>10.319026666666666</v>
      </c>
      <c r="DC18">
        <v>16</v>
      </c>
      <c r="DD18">
        <v>3</v>
      </c>
      <c r="DE18" s="84">
        <f>(DD18*'Dane dla CO'!$T$53+'Dane dla CO'!$V$53)/(DD18*'Dane dla CO'!$P$35+'Dane dla CO'!$Q$35)</f>
        <v>2.719859182098765</v>
      </c>
      <c r="DF18" s="84">
        <f>DD18*'Dane dla CO'!$N$96+'Dane dla CO'!$N$97</f>
        <v>93.600000000000023</v>
      </c>
      <c r="DG18" s="84">
        <f>IF(DD18&lt;'Dane dla CO'!$R$67,0,IF(DE18&gt;1,DF18,DE18*DF18))</f>
        <v>93.600000000000023</v>
      </c>
      <c r="DH18" s="84">
        <f t="shared" si="6"/>
        <v>0</v>
      </c>
      <c r="DI18" s="84">
        <f>(DD18*'Dane dla CWU'!$T$53+'Dane dla CWU'!$V$53)/(DD18*'Dane dla CO'!$P$35+'Dane dla CO'!$Q$35)</f>
        <v>2.7066936728395059</v>
      </c>
      <c r="DJ18" s="84">
        <f t="shared" si="7"/>
        <v>10.319026666666666</v>
      </c>
      <c r="DK18" s="84">
        <f>IF(DD18&lt;'Dane dla CWU'!$R$67,0,IF(DI18&gt;1,DJ18,DI18*DJ18))</f>
        <v>10.319026666666666</v>
      </c>
      <c r="DL18" s="84">
        <f t="shared" si="8"/>
        <v>0</v>
      </c>
      <c r="DM18" s="49">
        <v>-10</v>
      </c>
      <c r="DN18" s="94">
        <f>DO18*'Dane dla CO'!$N$80</f>
        <v>775.8367346938777</v>
      </c>
      <c r="DO18" s="94">
        <f>(15-DS18)/35*'Dane dla CO'!$N$75</f>
        <v>6.7885714285714291</v>
      </c>
      <c r="DP18" s="94">
        <f t="shared" si="31"/>
        <v>775.8367346938777</v>
      </c>
      <c r="DQ18" s="51">
        <v>-10</v>
      </c>
      <c r="DR18" s="130">
        <v>1</v>
      </c>
      <c r="DS18" s="130">
        <v>-7</v>
      </c>
      <c r="DT18" s="89">
        <f>Wykresy!Y16</f>
        <v>47.2</v>
      </c>
      <c r="DU18" s="90">
        <f>Wykresy!AE16</f>
        <v>30.233333333333334</v>
      </c>
      <c r="DV18" s="117">
        <f>(8.77+7.96)/2</f>
        <v>8.3650000000000002</v>
      </c>
      <c r="DW18" s="117">
        <f>(3.59+4)/2</f>
        <v>3.7949999999999999</v>
      </c>
      <c r="DX18" s="92">
        <f t="shared" si="24"/>
        <v>2.2042160737812915</v>
      </c>
      <c r="DY18" s="118">
        <v>10</v>
      </c>
      <c r="DZ18" s="118">
        <v>3.1</v>
      </c>
      <c r="EA18" s="96">
        <f t="shared" si="37"/>
        <v>3.225806451612903</v>
      </c>
      <c r="EB18" s="85">
        <f t="shared" si="39"/>
        <v>1</v>
      </c>
      <c r="EC18" s="85">
        <f t="shared" si="26"/>
        <v>9.7965158834724068E-3</v>
      </c>
      <c r="ED18" s="92">
        <f>'Energia 221.A29'!P15</f>
        <v>3.414558913375636</v>
      </c>
      <c r="EE18" s="86">
        <f t="shared" si="40"/>
        <v>1</v>
      </c>
      <c r="EF18" s="86">
        <f t="shared" si="28"/>
        <v>1.4336917562724013E-2</v>
      </c>
      <c r="EG18" s="96">
        <f>'Energia 221.A29'!S15</f>
        <v>4.5437883467896025</v>
      </c>
      <c r="EI18" s="130">
        <v>1</v>
      </c>
      <c r="EJ18" s="130">
        <f t="shared" si="34"/>
        <v>20</v>
      </c>
      <c r="EK18" s="130">
        <v>-7</v>
      </c>
      <c r="EL18" s="89">
        <v>55</v>
      </c>
      <c r="EM18" s="117">
        <v>7.96</v>
      </c>
      <c r="EN18" s="117">
        <v>4</v>
      </c>
      <c r="EO18" s="92">
        <f t="shared" si="38"/>
        <v>1.99</v>
      </c>
      <c r="EP18" s="85">
        <f t="shared" si="29"/>
        <v>1</v>
      </c>
      <c r="EQ18" s="85">
        <f t="shared" si="30"/>
        <v>8.8444444444444447E-3</v>
      </c>
      <c r="ER18" s="92">
        <f>'Energia 221.A29'!V15</f>
        <v>2.8036933343892407</v>
      </c>
      <c r="ES18" s="84">
        <f>(EM27-EM18)/9</f>
        <v>-0.1977777777777778</v>
      </c>
      <c r="ET18" s="84">
        <f>(EN27-EN18)/9</f>
        <v>-0.12222222222222223</v>
      </c>
      <c r="FL18" s="84"/>
      <c r="FM18" s="84"/>
    </row>
    <row r="19" spans="1:169">
      <c r="A19" s="162"/>
      <c r="B19">
        <v>17</v>
      </c>
      <c r="C19">
        <v>0</v>
      </c>
      <c r="D19" s="84">
        <f>(C19*'Dane dla CO'!$T$53+'Dane dla CO'!$V$53)/(C19*'Dane dla CO'!$P$35+'Dane dla CO'!$Q$35)</f>
        <v>2.0652970679012341</v>
      </c>
      <c r="E19" s="84">
        <f>C19*'Dane dla CO'!$N$96+'Dane dla CO'!$N$97</f>
        <v>115.20000000000002</v>
      </c>
      <c r="F19" s="84">
        <f>IF(C19&lt;'Dane dla CO'!$R$67,0,IF(D19&gt;1,E19,D19*E19))</f>
        <v>115.20000000000002</v>
      </c>
      <c r="G19" s="84">
        <f t="shared" si="9"/>
        <v>0</v>
      </c>
      <c r="H19" s="84">
        <f>(C19*'Dane dla CWU'!$AB$53+'Dane dla CWU'!$AD$53)/(C19*'Dane dla CO'!$P$35+'Dane dla CO'!$Q$35)</f>
        <v>1.0394375857338818</v>
      </c>
      <c r="I19" s="84">
        <f t="shared" si="10"/>
        <v>10.319026666666666</v>
      </c>
      <c r="J19" s="84">
        <f>IF(C19&lt;'Dane dla CWU'!$R$67,0,IF(H19&gt;1,I19,H19*I19))</f>
        <v>0</v>
      </c>
      <c r="K19" s="84">
        <f t="shared" si="11"/>
        <v>10.319026666666666</v>
      </c>
      <c r="M19">
        <v>17</v>
      </c>
      <c r="N19">
        <v>2</v>
      </c>
      <c r="O19" s="84">
        <f>(N19*'Dane dla CO'!$T$53+'Dane dla CO'!$V$53)/(N19*'Dane dla CO'!$P$35+'Dane dla CO'!$Q$35)</f>
        <v>2.4681045227920229</v>
      </c>
      <c r="P19" s="84">
        <f>N19*'Dane dla CO'!$N$96+'Dane dla CO'!$N$97</f>
        <v>100.80000000000001</v>
      </c>
      <c r="Q19" s="84">
        <f>IF(N19&lt;'Dane dla CO'!$R$67,0,IF(O19&gt;1,P19,O19*P19))</f>
        <v>100.80000000000001</v>
      </c>
      <c r="R19" s="84">
        <f t="shared" si="12"/>
        <v>0</v>
      </c>
      <c r="S19" s="84">
        <f>(N19*'Dane dla CWU'!$T$53+'Dane dla CWU'!$V$53)/(N19*'Dane dla CO'!$P$35+'Dane dla CO'!$Q$35)</f>
        <v>2.4470708689458691</v>
      </c>
      <c r="T19" s="84">
        <f t="shared" si="13"/>
        <v>10.319026666666666</v>
      </c>
      <c r="U19" s="84">
        <f>IF(N19&lt;'Dane dla CWU'!$R$67,0,IF(S19&gt;1,T19,S19*T19))</f>
        <v>0</v>
      </c>
      <c r="V19" s="84">
        <f t="shared" si="14"/>
        <v>10.319026666666666</v>
      </c>
      <c r="X19">
        <v>17</v>
      </c>
      <c r="Y19">
        <v>11</v>
      </c>
      <c r="Z19" s="84">
        <f>(Y19*'Dane dla CO'!$T$53+'Dane dla CO'!$V$53)/(Y19*'Dane dla CO'!$P$35+'Dane dla CO'!$Q$35)</f>
        <v>9.2654803240740726</v>
      </c>
      <c r="AA19" s="84">
        <f>Y19*'Dane dla CO'!$N$96+'Dane dla CO'!$N$97</f>
        <v>36</v>
      </c>
      <c r="AB19" s="84">
        <f>IF(Y19&lt;'Dane dla CO'!$R$67,0,IF(Z19&gt;1,AA19,Z19*AA19))</f>
        <v>36</v>
      </c>
      <c r="AC19" s="84">
        <f t="shared" si="15"/>
        <v>0</v>
      </c>
      <c r="AD19" s="84">
        <f>(Y19*'Dane dla CWU'!$T$53+'Dane dla CWU'!$V$53)/(Y19*'Dane dla CO'!$P$35+'Dane dla CO'!$Q$35)</f>
        <v>9.4568865740740744</v>
      </c>
      <c r="AE19" s="84">
        <f t="shared" si="16"/>
        <v>10.319026666666666</v>
      </c>
      <c r="AF19" s="84">
        <f>IF(Y19&lt;'Dane dla CWU'!$R$67,0,IF(AD19&gt;1,AE19,AD19*AE19))</f>
        <v>10.319026666666666</v>
      </c>
      <c r="AG19" s="84">
        <f t="shared" si="17"/>
        <v>0</v>
      </c>
      <c r="AI19">
        <v>17</v>
      </c>
      <c r="AJ19">
        <v>7</v>
      </c>
      <c r="AK19" s="84">
        <f>(AJ19*'Dane dla CO'!$T$53+'Dane dla CO'!$V$53)/(AJ19*'Dane dla CO'!$P$35+'Dane dla CO'!$Q$35)</f>
        <v>4.3562644675925926</v>
      </c>
      <c r="AL19" s="84">
        <f>AJ19*'Dane dla CO'!$N$96+'Dane dla CO'!$N$97</f>
        <v>64.800000000000011</v>
      </c>
      <c r="AM19" s="84">
        <f>IF(AJ19&lt;'Dane dla CO'!$R$67,0,IF(AK19&gt;1,AL19,AK19*AL19))</f>
        <v>64.800000000000011</v>
      </c>
      <c r="AN19" s="84">
        <f t="shared" si="18"/>
        <v>0</v>
      </c>
      <c r="AO19" s="84">
        <f>(AJ19*'Dane dla CWU'!$T$53+'Dane dla CWU'!$V$53)/(AJ19*'Dane dla CO'!$P$35+'Dane dla CO'!$Q$35)</f>
        <v>4.3942418981481479</v>
      </c>
      <c r="AP19" s="84">
        <f t="shared" si="19"/>
        <v>10.319026666666666</v>
      </c>
      <c r="AQ19" s="84">
        <f>IF(AJ19&lt;'Dane dla CWU'!$R$67,0,IF(AO19&gt;1,AP19,AO19*AP19))</f>
        <v>10.319026666666666</v>
      </c>
      <c r="AR19" s="84">
        <f t="shared" si="20"/>
        <v>0</v>
      </c>
      <c r="AT19">
        <v>17</v>
      </c>
      <c r="AU19">
        <v>10</v>
      </c>
      <c r="BA19">
        <v>17</v>
      </c>
      <c r="BB19">
        <v>25</v>
      </c>
      <c r="BH19">
        <v>17</v>
      </c>
      <c r="BI19">
        <v>15</v>
      </c>
      <c r="BO19">
        <v>17</v>
      </c>
      <c r="BP19">
        <v>17</v>
      </c>
      <c r="BV19">
        <v>17</v>
      </c>
      <c r="BW19">
        <v>14</v>
      </c>
      <c r="BX19" s="84">
        <f>(BW19*'Dane dla CO'!$T$53+'Dane dla CO'!$V$53)/(BW19*'Dane dla CO'!$P$35+'Dane dla CO'!$Q$35)</f>
        <v>38.720775462962941</v>
      </c>
      <c r="BY19" s="84">
        <f>BW19*'Dane dla CO'!$N$96+'Dane dla CO'!$N$97</f>
        <v>14.400000000000006</v>
      </c>
      <c r="BZ19" s="84">
        <f>IF(BW19&lt;'Dane dla CO'!$R$67,0,IF(BX19&gt;1,BY19,BX19*BY19))</f>
        <v>14.400000000000006</v>
      </c>
      <c r="CA19" s="84">
        <f t="shared" si="43"/>
        <v>0</v>
      </c>
      <c r="CB19" s="84">
        <f>(BW19*'Dane dla CWU'!$T$53+'Dane dla CWU'!$V$53)/(BW19*'Dane dla CO'!$P$35+'Dane dla CO'!$Q$35)</f>
        <v>39.832754629629619</v>
      </c>
      <c r="CC19" s="84">
        <f t="shared" si="44"/>
        <v>10.319026666666666</v>
      </c>
      <c r="CD19" s="84">
        <f>IF(BW19&lt;'Dane dla CWU'!$R$67,0,IF(CB19&gt;1,CC19,CB19*CC19))</f>
        <v>10.319026666666666</v>
      </c>
      <c r="CE19" s="84">
        <f t="shared" si="45"/>
        <v>0</v>
      </c>
      <c r="CG19">
        <v>17</v>
      </c>
      <c r="CH19">
        <v>9</v>
      </c>
      <c r="CI19" s="84">
        <f>(CH19*'Dane dla CO'!$T$53+'Dane dla CO'!$V$53)/(CH19*'Dane dla CO'!$P$35+'Dane dla CO'!$Q$35)</f>
        <v>5.9926697530864192</v>
      </c>
      <c r="CJ19" s="84">
        <f>CH19*'Dane dla CO'!$N$96+'Dane dla CO'!$N$97</f>
        <v>50.400000000000006</v>
      </c>
      <c r="CK19" s="84">
        <f>IF(CH19&lt;'Dane dla CO'!$R$67,0,IF(CI19&gt;1,CJ19,CI19*CJ19))</f>
        <v>50.400000000000006</v>
      </c>
      <c r="CL19" s="84">
        <f t="shared" si="0"/>
        <v>0</v>
      </c>
      <c r="CM19" s="84">
        <f>(CH19*'Dane dla CWU'!$T$53+'Dane dla CWU'!$V$53)/(CH19*'Dane dla CO'!$P$35+'Dane dla CO'!$Q$35)</f>
        <v>6.0817901234567913</v>
      </c>
      <c r="CN19" s="84">
        <f t="shared" si="1"/>
        <v>10.319026666666666</v>
      </c>
      <c r="CO19" s="84">
        <f>IF(CH19&lt;'Dane dla CWU'!$R$67,0,IF(CM19&gt;1,CN19,CM19*CN19))</f>
        <v>10.319026666666666</v>
      </c>
      <c r="CP19" s="84">
        <f t="shared" si="2"/>
        <v>0</v>
      </c>
      <c r="CR19">
        <v>17</v>
      </c>
      <c r="CS19">
        <v>0</v>
      </c>
      <c r="CT19" s="84">
        <f>(CS19*'Dane dla CO'!$T$53+'Dane dla CO'!$V$53)/(CS19*'Dane dla CO'!$P$35+'Dane dla CO'!$Q$35)</f>
        <v>2.0652970679012341</v>
      </c>
      <c r="CU19" s="84">
        <f>CS19*'Dane dla CO'!$N$96+'Dane dla CO'!$N$97</f>
        <v>115.20000000000002</v>
      </c>
      <c r="CV19" s="84">
        <f>IF(CS19&lt;'Dane dla CO'!$R$67,0,IF(CT19&gt;1,CU19,CT19*CU19))</f>
        <v>115.20000000000002</v>
      </c>
      <c r="CW19" s="84">
        <f t="shared" si="3"/>
        <v>0</v>
      </c>
      <c r="CX19" s="84">
        <f>(CS19*'Dane dla CWU'!$T$53+'Dane dla CWU'!$V$53)/(CS19*'Dane dla CO'!$P$35+'Dane dla CO'!$Q$35)</f>
        <v>2.0316743827160493</v>
      </c>
      <c r="CY19" s="84">
        <f t="shared" si="4"/>
        <v>10.319026666666666</v>
      </c>
      <c r="CZ19" s="84">
        <f>IF(CS19&lt;'Dane dla CWU'!$R$67,0,IF(CX19&gt;1,CY19,CX19*CY19))</f>
        <v>0</v>
      </c>
      <c r="DA19" s="84">
        <f t="shared" si="5"/>
        <v>10.319026666666666</v>
      </c>
      <c r="DC19">
        <v>17</v>
      </c>
      <c r="DD19">
        <v>2</v>
      </c>
      <c r="DE19" s="84">
        <f>(DD19*'Dane dla CO'!$T$53+'Dane dla CO'!$V$53)/(DD19*'Dane dla CO'!$P$35+'Dane dla CO'!$Q$35)</f>
        <v>2.4681045227920229</v>
      </c>
      <c r="DF19" s="84">
        <f>DD19*'Dane dla CO'!$N$96+'Dane dla CO'!$N$97</f>
        <v>100.80000000000001</v>
      </c>
      <c r="DG19" s="84">
        <f>IF(DD19&lt;'Dane dla CO'!$R$67,0,IF(DE19&gt;1,DF19,DE19*DF19))</f>
        <v>100.80000000000001</v>
      </c>
      <c r="DH19" s="84">
        <f t="shared" si="6"/>
        <v>0</v>
      </c>
      <c r="DI19" s="84">
        <f>(DD19*'Dane dla CWU'!$T$53+'Dane dla CWU'!$V$53)/(DD19*'Dane dla CO'!$P$35+'Dane dla CO'!$Q$35)</f>
        <v>2.4470708689458691</v>
      </c>
      <c r="DJ19" s="84">
        <f t="shared" si="7"/>
        <v>10.319026666666666</v>
      </c>
      <c r="DK19" s="84">
        <f>IF(DD19&lt;'Dane dla CWU'!$R$67,0,IF(DI19&gt;1,DJ19,DI19*DJ19))</f>
        <v>0</v>
      </c>
      <c r="DL19" s="84">
        <f t="shared" si="8"/>
        <v>10.319026666666666</v>
      </c>
      <c r="DM19" s="49">
        <v>-10</v>
      </c>
      <c r="DN19" s="94">
        <f>DO19*'Dane dla CO'!$N$80</f>
        <v>740.57142857142867</v>
      </c>
      <c r="DO19" s="94">
        <f>(15-DS19)/35*'Dane dla CO'!$N$75</f>
        <v>6.48</v>
      </c>
      <c r="DP19" s="94">
        <f t="shared" si="31"/>
        <v>370.28571428571433</v>
      </c>
      <c r="DQ19" s="51">
        <v>-10</v>
      </c>
      <c r="DR19" s="130">
        <v>2</v>
      </c>
      <c r="DS19" s="130">
        <v>-6</v>
      </c>
      <c r="DT19" s="89">
        <f>Wykresy!Y17</f>
        <v>46.6</v>
      </c>
      <c r="DU19" s="90">
        <f>Wykresy!AE17</f>
        <v>29.866666666666667</v>
      </c>
      <c r="DV19" s="92">
        <f>(($DV$27-$DV$18)/9)*1+$DV$18</f>
        <v>8.1966666666666672</v>
      </c>
      <c r="DW19" s="92">
        <f>(($DW$27-$DW$18)/9)*1+$DW$18</f>
        <v>3.6466666666666665</v>
      </c>
      <c r="DX19" s="92">
        <f t="shared" si="24"/>
        <v>2.247714808043876</v>
      </c>
      <c r="DY19" s="86">
        <f>(($DY$27-$DY$18)/9)*1+$DY$18</f>
        <v>9.7777777777777786</v>
      </c>
      <c r="DZ19" s="86">
        <f>(($DZ$27-$DZ$18)/9)*1+$DZ$18</f>
        <v>2.9777777777777779</v>
      </c>
      <c r="EA19" s="96">
        <f t="shared" si="37"/>
        <v>3.283582089552239</v>
      </c>
      <c r="EB19" s="85">
        <f t="shared" si="39"/>
        <v>2</v>
      </c>
      <c r="EC19" s="85">
        <f t="shared" si="26"/>
        <v>1.997968718261223E-2</v>
      </c>
      <c r="ED19" s="92">
        <f>'Energia 221.A29'!P16</f>
        <v>3.4269423143145463</v>
      </c>
      <c r="EE19" s="86">
        <f t="shared" si="40"/>
        <v>2</v>
      </c>
      <c r="EF19" s="86">
        <f t="shared" si="28"/>
        <v>2.9187396351575457E-2</v>
      </c>
      <c r="EG19" s="96">
        <f>'Energia 221.A29'!S16</f>
        <v>4.5572730369982617</v>
      </c>
      <c r="EI19" s="130">
        <v>2</v>
      </c>
      <c r="EJ19" s="130">
        <f t="shared" si="34"/>
        <v>22</v>
      </c>
      <c r="EK19" s="130">
        <v>-6</v>
      </c>
      <c r="EL19" s="89">
        <v>55</v>
      </c>
      <c r="EM19" s="92">
        <f>EM18+$ES$18</f>
        <v>7.7622222222222224</v>
      </c>
      <c r="EN19" s="92">
        <f>EN18+$ET$18</f>
        <v>3.8777777777777778</v>
      </c>
      <c r="EO19" s="92">
        <f t="shared" si="38"/>
        <v>2.0017191977077364</v>
      </c>
      <c r="EP19" s="85">
        <f t="shared" si="29"/>
        <v>2</v>
      </c>
      <c r="EQ19" s="85">
        <f t="shared" si="30"/>
        <v>1.779305953517988E-2</v>
      </c>
      <c r="ER19" s="92">
        <f>'Energia 221.A29'!V16</f>
        <v>2.8060450492285161</v>
      </c>
    </row>
    <row r="20" spans="1:169">
      <c r="A20" s="162"/>
      <c r="B20">
        <v>18</v>
      </c>
      <c r="C20">
        <v>-1</v>
      </c>
      <c r="D20" s="84">
        <f>(C20*'Dane dla CO'!$T$53+'Dane dla CO'!$V$53)/(C20*'Dane dla CO'!$P$35+'Dane dla CO'!$Q$35)</f>
        <v>1.9016565393518516</v>
      </c>
      <c r="E20" s="84">
        <f>C20*'Dane dla CO'!$N$96+'Dane dla CO'!$N$97</f>
        <v>122.40000000000002</v>
      </c>
      <c r="F20" s="84">
        <f>IF(C20&lt;'Dane dla CO'!$R$67,0,IF(D20&gt;1,E20,D20*E20))</f>
        <v>122.40000000000002</v>
      </c>
      <c r="G20" s="84">
        <f t="shared" si="9"/>
        <v>0</v>
      </c>
      <c r="H20" s="84">
        <f>(C20*'Dane dla CWU'!$AB$53+'Dane dla CWU'!$AD$53)/(C20*'Dane dla CO'!$P$35+'Dane dla CO'!$Q$35)</f>
        <v>0.94521604938271586</v>
      </c>
      <c r="I20" s="84">
        <f t="shared" si="10"/>
        <v>10.319026666666666</v>
      </c>
      <c r="J20" s="84">
        <f>IF(C20&lt;'Dane dla CWU'!$R$67,0,IF(H20&gt;1,I20,H20*I20))</f>
        <v>0</v>
      </c>
      <c r="K20" s="84">
        <f t="shared" si="11"/>
        <v>10.319026666666666</v>
      </c>
      <c r="M20">
        <v>18</v>
      </c>
      <c r="N20">
        <v>4</v>
      </c>
      <c r="O20" s="84">
        <f>(N20*'Dane dla CO'!$T$53+'Dane dla CO'!$V$53)/(N20*'Dane dla CO'!$P$35+'Dane dla CO'!$Q$35)</f>
        <v>3.0173874158249157</v>
      </c>
      <c r="P20" s="84">
        <f>N20*'Dane dla CO'!$N$96+'Dane dla CO'!$N$97</f>
        <v>86.4</v>
      </c>
      <c r="Q20" s="84">
        <f>IF(N20&lt;'Dane dla CO'!$R$67,0,IF(O20&gt;1,P20,O20*P20))</f>
        <v>86.4</v>
      </c>
      <c r="R20" s="84">
        <f t="shared" si="12"/>
        <v>0</v>
      </c>
      <c r="S20" s="84">
        <f>(N20*'Dane dla CWU'!$T$53+'Dane dla CWU'!$V$53)/(N20*'Dane dla CO'!$P$35+'Dane dla CO'!$Q$35)</f>
        <v>3.0135206228956233</v>
      </c>
      <c r="T20" s="84">
        <f t="shared" si="13"/>
        <v>10.319026666666666</v>
      </c>
      <c r="U20" s="84">
        <f>IF(N20&lt;'Dane dla CWU'!$R$67,0,IF(S20&gt;1,T20,S20*T20))</f>
        <v>10.319026666666666</v>
      </c>
      <c r="V20" s="84">
        <f t="shared" si="14"/>
        <v>0</v>
      </c>
      <c r="X20">
        <v>18</v>
      </c>
      <c r="Y20">
        <v>10</v>
      </c>
      <c r="Z20" s="84">
        <f>(Y20*'Dane dla CO'!$T$53+'Dane dla CO'!$V$53)/(Y20*'Dane dla CO'!$P$35+'Dane dla CO'!$Q$35)</f>
        <v>7.3017939814814818</v>
      </c>
      <c r="AA20" s="84">
        <f>Y20*'Dane dla CO'!$N$96+'Dane dla CO'!$N$97</f>
        <v>43.2</v>
      </c>
      <c r="AB20" s="84">
        <f>IF(Y20&lt;'Dane dla CO'!$R$67,0,IF(Z20&gt;1,AA20,Z20*AA20))</f>
        <v>43.2</v>
      </c>
      <c r="AC20" s="84">
        <f t="shared" si="15"/>
        <v>0</v>
      </c>
      <c r="AD20" s="84">
        <f>(Y20*'Dane dla CWU'!$T$53+'Dane dla CWU'!$V$53)/(Y20*'Dane dla CO'!$P$35+'Dane dla CO'!$Q$35)</f>
        <v>7.4318287037037045</v>
      </c>
      <c r="AE20" s="84">
        <f t="shared" si="16"/>
        <v>10.319026666666666</v>
      </c>
      <c r="AF20" s="84">
        <f>IF(Y20&lt;'Dane dla CWU'!$R$67,0,IF(AD20&gt;1,AE20,AD20*AE20))</f>
        <v>10.319026666666666</v>
      </c>
      <c r="AG20" s="84">
        <f t="shared" si="17"/>
        <v>0</v>
      </c>
      <c r="AI20">
        <v>18</v>
      </c>
      <c r="AJ20">
        <v>8</v>
      </c>
      <c r="AK20" s="84">
        <f>(AJ20*'Dane dla CO'!$T$53+'Dane dla CO'!$V$53)/(AJ20*'Dane dla CO'!$P$35+'Dane dla CO'!$Q$35)</f>
        <v>5.0575810185185182</v>
      </c>
      <c r="AL20" s="84">
        <f>AJ20*'Dane dla CO'!$N$96+'Dane dla CO'!$N$97</f>
        <v>57.600000000000009</v>
      </c>
      <c r="AM20" s="84">
        <f>IF(AJ20&lt;'Dane dla CO'!$R$67,0,IF(AK20&gt;1,AL20,AK20*AL20))</f>
        <v>57.600000000000009</v>
      </c>
      <c r="AN20" s="84">
        <f t="shared" si="18"/>
        <v>0</v>
      </c>
      <c r="AO20" s="84">
        <f>(AJ20*'Dane dla CWU'!$T$53+'Dane dla CWU'!$V$53)/(AJ20*'Dane dla CO'!$P$35+'Dane dla CO'!$Q$35)</f>
        <v>5.1174768518518521</v>
      </c>
      <c r="AP20" s="84">
        <f t="shared" si="19"/>
        <v>10.319026666666666</v>
      </c>
      <c r="AQ20" s="84">
        <f>IF(AJ20&lt;'Dane dla CWU'!$R$67,0,IF(AO20&gt;1,AP20,AO20*AP20))</f>
        <v>10.319026666666666</v>
      </c>
      <c r="AR20" s="84">
        <f t="shared" si="20"/>
        <v>0</v>
      </c>
      <c r="AT20">
        <v>18</v>
      </c>
      <c r="AU20">
        <v>10</v>
      </c>
      <c r="BA20">
        <v>18</v>
      </c>
      <c r="BB20">
        <v>24</v>
      </c>
      <c r="BH20">
        <v>18</v>
      </c>
      <c r="BI20">
        <v>18</v>
      </c>
      <c r="BO20">
        <v>18</v>
      </c>
      <c r="BP20">
        <v>20</v>
      </c>
      <c r="BV20">
        <v>18</v>
      </c>
      <c r="BX20" s="84"/>
      <c r="BY20" s="84"/>
      <c r="BZ20" s="84"/>
      <c r="CA20" s="84"/>
      <c r="CB20" s="84"/>
      <c r="CC20" s="84">
        <f t="shared" si="44"/>
        <v>10.319026666666666</v>
      </c>
      <c r="CD20" s="84">
        <f>IF(BW20&lt;'Dane dla CWU'!$R$67,0,IF(CB20&gt;1,CC20,CB20*CC20))</f>
        <v>0</v>
      </c>
      <c r="CE20" s="84">
        <f t="shared" si="45"/>
        <v>10.319026666666666</v>
      </c>
      <c r="CG20">
        <v>18</v>
      </c>
      <c r="CH20">
        <v>9</v>
      </c>
      <c r="CI20" s="84">
        <f>(CH20*'Dane dla CO'!$T$53+'Dane dla CO'!$V$53)/(CH20*'Dane dla CO'!$P$35+'Dane dla CO'!$Q$35)</f>
        <v>5.9926697530864192</v>
      </c>
      <c r="CJ20" s="84">
        <f>CH20*'Dane dla CO'!$N$96+'Dane dla CO'!$N$97</f>
        <v>50.400000000000006</v>
      </c>
      <c r="CK20" s="84">
        <f>IF(CH20&lt;'Dane dla CO'!$R$67,0,IF(CI20&gt;1,CJ20,CI20*CJ20))</f>
        <v>50.400000000000006</v>
      </c>
      <c r="CL20" s="84">
        <f t="shared" si="0"/>
        <v>0</v>
      </c>
      <c r="CM20" s="84">
        <f>(CH20*'Dane dla CWU'!$T$53+'Dane dla CWU'!$V$53)/(CH20*'Dane dla CO'!$P$35+'Dane dla CO'!$Q$35)</f>
        <v>6.0817901234567913</v>
      </c>
      <c r="CN20" s="84">
        <f t="shared" si="1"/>
        <v>10.319026666666666</v>
      </c>
      <c r="CO20" s="84">
        <f>IF(CH20&lt;'Dane dla CWU'!$R$67,0,IF(CM20&gt;1,CN20,CM20*CN20))</f>
        <v>10.319026666666666</v>
      </c>
      <c r="CP20" s="84">
        <f t="shared" si="2"/>
        <v>0</v>
      </c>
      <c r="CR20">
        <v>18</v>
      </c>
      <c r="CS20">
        <v>2</v>
      </c>
      <c r="CT20" s="84">
        <f>(CS20*'Dane dla CO'!$T$53+'Dane dla CO'!$V$53)/(CS20*'Dane dla CO'!$P$35+'Dane dla CO'!$Q$35)</f>
        <v>2.4681045227920229</v>
      </c>
      <c r="CU20" s="84">
        <f>CS20*'Dane dla CO'!$N$96+'Dane dla CO'!$N$97</f>
        <v>100.80000000000001</v>
      </c>
      <c r="CV20" s="84">
        <f>IF(CS20&lt;'Dane dla CO'!$R$67,0,IF(CT20&gt;1,CU20,CT20*CU20))</f>
        <v>100.80000000000001</v>
      </c>
      <c r="CW20" s="84">
        <f t="shared" si="3"/>
        <v>0</v>
      </c>
      <c r="CX20" s="84">
        <f>(CS20*'Dane dla CWU'!$T$53+'Dane dla CWU'!$V$53)/(CS20*'Dane dla CO'!$P$35+'Dane dla CO'!$Q$35)</f>
        <v>2.4470708689458691</v>
      </c>
      <c r="CY20" s="84">
        <f t="shared" si="4"/>
        <v>10.319026666666666</v>
      </c>
      <c r="CZ20" s="84">
        <f>IF(CS20&lt;'Dane dla CWU'!$R$67,0,IF(CX20&gt;1,CY20,CX20*CY20))</f>
        <v>0</v>
      </c>
      <c r="DA20" s="84">
        <f t="shared" si="5"/>
        <v>10.319026666666666</v>
      </c>
      <c r="DC20">
        <v>18</v>
      </c>
      <c r="DD20">
        <v>0</v>
      </c>
      <c r="DE20" s="84">
        <f>(DD20*'Dane dla CO'!$T$53+'Dane dla CO'!$V$53)/(DD20*'Dane dla CO'!$P$35+'Dane dla CO'!$Q$35)</f>
        <v>2.0652970679012341</v>
      </c>
      <c r="DF20" s="84">
        <f>DD20*'Dane dla CO'!$N$96+'Dane dla CO'!$N$97</f>
        <v>115.20000000000002</v>
      </c>
      <c r="DG20" s="84">
        <f>IF(DD20&lt;'Dane dla CO'!$R$67,0,IF(DE20&gt;1,DF20,DE20*DF20))</f>
        <v>115.20000000000002</v>
      </c>
      <c r="DH20" s="84">
        <f t="shared" si="6"/>
        <v>0</v>
      </c>
      <c r="DI20" s="84">
        <f>(DD20*'Dane dla CWU'!$T$53+'Dane dla CWU'!$V$53)/(DD20*'Dane dla CO'!$P$35+'Dane dla CO'!$Q$35)</f>
        <v>2.0316743827160493</v>
      </c>
      <c r="DJ20" s="84">
        <f t="shared" si="7"/>
        <v>10.319026666666666</v>
      </c>
      <c r="DK20" s="84">
        <f>IF(DD20&lt;'Dane dla CWU'!$R$67,0,IF(DI20&gt;1,DJ20,DI20*DJ20))</f>
        <v>0</v>
      </c>
      <c r="DL20" s="84">
        <f t="shared" si="8"/>
        <v>10.319026666666666</v>
      </c>
      <c r="DM20" s="49">
        <v>-9</v>
      </c>
      <c r="DN20" s="94">
        <f>DO20*'Dane dla CO'!$N$80</f>
        <v>705.30612244897964</v>
      </c>
      <c r="DO20" s="94">
        <f>(15-DS20)/35*'Dane dla CO'!$N$75</f>
        <v>6.1714285714285717</v>
      </c>
      <c r="DP20" s="94">
        <f t="shared" si="31"/>
        <v>235.10204081632654</v>
      </c>
      <c r="DQ20" s="51">
        <v>-9</v>
      </c>
      <c r="DR20" s="130">
        <v>3</v>
      </c>
      <c r="DS20" s="130">
        <v>-5</v>
      </c>
      <c r="DT20" s="89">
        <f>Wykresy!Y18</f>
        <v>46</v>
      </c>
      <c r="DU20" s="90">
        <f>Wykresy!AE18</f>
        <v>29.5</v>
      </c>
      <c r="DV20" s="92">
        <f>(($DV$27-$DV$18)/9)*2+$DV$18</f>
        <v>8.0283333333333342</v>
      </c>
      <c r="DW20" s="92">
        <f>(($DW$27-$DW$18)/9)*2+$DW$18</f>
        <v>3.4983333333333331</v>
      </c>
      <c r="DX20" s="92">
        <f t="shared" si="24"/>
        <v>2.2949023344449744</v>
      </c>
      <c r="DY20" s="86">
        <f>(($DY$27-$DY$18)/9)*2+$DY$18</f>
        <v>9.5555555555555554</v>
      </c>
      <c r="DZ20" s="86">
        <f>(($DZ$27-$DZ$18)/9)*2+$DZ$18</f>
        <v>2.8555555555555556</v>
      </c>
      <c r="EA20" s="96">
        <f t="shared" si="37"/>
        <v>3.3463035019455249</v>
      </c>
      <c r="EB20" s="85">
        <f t="shared" si="39"/>
        <v>3</v>
      </c>
      <c r="EC20" s="85">
        <f t="shared" si="26"/>
        <v>3.0598697792599657E-2</v>
      </c>
      <c r="ED20" s="92">
        <f>'Energia 221.A29'!P17</f>
        <v>3.4504840612636882</v>
      </c>
      <c r="EE20" s="86">
        <f t="shared" si="40"/>
        <v>3</v>
      </c>
      <c r="EF20" s="86">
        <f t="shared" si="28"/>
        <v>4.4617380025940338E-2</v>
      </c>
      <c r="EG20" s="96">
        <f>'Energia 221.A29'!S17</f>
        <v>4.5827006239708679</v>
      </c>
      <c r="EI20" s="130">
        <v>3</v>
      </c>
      <c r="EJ20" s="130">
        <f t="shared" si="34"/>
        <v>25</v>
      </c>
      <c r="EK20" s="130">
        <v>-5</v>
      </c>
      <c r="EL20" s="89">
        <v>55</v>
      </c>
      <c r="EM20" s="92">
        <f t="shared" ref="EM20:EM26" si="46">EM19+$ES$18</f>
        <v>7.5644444444444447</v>
      </c>
      <c r="EN20" s="92">
        <f t="shared" ref="EN20:EN26" si="47">EN19+$ET$18</f>
        <v>3.7555555555555555</v>
      </c>
      <c r="EO20" s="92">
        <f t="shared" si="38"/>
        <v>2.0142011834319526</v>
      </c>
      <c r="EP20" s="85">
        <f t="shared" si="29"/>
        <v>3</v>
      </c>
      <c r="EQ20" s="85">
        <f t="shared" si="30"/>
        <v>2.6856015779092704E-2</v>
      </c>
      <c r="ER20" s="92">
        <f>'Energia 221.A29'!V17</f>
        <v>2.8107213623187532</v>
      </c>
    </row>
    <row r="21" spans="1:169">
      <c r="A21" s="162"/>
      <c r="B21">
        <v>19</v>
      </c>
      <c r="C21">
        <v>2</v>
      </c>
      <c r="D21" s="84">
        <f>(C21*'Dane dla CO'!$T$53+'Dane dla CO'!$V$53)/(C21*'Dane dla CO'!$P$35+'Dane dla CO'!$Q$35)</f>
        <v>2.4681045227920229</v>
      </c>
      <c r="E21" s="84">
        <f>C21*'Dane dla CO'!$N$96+'Dane dla CO'!$N$97</f>
        <v>100.80000000000001</v>
      </c>
      <c r="F21" s="84">
        <f>IF(C21&lt;'Dane dla CO'!$R$67,0,IF(D21&gt;1,E21,D21*E21))</f>
        <v>100.80000000000001</v>
      </c>
      <c r="G21" s="84">
        <f t="shared" si="9"/>
        <v>0</v>
      </c>
      <c r="H21" s="84">
        <f>(C21*'Dane dla CWU'!$AB$53+'Dane dla CWU'!$AD$53)/(C21*'Dane dla CO'!$P$35+'Dane dla CO'!$Q$35)</f>
        <v>1.2713675213675213</v>
      </c>
      <c r="I21" s="84">
        <f t="shared" si="10"/>
        <v>10.319026666666666</v>
      </c>
      <c r="J21" s="84">
        <f>IF(C21&lt;'Dane dla CWU'!$R$67,0,IF(H21&gt;1,I21,H21*I21))</f>
        <v>0</v>
      </c>
      <c r="K21" s="84">
        <f t="shared" si="11"/>
        <v>10.319026666666666</v>
      </c>
      <c r="M21">
        <v>19</v>
      </c>
      <c r="N21">
        <v>4</v>
      </c>
      <c r="O21" s="84">
        <f>(N21*'Dane dla CO'!$T$53+'Dane dla CO'!$V$53)/(N21*'Dane dla CO'!$P$35+'Dane dla CO'!$Q$35)</f>
        <v>3.0173874158249157</v>
      </c>
      <c r="P21" s="84">
        <f>N21*'Dane dla CO'!$N$96+'Dane dla CO'!$N$97</f>
        <v>86.4</v>
      </c>
      <c r="Q21" s="84">
        <f>IF(N21&lt;'Dane dla CO'!$R$67,0,IF(O21&gt;1,P21,O21*P21))</f>
        <v>86.4</v>
      </c>
      <c r="R21" s="84">
        <f t="shared" si="12"/>
        <v>0</v>
      </c>
      <c r="S21" s="84">
        <f>(N21*'Dane dla CWU'!$T$53+'Dane dla CWU'!$V$53)/(N21*'Dane dla CO'!$P$35+'Dane dla CO'!$Q$35)</f>
        <v>3.0135206228956233</v>
      </c>
      <c r="T21" s="84">
        <f t="shared" si="13"/>
        <v>10.319026666666666</v>
      </c>
      <c r="U21" s="84">
        <f>IF(N21&lt;'Dane dla CWU'!$R$67,0,IF(S21&gt;1,T21,S21*T21))</f>
        <v>10.319026666666666</v>
      </c>
      <c r="V21" s="84">
        <f t="shared" si="14"/>
        <v>0</v>
      </c>
      <c r="X21">
        <v>19</v>
      </c>
      <c r="Y21">
        <v>7</v>
      </c>
      <c r="Z21" s="84">
        <f>(Y21*'Dane dla CO'!$T$53+'Dane dla CO'!$V$53)/(Y21*'Dane dla CO'!$P$35+'Dane dla CO'!$Q$35)</f>
        <v>4.3562644675925926</v>
      </c>
      <c r="AA21" s="84">
        <f>Y21*'Dane dla CO'!$N$96+'Dane dla CO'!$N$97</f>
        <v>64.800000000000011</v>
      </c>
      <c r="AB21" s="84">
        <f>IF(Y21&lt;'Dane dla CO'!$R$67,0,IF(Z21&gt;1,AA21,Z21*AA21))</f>
        <v>64.800000000000011</v>
      </c>
      <c r="AC21" s="84">
        <f t="shared" si="15"/>
        <v>0</v>
      </c>
      <c r="AD21" s="84">
        <f>(Y21*'Dane dla CWU'!$T$53+'Dane dla CWU'!$V$53)/(Y21*'Dane dla CO'!$P$35+'Dane dla CO'!$Q$35)</f>
        <v>4.3942418981481479</v>
      </c>
      <c r="AE21" s="84">
        <f t="shared" si="16"/>
        <v>10.319026666666666</v>
      </c>
      <c r="AF21" s="84">
        <f>IF(Y21&lt;'Dane dla CWU'!$R$67,0,IF(AD21&gt;1,AE21,AD21*AE21))</f>
        <v>10.319026666666666</v>
      </c>
      <c r="AG21" s="84">
        <f t="shared" si="17"/>
        <v>0</v>
      </c>
      <c r="AI21">
        <v>19</v>
      </c>
      <c r="AJ21">
        <v>10</v>
      </c>
      <c r="AK21" s="84">
        <f>(AJ21*'Dane dla CO'!$T$53+'Dane dla CO'!$V$53)/(AJ21*'Dane dla CO'!$P$35+'Dane dla CO'!$Q$35)</f>
        <v>7.3017939814814818</v>
      </c>
      <c r="AL21" s="84">
        <f>AJ21*'Dane dla CO'!$N$96+'Dane dla CO'!$N$97</f>
        <v>43.2</v>
      </c>
      <c r="AM21" s="84">
        <f>IF(AJ21&lt;'Dane dla CO'!$R$67,0,IF(AK21&gt;1,AL21,AK21*AL21))</f>
        <v>43.2</v>
      </c>
      <c r="AN21" s="84">
        <f t="shared" si="18"/>
        <v>0</v>
      </c>
      <c r="AO21" s="84">
        <f>(AJ21*'Dane dla CWU'!$T$53+'Dane dla CWU'!$V$53)/(AJ21*'Dane dla CO'!$P$35+'Dane dla CO'!$Q$35)</f>
        <v>7.4318287037037045</v>
      </c>
      <c r="AP21" s="84">
        <f t="shared" si="19"/>
        <v>10.319026666666666</v>
      </c>
      <c r="AQ21" s="84">
        <f>IF(AJ21&lt;'Dane dla CWU'!$R$67,0,IF(AO21&gt;1,AP21,AO21*AP21))</f>
        <v>10.319026666666666</v>
      </c>
      <c r="AR21" s="84">
        <f t="shared" si="20"/>
        <v>0</v>
      </c>
      <c r="AT21">
        <v>19</v>
      </c>
      <c r="AU21">
        <v>14</v>
      </c>
      <c r="BA21">
        <v>19</v>
      </c>
      <c r="BB21">
        <v>25</v>
      </c>
      <c r="BH21">
        <v>19</v>
      </c>
      <c r="BI21">
        <v>21</v>
      </c>
      <c r="BO21">
        <v>19</v>
      </c>
      <c r="BP21">
        <v>20</v>
      </c>
      <c r="BV21">
        <v>19</v>
      </c>
      <c r="BW21">
        <v>14</v>
      </c>
      <c r="BX21" s="84">
        <f>(BW21*'Dane dla CO'!$T$53+'Dane dla CO'!$V$53)/(BW21*'Dane dla CO'!$P$35+'Dane dla CO'!$Q$35)</f>
        <v>38.720775462962941</v>
      </c>
      <c r="BY21" s="84">
        <f>BW21*'Dane dla CO'!$N$96+'Dane dla CO'!$N$97</f>
        <v>14.400000000000006</v>
      </c>
      <c r="BZ21" s="84">
        <f>IF(BW21&lt;'Dane dla CO'!$R$67,0,IF(BX21&gt;1,BY21,BX21*BY21))</f>
        <v>14.400000000000006</v>
      </c>
      <c r="CA21" s="84">
        <f t="shared" si="43"/>
        <v>0</v>
      </c>
      <c r="CB21" s="84">
        <f>(BW21*'Dane dla CWU'!$T$53+'Dane dla CWU'!$V$53)/(BW21*'Dane dla CO'!$P$35+'Dane dla CO'!$Q$35)</f>
        <v>39.832754629629619</v>
      </c>
      <c r="CC21" s="84">
        <f t="shared" si="44"/>
        <v>10.319026666666666</v>
      </c>
      <c r="CD21" s="84">
        <f>IF(BW21&lt;'Dane dla CWU'!$R$67,0,IF(CB21&gt;1,CC21,CB21*CC21))</f>
        <v>10.319026666666666</v>
      </c>
      <c r="CE21" s="84">
        <f t="shared" si="45"/>
        <v>0</v>
      </c>
      <c r="CG21">
        <v>19</v>
      </c>
      <c r="CH21">
        <v>9</v>
      </c>
      <c r="CI21" s="84">
        <f>(CH21*'Dane dla CO'!$T$53+'Dane dla CO'!$V$53)/(CH21*'Dane dla CO'!$P$35+'Dane dla CO'!$Q$35)</f>
        <v>5.9926697530864192</v>
      </c>
      <c r="CJ21" s="84">
        <f>CH21*'Dane dla CO'!$N$96+'Dane dla CO'!$N$97</f>
        <v>50.400000000000006</v>
      </c>
      <c r="CK21" s="84">
        <f>IF(CH21&lt;'Dane dla CO'!$R$67,0,IF(CI21&gt;1,CJ21,CI21*CJ21))</f>
        <v>50.400000000000006</v>
      </c>
      <c r="CL21" s="84">
        <f t="shared" si="0"/>
        <v>0</v>
      </c>
      <c r="CM21" s="84">
        <f>(CH21*'Dane dla CWU'!$T$53+'Dane dla CWU'!$V$53)/(CH21*'Dane dla CO'!$P$35+'Dane dla CO'!$Q$35)</f>
        <v>6.0817901234567913</v>
      </c>
      <c r="CN21" s="84">
        <f t="shared" si="1"/>
        <v>10.319026666666666</v>
      </c>
      <c r="CO21" s="84">
        <f>IF(CH21&lt;'Dane dla CWU'!$R$67,0,IF(CM21&gt;1,CN21,CM21*CN21))</f>
        <v>10.319026666666666</v>
      </c>
      <c r="CP21" s="84">
        <f t="shared" si="2"/>
        <v>0</v>
      </c>
      <c r="CR21">
        <v>19</v>
      </c>
      <c r="CS21">
        <v>5</v>
      </c>
      <c r="CT21" s="84">
        <f>(CS21*'Dane dla CO'!$T$53+'Dane dla CO'!$V$53)/(CS21*'Dane dla CO'!$P$35+'Dane dla CO'!$Q$35)</f>
        <v>3.3744212962962958</v>
      </c>
      <c r="CU21" s="84">
        <f>CS21*'Dane dla CO'!$N$96+'Dane dla CO'!$N$97</f>
        <v>79.200000000000017</v>
      </c>
      <c r="CV21" s="84">
        <f>IF(CS21&lt;'Dane dla CO'!$R$67,0,IF(CT21&gt;1,CU21,CT21*CU21))</f>
        <v>79.200000000000017</v>
      </c>
      <c r="CW21" s="84">
        <f t="shared" si="3"/>
        <v>0</v>
      </c>
      <c r="CX21" s="84">
        <f>(CS21*'Dane dla CWU'!$T$53+'Dane dla CWU'!$V$53)/(CS21*'Dane dla CO'!$P$35+'Dane dla CO'!$Q$35)</f>
        <v>3.381712962962963</v>
      </c>
      <c r="CY21" s="84">
        <f t="shared" si="4"/>
        <v>10.319026666666666</v>
      </c>
      <c r="CZ21" s="84">
        <f>IF(CS21&lt;'Dane dla CWU'!$R$67,0,IF(CX21&gt;1,CY21,CX21*CY21))</f>
        <v>10.319026666666666</v>
      </c>
      <c r="DA21" s="84">
        <f t="shared" si="5"/>
        <v>0</v>
      </c>
      <c r="DC21">
        <v>19</v>
      </c>
      <c r="DD21">
        <v>-1</v>
      </c>
      <c r="DE21" s="84">
        <f>(DD21*'Dane dla CO'!$T$53+'Dane dla CO'!$V$53)/(DD21*'Dane dla CO'!$P$35+'Dane dla CO'!$Q$35)</f>
        <v>1.9016565393518516</v>
      </c>
      <c r="DF21" s="84">
        <f>DD21*'Dane dla CO'!$N$96+'Dane dla CO'!$N$97</f>
        <v>122.40000000000002</v>
      </c>
      <c r="DG21" s="84">
        <f>IF(DD21&lt;'Dane dla CO'!$R$67,0,IF(DE21&gt;1,DF21,DE21*DF21))</f>
        <v>122.40000000000002</v>
      </c>
      <c r="DH21" s="84">
        <f t="shared" si="6"/>
        <v>0</v>
      </c>
      <c r="DI21" s="84">
        <f>(DD21*'Dane dla CWU'!$T$53+'Dane dla CWU'!$V$53)/(DD21*'Dane dla CO'!$P$35+'Dane dla CO'!$Q$35)</f>
        <v>1.8629195601851849</v>
      </c>
      <c r="DJ21" s="84">
        <f t="shared" si="7"/>
        <v>10.319026666666666</v>
      </c>
      <c r="DK21" s="84">
        <f>IF(DD21&lt;'Dane dla CWU'!$R$67,0,IF(DI21&gt;1,DJ21,DI21*DJ21))</f>
        <v>0</v>
      </c>
      <c r="DL21" s="84">
        <f t="shared" si="8"/>
        <v>10.319026666666666</v>
      </c>
      <c r="DM21" s="49">
        <v>-7</v>
      </c>
      <c r="DN21" s="94">
        <f>DO21*'Dane dla CO'!$N$80</f>
        <v>670.04081632653072</v>
      </c>
      <c r="DO21" s="94">
        <f>(15-DS21)/35*'Dane dla CO'!$N$75</f>
        <v>5.862857142857143</v>
      </c>
      <c r="DP21" s="94">
        <f t="shared" si="31"/>
        <v>223.34693877551024</v>
      </c>
      <c r="DQ21" s="51">
        <v>-7</v>
      </c>
      <c r="DR21" s="130">
        <v>3</v>
      </c>
      <c r="DS21" s="130">
        <v>-4</v>
      </c>
      <c r="DT21" s="89">
        <f>Wykresy!Y19</f>
        <v>45.4</v>
      </c>
      <c r="DU21" s="90">
        <f>Wykresy!AE19</f>
        <v>29.133333333333333</v>
      </c>
      <c r="DV21" s="92">
        <f>(($DV$27-$DV$18)/9)*3+$DV$18</f>
        <v>7.86</v>
      </c>
      <c r="DW21" s="92">
        <f>(($DW$27-$DW$18)/9)*3+$DW$18</f>
        <v>3.35</v>
      </c>
      <c r="DX21" s="92">
        <f t="shared" si="24"/>
        <v>2.3462686567164179</v>
      </c>
      <c r="DY21" s="86">
        <f>(($DY$27-$DY$18)/9)*3+$DY$18</f>
        <v>9.3333333333333339</v>
      </c>
      <c r="DZ21" s="86">
        <f>(($DZ$27-$DZ$18)/9)*3+$DZ$18</f>
        <v>2.7333333333333334</v>
      </c>
      <c r="EA21" s="96">
        <f t="shared" si="37"/>
        <v>3.4146341463414633</v>
      </c>
      <c r="EB21" s="85">
        <f t="shared" si="39"/>
        <v>3</v>
      </c>
      <c r="EC21" s="85">
        <f t="shared" si="26"/>
        <v>3.1283582089552238E-2</v>
      </c>
      <c r="ED21" s="92">
        <f>'Energia 221.A29'!P18</f>
        <v>3.4844876337950188</v>
      </c>
      <c r="EE21" s="86">
        <f t="shared" si="40"/>
        <v>3</v>
      </c>
      <c r="EF21" s="86">
        <f t="shared" si="28"/>
        <v>4.5528455284552849E-2</v>
      </c>
      <c r="EG21" s="96">
        <f>'Energia 221.A29'!S18</f>
        <v>4.6190822300837109</v>
      </c>
      <c r="EI21" s="130">
        <v>3</v>
      </c>
      <c r="EJ21" s="130">
        <f t="shared" si="34"/>
        <v>28</v>
      </c>
      <c r="EK21" s="130">
        <v>-4</v>
      </c>
      <c r="EL21" s="89">
        <v>55</v>
      </c>
      <c r="EM21" s="92">
        <f t="shared" si="46"/>
        <v>7.3666666666666671</v>
      </c>
      <c r="EN21" s="92">
        <f t="shared" si="47"/>
        <v>3.6333333333333333</v>
      </c>
      <c r="EO21" s="92">
        <f t="shared" si="38"/>
        <v>2.0275229357798166</v>
      </c>
      <c r="EP21" s="85">
        <f t="shared" si="29"/>
        <v>3</v>
      </c>
      <c r="EQ21" s="85">
        <f t="shared" si="30"/>
        <v>2.7033639143730887E-2</v>
      </c>
      <c r="ER21" s="92">
        <f>'Energia 221.A29'!V18</f>
        <v>2.8177288712239155</v>
      </c>
    </row>
    <row r="22" spans="1:169">
      <c r="A22" s="162"/>
      <c r="B22">
        <v>20</v>
      </c>
      <c r="C22">
        <v>3</v>
      </c>
      <c r="D22" s="84">
        <f>(C22*'Dane dla CO'!$T$53+'Dane dla CO'!$V$53)/(C22*'Dane dla CO'!$P$35+'Dane dla CO'!$Q$35)</f>
        <v>2.719859182098765</v>
      </c>
      <c r="E22" s="84">
        <f>C22*'Dane dla CO'!$N$96+'Dane dla CO'!$N$97</f>
        <v>93.600000000000023</v>
      </c>
      <c r="F22" s="84">
        <f>IF(C22&lt;'Dane dla CO'!$R$67,0,IF(D22&gt;1,E22,D22*E22))</f>
        <v>93.600000000000023</v>
      </c>
      <c r="G22" s="84">
        <f t="shared" si="9"/>
        <v>0</v>
      </c>
      <c r="H22" s="84">
        <f>(C22*'Dane dla CWU'!$AB$53+'Dane dla CWU'!$AD$53)/(C22*'Dane dla CO'!$P$35+'Dane dla CO'!$Q$35)</f>
        <v>1.4163237311385457</v>
      </c>
      <c r="I22" s="84">
        <f t="shared" si="10"/>
        <v>10.319026666666666</v>
      </c>
      <c r="J22" s="84">
        <f>IF(C22&lt;'Dane dla CWU'!$R$67,0,IF(H22&gt;1,I22,H22*I22))</f>
        <v>10.319026666666666</v>
      </c>
      <c r="K22" s="84">
        <f t="shared" si="11"/>
        <v>0</v>
      </c>
      <c r="M22">
        <v>20</v>
      </c>
      <c r="N22">
        <v>3</v>
      </c>
      <c r="O22" s="84">
        <f>(N22*'Dane dla CO'!$T$53+'Dane dla CO'!$V$53)/(N22*'Dane dla CO'!$P$35+'Dane dla CO'!$Q$35)</f>
        <v>2.719859182098765</v>
      </c>
      <c r="P22" s="84">
        <f>N22*'Dane dla CO'!$N$96+'Dane dla CO'!$N$97</f>
        <v>93.600000000000023</v>
      </c>
      <c r="Q22" s="84">
        <f>IF(N22&lt;'Dane dla CO'!$R$67,0,IF(O22&gt;1,P22,O22*P22))</f>
        <v>93.600000000000023</v>
      </c>
      <c r="R22" s="84">
        <f t="shared" si="12"/>
        <v>0</v>
      </c>
      <c r="S22" s="84">
        <f>(N22*'Dane dla CWU'!$T$53+'Dane dla CWU'!$V$53)/(N22*'Dane dla CO'!$P$35+'Dane dla CO'!$Q$35)</f>
        <v>2.7066936728395059</v>
      </c>
      <c r="T22" s="84">
        <f t="shared" si="13"/>
        <v>10.319026666666666</v>
      </c>
      <c r="U22" s="84">
        <f>IF(N22&lt;'Dane dla CWU'!$R$67,0,IF(S22&gt;1,T22,S22*T22))</f>
        <v>10.319026666666666</v>
      </c>
      <c r="V22" s="84">
        <f t="shared" si="14"/>
        <v>0</v>
      </c>
      <c r="X22">
        <v>20</v>
      </c>
      <c r="Y22">
        <v>7</v>
      </c>
      <c r="Z22" s="84">
        <f>(Y22*'Dane dla CO'!$T$53+'Dane dla CO'!$V$53)/(Y22*'Dane dla CO'!$P$35+'Dane dla CO'!$Q$35)</f>
        <v>4.3562644675925926</v>
      </c>
      <c r="AA22" s="84">
        <f>Y22*'Dane dla CO'!$N$96+'Dane dla CO'!$N$97</f>
        <v>64.800000000000011</v>
      </c>
      <c r="AB22" s="84">
        <f>IF(Y22&lt;'Dane dla CO'!$R$67,0,IF(Z22&gt;1,AA22,Z22*AA22))</f>
        <v>64.800000000000011</v>
      </c>
      <c r="AC22" s="84">
        <f t="shared" si="15"/>
        <v>0</v>
      </c>
      <c r="AD22" s="84">
        <f>(Y22*'Dane dla CWU'!$T$53+'Dane dla CWU'!$V$53)/(Y22*'Dane dla CO'!$P$35+'Dane dla CO'!$Q$35)</f>
        <v>4.3942418981481479</v>
      </c>
      <c r="AE22" s="84">
        <f t="shared" si="16"/>
        <v>10.319026666666666</v>
      </c>
      <c r="AF22" s="84">
        <f>IF(Y22&lt;'Dane dla CWU'!$R$67,0,IF(AD22&gt;1,AE22,AD22*AE22))</f>
        <v>10.319026666666666</v>
      </c>
      <c r="AG22" s="84">
        <f t="shared" si="17"/>
        <v>0</v>
      </c>
      <c r="AI22">
        <v>20</v>
      </c>
      <c r="AJ22">
        <v>14</v>
      </c>
      <c r="AK22" s="84">
        <f>(AJ22*'Dane dla CO'!$T$53+'Dane dla CO'!$V$53)/(AJ22*'Dane dla CO'!$P$35+'Dane dla CO'!$Q$35)</f>
        <v>38.720775462962941</v>
      </c>
      <c r="AL22" s="84">
        <f>AJ22*'Dane dla CO'!$N$96+'Dane dla CO'!$N$97</f>
        <v>14.400000000000006</v>
      </c>
      <c r="AM22" s="84">
        <f>IF(AJ22&lt;'Dane dla CO'!$R$67,0,IF(AK22&gt;1,AL22,AK22*AL22))</f>
        <v>14.400000000000006</v>
      </c>
      <c r="AN22" s="84">
        <f t="shared" si="18"/>
        <v>0</v>
      </c>
      <c r="AO22" s="84">
        <f>(AJ22*'Dane dla CWU'!$T$53+'Dane dla CWU'!$V$53)/(AJ22*'Dane dla CO'!$P$35+'Dane dla CO'!$Q$35)</f>
        <v>39.832754629629619</v>
      </c>
      <c r="AP22" s="84">
        <f t="shared" si="19"/>
        <v>10.319026666666666</v>
      </c>
      <c r="AQ22" s="84">
        <f>IF(AJ22&lt;'Dane dla CWU'!$R$67,0,IF(AO22&gt;1,AP22,AO22*AP22))</f>
        <v>10.319026666666666</v>
      </c>
      <c r="AR22" s="84">
        <f t="shared" si="20"/>
        <v>0</v>
      </c>
      <c r="AT22">
        <v>20</v>
      </c>
      <c r="AU22">
        <v>18</v>
      </c>
      <c r="BA22">
        <v>20</v>
      </c>
      <c r="BB22">
        <v>24</v>
      </c>
      <c r="BH22">
        <v>20</v>
      </c>
      <c r="BI22">
        <v>19</v>
      </c>
      <c r="BO22">
        <v>20</v>
      </c>
      <c r="BP22">
        <v>23</v>
      </c>
      <c r="BV22">
        <v>20</v>
      </c>
      <c r="BW22">
        <v>10</v>
      </c>
      <c r="BX22" s="84">
        <f>(BW22*'Dane dla CO'!$T$53+'Dane dla CO'!$V$53)/(BW22*'Dane dla CO'!$P$35+'Dane dla CO'!$Q$35)</f>
        <v>7.3017939814814818</v>
      </c>
      <c r="BY22" s="84">
        <f>BW22*'Dane dla CO'!$N$96+'Dane dla CO'!$N$97</f>
        <v>43.2</v>
      </c>
      <c r="BZ22" s="84">
        <f>IF(BW22&lt;'Dane dla CO'!$R$67,0,IF(BX22&gt;1,BY22,BX22*BY22))</f>
        <v>43.2</v>
      </c>
      <c r="CA22" s="84">
        <f t="shared" si="43"/>
        <v>0</v>
      </c>
      <c r="CB22" s="84">
        <f>(BW22*'Dane dla CWU'!$T$53+'Dane dla CWU'!$V$53)/(BW22*'Dane dla CO'!$P$35+'Dane dla CO'!$Q$35)</f>
        <v>7.4318287037037045</v>
      </c>
      <c r="CC22" s="84">
        <f t="shared" si="44"/>
        <v>10.319026666666666</v>
      </c>
      <c r="CD22" s="84">
        <f>IF(BW22&lt;'Dane dla CWU'!$R$67,0,IF(CB22&gt;1,CC22,CB22*CC22))</f>
        <v>10.319026666666666</v>
      </c>
      <c r="CE22" s="84">
        <f t="shared" si="45"/>
        <v>0</v>
      </c>
      <c r="CG22">
        <v>20</v>
      </c>
      <c r="CH22">
        <v>8</v>
      </c>
      <c r="CI22" s="84">
        <f>(CH22*'Dane dla CO'!$T$53+'Dane dla CO'!$V$53)/(CH22*'Dane dla CO'!$P$35+'Dane dla CO'!$Q$35)</f>
        <v>5.0575810185185182</v>
      </c>
      <c r="CJ22" s="84">
        <f>CH22*'Dane dla CO'!$N$96+'Dane dla CO'!$N$97</f>
        <v>57.600000000000009</v>
      </c>
      <c r="CK22" s="84">
        <f>IF(CH22&lt;'Dane dla CO'!$R$67,0,IF(CI22&gt;1,CJ22,CI22*CJ22))</f>
        <v>57.600000000000009</v>
      </c>
      <c r="CL22" s="84">
        <f t="shared" si="0"/>
        <v>0</v>
      </c>
      <c r="CM22" s="84">
        <f>(CH22*'Dane dla CWU'!$T$53+'Dane dla CWU'!$V$53)/(CH22*'Dane dla CO'!$P$35+'Dane dla CO'!$Q$35)</f>
        <v>5.1174768518518521</v>
      </c>
      <c r="CN22" s="84">
        <f t="shared" si="1"/>
        <v>10.319026666666666</v>
      </c>
      <c r="CO22" s="84">
        <f>IF(CH22&lt;'Dane dla CWU'!$R$67,0,IF(CM22&gt;1,CN22,CM22*CN22))</f>
        <v>10.319026666666666</v>
      </c>
      <c r="CP22" s="84">
        <f t="shared" si="2"/>
        <v>0</v>
      </c>
      <c r="CR22">
        <v>20</v>
      </c>
      <c r="CS22">
        <v>5</v>
      </c>
      <c r="CT22" s="84">
        <f>(CS22*'Dane dla CO'!$T$53+'Dane dla CO'!$V$53)/(CS22*'Dane dla CO'!$P$35+'Dane dla CO'!$Q$35)</f>
        <v>3.3744212962962958</v>
      </c>
      <c r="CU22" s="84">
        <f>CS22*'Dane dla CO'!$N$96+'Dane dla CO'!$N$97</f>
        <v>79.200000000000017</v>
      </c>
      <c r="CV22" s="84">
        <f>IF(CS22&lt;'Dane dla CO'!$R$67,0,IF(CT22&gt;1,CU22,CT22*CU22))</f>
        <v>79.200000000000017</v>
      </c>
      <c r="CW22" s="84">
        <f t="shared" si="3"/>
        <v>0</v>
      </c>
      <c r="CX22" s="84">
        <f>(CS22*'Dane dla CWU'!$T$53+'Dane dla CWU'!$V$53)/(CS22*'Dane dla CO'!$P$35+'Dane dla CO'!$Q$35)</f>
        <v>3.381712962962963</v>
      </c>
      <c r="CY22" s="84">
        <f t="shared" si="4"/>
        <v>10.319026666666666</v>
      </c>
      <c r="CZ22" s="84">
        <f>IF(CS22&lt;'Dane dla CWU'!$R$67,0,IF(CX22&gt;1,CY22,CX22*CY22))</f>
        <v>10.319026666666666</v>
      </c>
      <c r="DA22" s="84">
        <f t="shared" si="5"/>
        <v>0</v>
      </c>
      <c r="DC22">
        <v>20</v>
      </c>
      <c r="DD22">
        <v>-5</v>
      </c>
      <c r="DE22" s="84">
        <f>(DD22*'Dane dla CO'!$T$53+'Dane dla CO'!$V$53)/(DD22*'Dane dla CO'!$P$35+'Dane dla CO'!$Q$35)</f>
        <v>1.4107349537037033</v>
      </c>
      <c r="DF22" s="84">
        <f>DD22*'Dane dla CO'!$N$96+'Dane dla CO'!$N$97</f>
        <v>151.20000000000002</v>
      </c>
      <c r="DG22" s="84">
        <f>IF(DD22&lt;'Dane dla CO'!$R$67,0,IF(DE22&gt;1,DF22,DE22*DF22))</f>
        <v>151.20000000000002</v>
      </c>
      <c r="DH22" s="84">
        <f t="shared" si="6"/>
        <v>0</v>
      </c>
      <c r="DI22" s="84">
        <f>(DD22*'Dane dla CWU'!$T$53+'Dane dla CWU'!$V$53)/(DD22*'Dane dla CO'!$P$35+'Dane dla CO'!$Q$35)</f>
        <v>1.3566550925925924</v>
      </c>
      <c r="DJ22" s="84">
        <f t="shared" si="7"/>
        <v>10.319026666666666</v>
      </c>
      <c r="DK22" s="84">
        <f>IF(DD22&lt;'Dane dla CWU'!$R$67,0,IF(DI22&gt;1,DJ22,DI22*DJ22))</f>
        <v>0</v>
      </c>
      <c r="DL22" s="84">
        <f t="shared" si="8"/>
        <v>10.319026666666666</v>
      </c>
      <c r="DM22" s="49">
        <v>-6</v>
      </c>
      <c r="DN22" s="94">
        <f>DO22*'Dane dla CO'!$N$80</f>
        <v>634.77551020408168</v>
      </c>
      <c r="DO22" s="94">
        <f>(15-DS22)/35*'Dane dla CO'!$N$75</f>
        <v>5.5542857142857143</v>
      </c>
      <c r="DP22" s="94">
        <f t="shared" si="31"/>
        <v>158.69387755102042</v>
      </c>
      <c r="DQ22" s="51">
        <v>-6</v>
      </c>
      <c r="DR22" s="130">
        <v>4</v>
      </c>
      <c r="DS22" s="130">
        <v>-3</v>
      </c>
      <c r="DT22" s="89">
        <f>Wykresy!Y20</f>
        <v>44.8</v>
      </c>
      <c r="DU22" s="90">
        <f>Wykresy!AE20</f>
        <v>28.766666666666669</v>
      </c>
      <c r="DV22" s="92">
        <f>(($DV$27-$DV$18)/9)*4+$DV$18</f>
        <v>7.6916666666666664</v>
      </c>
      <c r="DW22" s="92">
        <f>(($DW$27-$DW$18)/9)*4+$DW$18</f>
        <v>3.2016666666666667</v>
      </c>
      <c r="DX22" s="92">
        <f t="shared" si="24"/>
        <v>2.4023945861530454</v>
      </c>
      <c r="DY22" s="86">
        <f>(($DY$27-$DY$18)/9)*4+$DY$18</f>
        <v>9.1111111111111107</v>
      </c>
      <c r="DZ22" s="86">
        <f>(($DZ$27-$DZ$18)/9)*4+$DZ$18</f>
        <v>2.6111111111111112</v>
      </c>
      <c r="EA22" s="96">
        <f t="shared" si="37"/>
        <v>3.4893617021276593</v>
      </c>
      <c r="EB22" s="85">
        <f t="shared" si="39"/>
        <v>4</v>
      </c>
      <c r="EC22" s="85">
        <f t="shared" si="26"/>
        <v>4.2709237087165251E-2</v>
      </c>
      <c r="ED22" s="92">
        <f>'Energia 221.A29'!P19</f>
        <v>3.5173050958924321</v>
      </c>
      <c r="EE22" s="86">
        <f t="shared" si="40"/>
        <v>4</v>
      </c>
      <c r="EF22" s="86">
        <f t="shared" si="28"/>
        <v>6.2033096926713945E-2</v>
      </c>
      <c r="EG22" s="96">
        <f>'Energia 221.A29'!S19</f>
        <v>4.6538092291344251</v>
      </c>
      <c r="EI22" s="130">
        <v>4</v>
      </c>
      <c r="EJ22" s="130">
        <f t="shared" si="34"/>
        <v>32</v>
      </c>
      <c r="EK22" s="130">
        <v>-3</v>
      </c>
      <c r="EL22" s="89">
        <v>55</v>
      </c>
      <c r="EM22" s="92">
        <f t="shared" si="46"/>
        <v>7.1688888888888895</v>
      </c>
      <c r="EN22" s="92">
        <f t="shared" si="47"/>
        <v>3.5111111111111111</v>
      </c>
      <c r="EO22" s="92">
        <f t="shared" si="38"/>
        <v>2.0417721518987344</v>
      </c>
      <c r="EP22" s="85">
        <f t="shared" si="29"/>
        <v>4</v>
      </c>
      <c r="EQ22" s="85">
        <f t="shared" si="30"/>
        <v>3.6298171589310833E-2</v>
      </c>
      <c r="ER22" s="92">
        <f>'Energia 221.A29'!V19</f>
        <v>2.8247425333728278</v>
      </c>
    </row>
    <row r="23" spans="1:169">
      <c r="A23" s="162"/>
      <c r="B23">
        <v>21</v>
      </c>
      <c r="C23">
        <v>2</v>
      </c>
      <c r="D23" s="84">
        <f>(C23*'Dane dla CO'!$T$53+'Dane dla CO'!$V$53)/(C23*'Dane dla CO'!$P$35+'Dane dla CO'!$Q$35)</f>
        <v>2.4681045227920229</v>
      </c>
      <c r="E23" s="84">
        <f>C23*'Dane dla CO'!$N$96+'Dane dla CO'!$N$97</f>
        <v>100.80000000000001</v>
      </c>
      <c r="F23" s="84">
        <f>IF(C23&lt;'Dane dla CO'!$R$67,0,IF(D23&gt;1,E23,D23*E23))</f>
        <v>100.80000000000001</v>
      </c>
      <c r="G23" s="84">
        <f t="shared" si="9"/>
        <v>0</v>
      </c>
      <c r="H23" s="84">
        <f>(C23*'Dane dla CWU'!$AB$53+'Dane dla CWU'!$AD$53)/(C23*'Dane dla CO'!$P$35+'Dane dla CO'!$Q$35)</f>
        <v>1.2713675213675213</v>
      </c>
      <c r="I23" s="84">
        <f t="shared" si="10"/>
        <v>10.319026666666666</v>
      </c>
      <c r="J23" s="84">
        <f>IF(C23&lt;'Dane dla CWU'!$R$67,0,IF(H23&gt;1,I23,H23*I23))</f>
        <v>0</v>
      </c>
      <c r="K23" s="84">
        <f t="shared" si="11"/>
        <v>10.319026666666666</v>
      </c>
      <c r="M23">
        <v>21</v>
      </c>
      <c r="N23">
        <v>1</v>
      </c>
      <c r="O23" s="84">
        <f>(N23*'Dane dla CO'!$T$53+'Dane dla CO'!$V$53)/(N23*'Dane dla CO'!$P$35+'Dane dla CO'!$Q$35)</f>
        <v>2.2523148148148144</v>
      </c>
      <c r="P23" s="84">
        <f>N23*'Dane dla CO'!$N$96+'Dane dla CO'!$N$97</f>
        <v>108.00000000000001</v>
      </c>
      <c r="Q23" s="84">
        <f>IF(N23&lt;'Dane dla CO'!$R$67,0,IF(O23&gt;1,P23,O23*P23))</f>
        <v>108.00000000000001</v>
      </c>
      <c r="R23" s="84">
        <f t="shared" si="12"/>
        <v>0</v>
      </c>
      <c r="S23" s="84">
        <f>(N23*'Dane dla CWU'!$T$53+'Dane dla CWU'!$V$53)/(N23*'Dane dla CO'!$P$35+'Dane dla CO'!$Q$35)</f>
        <v>2.2245370370370372</v>
      </c>
      <c r="T23" s="84">
        <f t="shared" si="13"/>
        <v>10.319026666666666</v>
      </c>
      <c r="U23" s="84">
        <f>IF(N23&lt;'Dane dla CWU'!$R$67,0,IF(S23&gt;1,T23,S23*T23))</f>
        <v>0</v>
      </c>
      <c r="V23" s="84">
        <f t="shared" si="14"/>
        <v>10.319026666666666</v>
      </c>
      <c r="X23">
        <v>21</v>
      </c>
      <c r="Y23">
        <v>10</v>
      </c>
      <c r="Z23" s="84">
        <f>(Y23*'Dane dla CO'!$T$53+'Dane dla CO'!$V$53)/(Y23*'Dane dla CO'!$P$35+'Dane dla CO'!$Q$35)</f>
        <v>7.3017939814814818</v>
      </c>
      <c r="AA23" s="84">
        <f>Y23*'Dane dla CO'!$N$96+'Dane dla CO'!$N$97</f>
        <v>43.2</v>
      </c>
      <c r="AB23" s="84">
        <f>IF(Y23&lt;'Dane dla CO'!$R$67,0,IF(Z23&gt;1,AA23,Z23*AA23))</f>
        <v>43.2</v>
      </c>
      <c r="AC23" s="84">
        <f t="shared" si="15"/>
        <v>0</v>
      </c>
      <c r="AD23" s="84">
        <f>(Y23*'Dane dla CWU'!$T$53+'Dane dla CWU'!$V$53)/(Y23*'Dane dla CO'!$P$35+'Dane dla CO'!$Q$35)</f>
        <v>7.4318287037037045</v>
      </c>
      <c r="AE23" s="84">
        <f t="shared" si="16"/>
        <v>10.319026666666666</v>
      </c>
      <c r="AF23" s="84">
        <f>IF(Y23&lt;'Dane dla CWU'!$R$67,0,IF(AD23&gt;1,AE23,AD23*AE23))</f>
        <v>10.319026666666666</v>
      </c>
      <c r="AG23" s="84">
        <f t="shared" si="17"/>
        <v>0</v>
      </c>
      <c r="AI23">
        <v>21</v>
      </c>
      <c r="AJ23">
        <v>12</v>
      </c>
      <c r="AK23" s="84">
        <f>(AJ23*'Dane dla CO'!$T$53+'Dane dla CO'!$V$53)/(AJ23*'Dane dla CO'!$P$35+'Dane dla CO'!$Q$35)</f>
        <v>12.538290895061728</v>
      </c>
      <c r="AL23" s="84">
        <f>AJ23*'Dane dla CO'!$N$96+'Dane dla CO'!$N$97</f>
        <v>28.800000000000011</v>
      </c>
      <c r="AM23" s="84">
        <f>IF(AJ23&lt;'Dane dla CO'!$R$67,0,IF(AK23&gt;1,AL23,AK23*AL23))</f>
        <v>28.800000000000011</v>
      </c>
      <c r="AN23" s="84">
        <f t="shared" si="18"/>
        <v>0</v>
      </c>
      <c r="AO23" s="84">
        <f>(AJ23*'Dane dla CWU'!$T$53+'Dane dla CWU'!$V$53)/(AJ23*'Dane dla CO'!$P$35+'Dane dla CO'!$Q$35)</f>
        <v>12.831983024691358</v>
      </c>
      <c r="AP23" s="84">
        <f t="shared" si="19"/>
        <v>10.319026666666666</v>
      </c>
      <c r="AQ23" s="84">
        <f>IF(AJ23&lt;'Dane dla CWU'!$R$67,0,IF(AO23&gt;1,AP23,AO23*AP23))</f>
        <v>10.319026666666666</v>
      </c>
      <c r="AR23" s="84">
        <f t="shared" si="20"/>
        <v>0</v>
      </c>
      <c r="AT23">
        <v>21</v>
      </c>
      <c r="AU23">
        <v>20</v>
      </c>
      <c r="BA23">
        <v>21</v>
      </c>
      <c r="BB23">
        <v>23</v>
      </c>
      <c r="BH23">
        <v>21</v>
      </c>
      <c r="BI23">
        <v>16</v>
      </c>
      <c r="BO23">
        <v>21</v>
      </c>
      <c r="BP23">
        <v>23</v>
      </c>
      <c r="BV23">
        <v>21</v>
      </c>
      <c r="BW23">
        <v>8</v>
      </c>
      <c r="BX23" s="84">
        <f>(BW23*'Dane dla CO'!$T$53+'Dane dla CO'!$V$53)/(BW23*'Dane dla CO'!$P$35+'Dane dla CO'!$Q$35)</f>
        <v>5.0575810185185182</v>
      </c>
      <c r="BY23" s="84">
        <f>BW23*'Dane dla CO'!$N$96+'Dane dla CO'!$N$97</f>
        <v>57.600000000000009</v>
      </c>
      <c r="BZ23" s="84">
        <f>IF(BW23&lt;'Dane dla CO'!$R$67,0,IF(BX23&gt;1,BY23,BX23*BY23))</f>
        <v>57.600000000000009</v>
      </c>
      <c r="CA23" s="84">
        <f t="shared" si="43"/>
        <v>0</v>
      </c>
      <c r="CB23" s="84">
        <f>(BW23*'Dane dla CWU'!$T$53+'Dane dla CWU'!$V$53)/(BW23*'Dane dla CO'!$P$35+'Dane dla CO'!$Q$35)</f>
        <v>5.1174768518518521</v>
      </c>
      <c r="CC23" s="84">
        <f t="shared" si="44"/>
        <v>10.319026666666666</v>
      </c>
      <c r="CD23" s="84">
        <f>IF(BW23&lt;'Dane dla CWU'!$R$67,0,IF(CB23&gt;1,CC23,CB23*CC23))</f>
        <v>10.319026666666666</v>
      </c>
      <c r="CE23" s="84">
        <f t="shared" si="45"/>
        <v>0</v>
      </c>
      <c r="CG23">
        <v>21</v>
      </c>
      <c r="CH23">
        <v>8</v>
      </c>
      <c r="CI23" s="84">
        <f>(CH23*'Dane dla CO'!$T$53+'Dane dla CO'!$V$53)/(CH23*'Dane dla CO'!$P$35+'Dane dla CO'!$Q$35)</f>
        <v>5.0575810185185182</v>
      </c>
      <c r="CJ23" s="84">
        <f>CH23*'Dane dla CO'!$N$96+'Dane dla CO'!$N$97</f>
        <v>57.600000000000009</v>
      </c>
      <c r="CK23" s="84">
        <f>IF(CH23&lt;'Dane dla CO'!$R$67,0,IF(CI23&gt;1,CJ23,CI23*CJ23))</f>
        <v>57.600000000000009</v>
      </c>
      <c r="CL23" s="84">
        <f t="shared" si="0"/>
        <v>0</v>
      </c>
      <c r="CM23" s="84">
        <f>(CH23*'Dane dla CWU'!$T$53+'Dane dla CWU'!$V$53)/(CH23*'Dane dla CO'!$P$35+'Dane dla CO'!$Q$35)</f>
        <v>5.1174768518518521</v>
      </c>
      <c r="CN23" s="84">
        <f t="shared" si="1"/>
        <v>10.319026666666666</v>
      </c>
      <c r="CO23" s="84">
        <f>IF(CH23&lt;'Dane dla CWU'!$R$67,0,IF(CM23&gt;1,CN23,CM23*CN23))</f>
        <v>10.319026666666666</v>
      </c>
      <c r="CP23" s="84">
        <f t="shared" si="2"/>
        <v>0</v>
      </c>
      <c r="CR23">
        <v>21</v>
      </c>
      <c r="CS23">
        <v>4</v>
      </c>
      <c r="CT23" s="84">
        <f>(CS23*'Dane dla CO'!$T$53+'Dane dla CO'!$V$53)/(CS23*'Dane dla CO'!$P$35+'Dane dla CO'!$Q$35)</f>
        <v>3.0173874158249157</v>
      </c>
      <c r="CU23" s="84">
        <f>CS23*'Dane dla CO'!$N$96+'Dane dla CO'!$N$97</f>
        <v>86.4</v>
      </c>
      <c r="CV23" s="84">
        <f>IF(CS23&lt;'Dane dla CO'!$R$67,0,IF(CT23&gt;1,CU23,CT23*CU23))</f>
        <v>86.4</v>
      </c>
      <c r="CW23" s="84">
        <f t="shared" si="3"/>
        <v>0</v>
      </c>
      <c r="CX23" s="84">
        <f>(CS23*'Dane dla CWU'!$T$53+'Dane dla CWU'!$V$53)/(CS23*'Dane dla CO'!$P$35+'Dane dla CO'!$Q$35)</f>
        <v>3.0135206228956233</v>
      </c>
      <c r="CY23" s="84">
        <f t="shared" si="4"/>
        <v>10.319026666666666</v>
      </c>
      <c r="CZ23" s="84">
        <f>IF(CS23&lt;'Dane dla CWU'!$R$67,0,IF(CX23&gt;1,CY23,CX23*CY23))</f>
        <v>10.319026666666666</v>
      </c>
      <c r="DA23" s="84">
        <f t="shared" si="5"/>
        <v>0</v>
      </c>
      <c r="DC23">
        <v>21</v>
      </c>
      <c r="DD23">
        <v>-5</v>
      </c>
      <c r="DE23" s="84">
        <f>(DD23*'Dane dla CO'!$T$53+'Dane dla CO'!$V$53)/(DD23*'Dane dla CO'!$P$35+'Dane dla CO'!$Q$35)</f>
        <v>1.4107349537037033</v>
      </c>
      <c r="DF23" s="84">
        <f>DD23*'Dane dla CO'!$N$96+'Dane dla CO'!$N$97</f>
        <v>151.20000000000002</v>
      </c>
      <c r="DG23" s="84">
        <f>IF(DD23&lt;'Dane dla CO'!$R$67,0,IF(DE23&gt;1,DF23,DE23*DF23))</f>
        <v>151.20000000000002</v>
      </c>
      <c r="DH23" s="84">
        <f t="shared" si="6"/>
        <v>0</v>
      </c>
      <c r="DI23" s="84">
        <f>(DD23*'Dane dla CWU'!$T$53+'Dane dla CWU'!$V$53)/(DD23*'Dane dla CO'!$P$35+'Dane dla CO'!$Q$35)</f>
        <v>1.3566550925925924</v>
      </c>
      <c r="DJ23" s="84">
        <f t="shared" si="7"/>
        <v>10.319026666666666</v>
      </c>
      <c r="DK23" s="84">
        <f>IF(DD23&lt;'Dane dla CWU'!$R$67,0,IF(DI23&gt;1,DJ23,DI23*DJ23))</f>
        <v>0</v>
      </c>
      <c r="DL23" s="84">
        <f t="shared" si="8"/>
        <v>10.319026666666666</v>
      </c>
      <c r="DM23" s="49">
        <v>-6</v>
      </c>
      <c r="DN23" s="94">
        <f>DO23*'Dane dla CO'!$N$80</f>
        <v>599.51020408163276</v>
      </c>
      <c r="DO23" s="94">
        <f>(15-DS23)/35*'Dane dla CO'!$N$75</f>
        <v>5.2457142857142864</v>
      </c>
      <c r="DP23" s="94">
        <f t="shared" si="31"/>
        <v>149.87755102040819</v>
      </c>
      <c r="DQ23" s="51">
        <v>-6</v>
      </c>
      <c r="DR23" s="130">
        <v>4</v>
      </c>
      <c r="DS23" s="130">
        <v>-2</v>
      </c>
      <c r="DT23" s="89">
        <f>Wykresy!Y21</f>
        <v>44.2</v>
      </c>
      <c r="DU23" s="90">
        <f>Wykresy!AE21</f>
        <v>28.400000000000002</v>
      </c>
      <c r="DV23" s="92">
        <f>(($DV$27-$DV$18)/9)*5+$DV$18</f>
        <v>7.5233333333333334</v>
      </c>
      <c r="DW23" s="92">
        <f>(($DW$27-$DW$18)/9)*5+$DW$18</f>
        <v>3.0533333333333332</v>
      </c>
      <c r="DX23" s="92">
        <f t="shared" si="24"/>
        <v>2.4639737991266375</v>
      </c>
      <c r="DY23" s="86">
        <f>(($DY$27-$DY$18)/9)*5+$DY$18</f>
        <v>8.8888888888888893</v>
      </c>
      <c r="DZ23" s="86">
        <f>(($DZ$27-$DZ$18)/9)*5+$DZ$18</f>
        <v>2.4888888888888889</v>
      </c>
      <c r="EA23" s="96">
        <f t="shared" si="37"/>
        <v>3.5714285714285716</v>
      </c>
      <c r="EB23" s="85">
        <f t="shared" si="39"/>
        <v>4</v>
      </c>
      <c r="EC23" s="85">
        <f t="shared" si="26"/>
        <v>4.3803978651140225E-2</v>
      </c>
      <c r="ED23" s="92">
        <f>'Energia 221.A29'!P20</f>
        <v>3.559566042895022</v>
      </c>
      <c r="EE23" s="86">
        <f t="shared" si="40"/>
        <v>4</v>
      </c>
      <c r="EF23" s="86">
        <f t="shared" si="28"/>
        <v>6.3492063492063489E-2</v>
      </c>
      <c r="EG23" s="96">
        <f>'Energia 221.A29'!S20</f>
        <v>4.6979478885122381</v>
      </c>
      <c r="EI23" s="130">
        <v>4</v>
      </c>
      <c r="EJ23" s="130">
        <f t="shared" si="34"/>
        <v>36</v>
      </c>
      <c r="EK23" s="130">
        <v>-2</v>
      </c>
      <c r="EL23" s="89">
        <v>55</v>
      </c>
      <c r="EM23" s="92">
        <f t="shared" si="46"/>
        <v>6.9711111111111119</v>
      </c>
      <c r="EN23" s="92">
        <f t="shared" si="47"/>
        <v>3.3888888888888888</v>
      </c>
      <c r="EO23" s="92">
        <f t="shared" si="38"/>
        <v>2.0570491803278692</v>
      </c>
      <c r="EP23" s="85">
        <f t="shared" si="29"/>
        <v>4</v>
      </c>
      <c r="EQ23" s="85">
        <f t="shared" si="30"/>
        <v>3.6569763205828783E-2</v>
      </c>
      <c r="ER23" s="92">
        <f>'Energia 221.A29'!V20</f>
        <v>2.8341194241689247</v>
      </c>
    </row>
    <row r="24" spans="1:169">
      <c r="A24" s="162"/>
      <c r="B24">
        <v>22</v>
      </c>
      <c r="C24">
        <v>3</v>
      </c>
      <c r="D24" s="84">
        <f>(C24*'Dane dla CO'!$T$53+'Dane dla CO'!$V$53)/(C24*'Dane dla CO'!$P$35+'Dane dla CO'!$Q$35)</f>
        <v>2.719859182098765</v>
      </c>
      <c r="E24" s="84">
        <f>C24*'Dane dla CO'!$N$96+'Dane dla CO'!$N$97</f>
        <v>93.600000000000023</v>
      </c>
      <c r="F24" s="84">
        <f>IF(C24&lt;'Dane dla CO'!$R$67,0,IF(D24&gt;1,E24,D24*E24))</f>
        <v>93.600000000000023</v>
      </c>
      <c r="G24" s="84">
        <f t="shared" si="9"/>
        <v>0</v>
      </c>
      <c r="H24" s="84">
        <f>(C24*'Dane dla CWU'!$AB$53+'Dane dla CWU'!$AD$53)/(C24*'Dane dla CO'!$P$35+'Dane dla CO'!$Q$35)</f>
        <v>1.4163237311385457</v>
      </c>
      <c r="I24" s="84">
        <f t="shared" si="10"/>
        <v>10.319026666666666</v>
      </c>
      <c r="J24" s="84">
        <f>IF(C24&lt;'Dane dla CWU'!$R$67,0,IF(H24&gt;1,I24,H24*I24))</f>
        <v>10.319026666666666</v>
      </c>
      <c r="K24" s="84">
        <f t="shared" si="11"/>
        <v>0</v>
      </c>
      <c r="M24">
        <v>22</v>
      </c>
      <c r="N24">
        <v>5</v>
      </c>
      <c r="O24" s="84">
        <f>(N24*'Dane dla CO'!$T$53+'Dane dla CO'!$V$53)/(N24*'Dane dla CO'!$P$35+'Dane dla CO'!$Q$35)</f>
        <v>3.3744212962962958</v>
      </c>
      <c r="P24" s="84">
        <f>N24*'Dane dla CO'!$N$96+'Dane dla CO'!$N$97</f>
        <v>79.200000000000017</v>
      </c>
      <c r="Q24" s="84">
        <f>IF(N24&lt;'Dane dla CO'!$R$67,0,IF(O24&gt;1,P24,O24*P24))</f>
        <v>79.200000000000017</v>
      </c>
      <c r="R24" s="84">
        <f t="shared" si="12"/>
        <v>0</v>
      </c>
      <c r="S24" s="84">
        <f>(N24*'Dane dla CWU'!$T$53+'Dane dla CWU'!$V$53)/(N24*'Dane dla CO'!$P$35+'Dane dla CO'!$Q$35)</f>
        <v>3.381712962962963</v>
      </c>
      <c r="T24" s="84">
        <f t="shared" si="13"/>
        <v>10.319026666666666</v>
      </c>
      <c r="U24" s="84">
        <f>IF(N24&lt;'Dane dla CWU'!$R$67,0,IF(S24&gt;1,T24,S24*T24))</f>
        <v>10.319026666666666</v>
      </c>
      <c r="V24" s="84">
        <f t="shared" si="14"/>
        <v>0</v>
      </c>
      <c r="X24">
        <v>22</v>
      </c>
      <c r="Y24">
        <v>10</v>
      </c>
      <c r="Z24" s="84">
        <f>(Y24*'Dane dla CO'!$T$53+'Dane dla CO'!$V$53)/(Y24*'Dane dla CO'!$P$35+'Dane dla CO'!$Q$35)</f>
        <v>7.3017939814814818</v>
      </c>
      <c r="AA24" s="84">
        <f>Y24*'Dane dla CO'!$N$96+'Dane dla CO'!$N$97</f>
        <v>43.2</v>
      </c>
      <c r="AB24" s="84">
        <f>IF(Y24&lt;'Dane dla CO'!$R$67,0,IF(Z24&gt;1,AA24,Z24*AA24))</f>
        <v>43.2</v>
      </c>
      <c r="AC24" s="84">
        <f t="shared" si="15"/>
        <v>0</v>
      </c>
      <c r="AD24" s="84">
        <f>(Y24*'Dane dla CWU'!$T$53+'Dane dla CWU'!$V$53)/(Y24*'Dane dla CO'!$P$35+'Dane dla CO'!$Q$35)</f>
        <v>7.4318287037037045</v>
      </c>
      <c r="AE24" s="84">
        <f t="shared" si="16"/>
        <v>10.319026666666666</v>
      </c>
      <c r="AF24" s="84">
        <f>IF(Y24&lt;'Dane dla CWU'!$R$67,0,IF(AD24&gt;1,AE24,AD24*AE24))</f>
        <v>10.319026666666666</v>
      </c>
      <c r="AG24" s="84">
        <f t="shared" si="17"/>
        <v>0</v>
      </c>
      <c r="AI24">
        <v>22</v>
      </c>
      <c r="AJ24">
        <v>12</v>
      </c>
      <c r="AK24" s="84">
        <f>(AJ24*'Dane dla CO'!$T$53+'Dane dla CO'!$V$53)/(AJ24*'Dane dla CO'!$P$35+'Dane dla CO'!$Q$35)</f>
        <v>12.538290895061728</v>
      </c>
      <c r="AL24" s="84">
        <f>AJ24*'Dane dla CO'!$N$96+'Dane dla CO'!$N$97</f>
        <v>28.800000000000011</v>
      </c>
      <c r="AM24" s="84">
        <f>IF(AJ24&lt;'Dane dla CO'!$R$67,0,IF(AK24&gt;1,AL24,AK24*AL24))</f>
        <v>28.800000000000011</v>
      </c>
      <c r="AN24" s="84">
        <f t="shared" si="18"/>
        <v>0</v>
      </c>
      <c r="AO24" s="84">
        <f>(AJ24*'Dane dla CWU'!$T$53+'Dane dla CWU'!$V$53)/(AJ24*'Dane dla CO'!$P$35+'Dane dla CO'!$Q$35)</f>
        <v>12.831983024691358</v>
      </c>
      <c r="AP24" s="84">
        <f t="shared" si="19"/>
        <v>10.319026666666666</v>
      </c>
      <c r="AQ24" s="84">
        <f>IF(AJ24&lt;'Dane dla CWU'!$R$67,0,IF(AO24&gt;1,AP24,AO24*AP24))</f>
        <v>10.319026666666666</v>
      </c>
      <c r="AR24" s="84">
        <f t="shared" si="20"/>
        <v>0</v>
      </c>
      <c r="AT24">
        <v>22</v>
      </c>
      <c r="AU24">
        <v>21</v>
      </c>
      <c r="BA24">
        <v>22</v>
      </c>
      <c r="BB24">
        <v>20</v>
      </c>
      <c r="BH24">
        <v>22</v>
      </c>
      <c r="BI24">
        <v>16</v>
      </c>
      <c r="BO24">
        <v>22</v>
      </c>
      <c r="BP24">
        <v>23</v>
      </c>
      <c r="BV24">
        <v>22</v>
      </c>
      <c r="BW24">
        <v>9</v>
      </c>
      <c r="BX24" s="84">
        <f>(BW24*'Dane dla CO'!$T$53+'Dane dla CO'!$V$53)/(BW24*'Dane dla CO'!$P$35+'Dane dla CO'!$Q$35)</f>
        <v>5.9926697530864192</v>
      </c>
      <c r="BY24" s="84">
        <f>BW24*'Dane dla CO'!$N$96+'Dane dla CO'!$N$97</f>
        <v>50.400000000000006</v>
      </c>
      <c r="BZ24" s="84">
        <f>IF(BW24&lt;'Dane dla CO'!$R$67,0,IF(BX24&gt;1,BY24,BX24*BY24))</f>
        <v>50.400000000000006</v>
      </c>
      <c r="CA24" s="84">
        <f t="shared" si="43"/>
        <v>0</v>
      </c>
      <c r="CB24" s="84">
        <f>(BW24*'Dane dla CWU'!$T$53+'Dane dla CWU'!$V$53)/(BW24*'Dane dla CO'!$P$35+'Dane dla CO'!$Q$35)</f>
        <v>6.0817901234567913</v>
      </c>
      <c r="CC24" s="84">
        <f t="shared" si="44"/>
        <v>10.319026666666666</v>
      </c>
      <c r="CD24" s="84">
        <f>IF(BW24&lt;'Dane dla CWU'!$R$67,0,IF(CB24&gt;1,CC24,CB24*CC24))</f>
        <v>10.319026666666666</v>
      </c>
      <c r="CE24" s="84">
        <f t="shared" si="45"/>
        <v>0</v>
      </c>
      <c r="CG24">
        <v>22</v>
      </c>
      <c r="CH24">
        <v>9</v>
      </c>
      <c r="CI24" s="84">
        <f>(CH24*'Dane dla CO'!$T$53+'Dane dla CO'!$V$53)/(CH24*'Dane dla CO'!$P$35+'Dane dla CO'!$Q$35)</f>
        <v>5.9926697530864192</v>
      </c>
      <c r="CJ24" s="84">
        <f>CH24*'Dane dla CO'!$N$96+'Dane dla CO'!$N$97</f>
        <v>50.400000000000006</v>
      </c>
      <c r="CK24" s="84">
        <f>IF(CH24&lt;'Dane dla CO'!$R$67,0,IF(CI24&gt;1,CJ24,CI24*CJ24))</f>
        <v>50.400000000000006</v>
      </c>
      <c r="CL24" s="84">
        <f t="shared" si="0"/>
        <v>0</v>
      </c>
      <c r="CM24" s="84">
        <f>(CH24*'Dane dla CWU'!$T$53+'Dane dla CWU'!$V$53)/(CH24*'Dane dla CO'!$P$35+'Dane dla CO'!$Q$35)</f>
        <v>6.0817901234567913</v>
      </c>
      <c r="CN24" s="84">
        <f t="shared" si="1"/>
        <v>10.319026666666666</v>
      </c>
      <c r="CO24" s="84">
        <f>IF(CH24&lt;'Dane dla CWU'!$R$67,0,IF(CM24&gt;1,CN24,CM24*CN24))</f>
        <v>10.319026666666666</v>
      </c>
      <c r="CP24" s="84">
        <f t="shared" si="2"/>
        <v>0</v>
      </c>
      <c r="CR24">
        <v>22</v>
      </c>
      <c r="CS24">
        <v>5</v>
      </c>
      <c r="CT24" s="84">
        <f>(CS24*'Dane dla CO'!$T$53+'Dane dla CO'!$V$53)/(CS24*'Dane dla CO'!$P$35+'Dane dla CO'!$Q$35)</f>
        <v>3.3744212962962958</v>
      </c>
      <c r="CU24" s="84">
        <f>CS24*'Dane dla CO'!$N$96+'Dane dla CO'!$N$97</f>
        <v>79.200000000000017</v>
      </c>
      <c r="CV24" s="84">
        <f>IF(CS24&lt;'Dane dla CO'!$R$67,0,IF(CT24&gt;1,CU24,CT24*CU24))</f>
        <v>79.200000000000017</v>
      </c>
      <c r="CW24" s="84">
        <f t="shared" si="3"/>
        <v>0</v>
      </c>
      <c r="CX24" s="84">
        <f>(CS24*'Dane dla CWU'!$T$53+'Dane dla CWU'!$V$53)/(CS24*'Dane dla CO'!$P$35+'Dane dla CO'!$Q$35)</f>
        <v>3.381712962962963</v>
      </c>
      <c r="CY24" s="84">
        <f t="shared" si="4"/>
        <v>10.319026666666666</v>
      </c>
      <c r="CZ24" s="84">
        <f>IF(CS24&lt;'Dane dla CWU'!$R$67,0,IF(CX24&gt;1,CY24,CX24*CY24))</f>
        <v>10.319026666666666</v>
      </c>
      <c r="DA24" s="84">
        <f t="shared" si="5"/>
        <v>0</v>
      </c>
      <c r="DC24">
        <v>22</v>
      </c>
      <c r="DD24">
        <v>-4</v>
      </c>
      <c r="DE24" s="84">
        <f>(DD24*'Dane dla CO'!$T$53+'Dane dla CO'!$V$53)/(DD24*'Dane dla CO'!$P$35+'Dane dla CO'!$Q$35)</f>
        <v>1.5140868664717346</v>
      </c>
      <c r="DF24" s="84">
        <f>DD24*'Dane dla CO'!$N$96+'Dane dla CO'!$N$97</f>
        <v>144.00000000000003</v>
      </c>
      <c r="DG24" s="84">
        <f>IF(DD24&lt;'Dane dla CO'!$R$67,0,IF(DE24&gt;1,DF24,DE24*DF24))</f>
        <v>144.00000000000003</v>
      </c>
      <c r="DH24" s="84">
        <f t="shared" si="6"/>
        <v>0</v>
      </c>
      <c r="DI24" s="84">
        <f>(DD24*'Dane dla CWU'!$T$53+'Dane dla CWU'!$V$53)/(DD24*'Dane dla CO'!$P$35+'Dane dla CO'!$Q$35)</f>
        <v>1.4632370857699804</v>
      </c>
      <c r="DJ24" s="84">
        <f t="shared" si="7"/>
        <v>10.319026666666666</v>
      </c>
      <c r="DK24" s="84">
        <f>IF(DD24&lt;'Dane dla CWU'!$R$67,0,IF(DI24&gt;1,DJ24,DI24*DJ24))</f>
        <v>0</v>
      </c>
      <c r="DL24" s="84">
        <f t="shared" si="8"/>
        <v>10.319026666666666</v>
      </c>
      <c r="DM24" s="49">
        <v>-5</v>
      </c>
      <c r="DN24" s="94">
        <f>DO24*'Dane dla CO'!$N$80</f>
        <v>564.24489795918373</v>
      </c>
      <c r="DO24" s="94">
        <f>(15-DS24)/35*'Dane dla CO'!$N$75</f>
        <v>4.9371428571428577</v>
      </c>
      <c r="DP24" s="94">
        <f t="shared" si="31"/>
        <v>70.530612244897966</v>
      </c>
      <c r="DQ24" s="51">
        <v>-5</v>
      </c>
      <c r="DR24" s="130">
        <v>8</v>
      </c>
      <c r="DS24" s="130">
        <v>-1</v>
      </c>
      <c r="DT24" s="89">
        <f>Wykresy!Y22</f>
        <v>43.6</v>
      </c>
      <c r="DU24" s="90">
        <f>Wykresy!AE22</f>
        <v>28.033333333333335</v>
      </c>
      <c r="DV24" s="92">
        <f>(($DV$27-$DV$18)/9)*6+$DV$18</f>
        <v>7.3550000000000004</v>
      </c>
      <c r="DW24" s="92">
        <f>(($DW$27-$DW$18)/9)*6+$DW$18</f>
        <v>2.9050000000000002</v>
      </c>
      <c r="DX24" s="92">
        <f t="shared" si="24"/>
        <v>2.53184165232358</v>
      </c>
      <c r="DY24" s="86">
        <f>(($DY$27-$DY$18)/9)*6+$DY$18</f>
        <v>8.6666666666666661</v>
      </c>
      <c r="DZ24" s="86">
        <f>(($DZ$27-$DZ$18)/9)*6+$DZ$18</f>
        <v>2.3666666666666667</v>
      </c>
      <c r="EA24" s="96">
        <f t="shared" si="37"/>
        <v>3.6619718309859151</v>
      </c>
      <c r="EB24" s="85">
        <f t="shared" si="39"/>
        <v>8</v>
      </c>
      <c r="EC24" s="85">
        <f t="shared" si="26"/>
        <v>9.002103652706063E-2</v>
      </c>
      <c r="ED24" s="92">
        <f>'Energia 221.A29'!P21</f>
        <v>3.6003744451460951</v>
      </c>
      <c r="EE24" s="86">
        <f t="shared" si="40"/>
        <v>8</v>
      </c>
      <c r="EF24" s="86">
        <f t="shared" si="28"/>
        <v>0.1302034428794992</v>
      </c>
      <c r="EG24" s="96">
        <f>'Energia 221.A29'!S21</f>
        <v>4.7399082562463422</v>
      </c>
      <c r="EI24" s="130">
        <v>8</v>
      </c>
      <c r="EJ24" s="130">
        <f t="shared" si="34"/>
        <v>44</v>
      </c>
      <c r="EK24" s="130">
        <v>-1</v>
      </c>
      <c r="EL24" s="89">
        <v>55</v>
      </c>
      <c r="EM24" s="92">
        <f t="shared" si="46"/>
        <v>6.7733333333333343</v>
      </c>
      <c r="EN24" s="92">
        <f t="shared" si="47"/>
        <v>3.2666666666666666</v>
      </c>
      <c r="EO24" s="92">
        <f t="shared" si="38"/>
        <v>2.0734693877551025</v>
      </c>
      <c r="EP24" s="85">
        <f t="shared" si="29"/>
        <v>8</v>
      </c>
      <c r="EQ24" s="85">
        <f t="shared" si="30"/>
        <v>7.3723356009070304E-2</v>
      </c>
      <c r="ER24" s="92">
        <f>'Energia 221.A29'!V21</f>
        <v>2.8435384574276039</v>
      </c>
    </row>
    <row r="25" spans="1:169">
      <c r="A25" s="162"/>
      <c r="B25">
        <v>23</v>
      </c>
      <c r="C25">
        <v>3</v>
      </c>
      <c r="D25" s="84">
        <f>(C25*'Dane dla CO'!$T$53+'Dane dla CO'!$V$53)/(C25*'Dane dla CO'!$P$35+'Dane dla CO'!$Q$35)</f>
        <v>2.719859182098765</v>
      </c>
      <c r="E25" s="84">
        <f>C25*'Dane dla CO'!$N$96+'Dane dla CO'!$N$97</f>
        <v>93.600000000000023</v>
      </c>
      <c r="F25" s="84">
        <f>IF(C25&lt;'Dane dla CO'!$R$67,0,IF(D25&gt;1,E25,D25*E25))</f>
        <v>93.600000000000023</v>
      </c>
      <c r="G25" s="84">
        <f t="shared" si="9"/>
        <v>0</v>
      </c>
      <c r="H25" s="84">
        <f>(C25*'Dane dla CWU'!$AB$53+'Dane dla CWU'!$AD$53)/(C25*'Dane dla CO'!$P$35+'Dane dla CO'!$Q$35)</f>
        <v>1.4163237311385457</v>
      </c>
      <c r="I25" s="84">
        <f t="shared" si="10"/>
        <v>10.319026666666666</v>
      </c>
      <c r="J25" s="84">
        <f>IF(C25&lt;'Dane dla CWU'!$R$67,0,IF(H25&gt;1,I25,H25*I25))</f>
        <v>10.319026666666666</v>
      </c>
      <c r="K25" s="84">
        <f t="shared" si="11"/>
        <v>0</v>
      </c>
      <c r="M25">
        <v>23</v>
      </c>
      <c r="N25">
        <v>5</v>
      </c>
      <c r="O25" s="84">
        <f>(N25*'Dane dla CO'!$T$53+'Dane dla CO'!$V$53)/(N25*'Dane dla CO'!$P$35+'Dane dla CO'!$Q$35)</f>
        <v>3.3744212962962958</v>
      </c>
      <c r="P25" s="84">
        <f>N25*'Dane dla CO'!$N$96+'Dane dla CO'!$N$97</f>
        <v>79.200000000000017</v>
      </c>
      <c r="Q25" s="84">
        <f>IF(N25&lt;'Dane dla CO'!$R$67,0,IF(O25&gt;1,P25,O25*P25))</f>
        <v>79.200000000000017</v>
      </c>
      <c r="R25" s="84">
        <f t="shared" si="12"/>
        <v>0</v>
      </c>
      <c r="S25" s="84">
        <f>(N25*'Dane dla CWU'!$T$53+'Dane dla CWU'!$V$53)/(N25*'Dane dla CO'!$P$35+'Dane dla CO'!$Q$35)</f>
        <v>3.381712962962963</v>
      </c>
      <c r="T25" s="84">
        <f t="shared" si="13"/>
        <v>10.319026666666666</v>
      </c>
      <c r="U25" s="84">
        <f>IF(N25&lt;'Dane dla CWU'!$R$67,0,IF(S25&gt;1,T25,S25*T25))</f>
        <v>10.319026666666666</v>
      </c>
      <c r="V25" s="84">
        <f t="shared" si="14"/>
        <v>0</v>
      </c>
      <c r="X25">
        <v>23</v>
      </c>
      <c r="Y25">
        <v>8</v>
      </c>
      <c r="Z25" s="84">
        <f>(Y25*'Dane dla CO'!$T$53+'Dane dla CO'!$V$53)/(Y25*'Dane dla CO'!$P$35+'Dane dla CO'!$Q$35)</f>
        <v>5.0575810185185182</v>
      </c>
      <c r="AA25" s="84">
        <f>Y25*'Dane dla CO'!$N$96+'Dane dla CO'!$N$97</f>
        <v>57.600000000000009</v>
      </c>
      <c r="AB25" s="84">
        <f>IF(Y25&lt;'Dane dla CO'!$R$67,0,IF(Z25&gt;1,AA25,Z25*AA25))</f>
        <v>57.600000000000009</v>
      </c>
      <c r="AC25" s="84">
        <f t="shared" si="15"/>
        <v>0</v>
      </c>
      <c r="AD25" s="84">
        <f>(Y25*'Dane dla CWU'!$T$53+'Dane dla CWU'!$V$53)/(Y25*'Dane dla CO'!$P$35+'Dane dla CO'!$Q$35)</f>
        <v>5.1174768518518521</v>
      </c>
      <c r="AE25" s="84">
        <f t="shared" si="16"/>
        <v>10.319026666666666</v>
      </c>
      <c r="AF25" s="84">
        <f>IF(Y25&lt;'Dane dla CWU'!$R$67,0,IF(AD25&gt;1,AE25,AD25*AE25))</f>
        <v>10.319026666666666</v>
      </c>
      <c r="AG25" s="84">
        <f t="shared" si="17"/>
        <v>0</v>
      </c>
      <c r="AI25">
        <v>23</v>
      </c>
      <c r="AJ25">
        <v>13</v>
      </c>
      <c r="AK25" s="84">
        <f>(AJ25*'Dane dla CO'!$T$53+'Dane dla CO'!$V$53)/(AJ25*'Dane dla CO'!$P$35+'Dane dla CO'!$Q$35)</f>
        <v>19.083912037037027</v>
      </c>
      <c r="AL25" s="84">
        <f>AJ25*'Dane dla CO'!$N$96+'Dane dla CO'!$N$97</f>
        <v>21.600000000000009</v>
      </c>
      <c r="AM25" s="84">
        <f>IF(AJ25&lt;'Dane dla CO'!$R$67,0,IF(AK25&gt;1,AL25,AK25*AL25))</f>
        <v>21.600000000000009</v>
      </c>
      <c r="AN25" s="84">
        <f t="shared" si="18"/>
        <v>0</v>
      </c>
      <c r="AO25" s="84">
        <f>(AJ25*'Dane dla CWU'!$T$53+'Dane dla CWU'!$V$53)/(AJ25*'Dane dla CO'!$P$35+'Dane dla CO'!$Q$35)</f>
        <v>19.582175925925917</v>
      </c>
      <c r="AP25" s="84">
        <f t="shared" si="19"/>
        <v>10.319026666666666</v>
      </c>
      <c r="AQ25" s="84">
        <f>IF(AJ25&lt;'Dane dla CWU'!$R$67,0,IF(AO25&gt;1,AP25,AO25*AP25))</f>
        <v>10.319026666666666</v>
      </c>
      <c r="AR25" s="84">
        <f t="shared" si="20"/>
        <v>0</v>
      </c>
      <c r="AT25">
        <v>23</v>
      </c>
      <c r="AU25">
        <v>21</v>
      </c>
      <c r="BA25">
        <v>23</v>
      </c>
      <c r="BB25">
        <v>20</v>
      </c>
      <c r="BH25">
        <v>23</v>
      </c>
      <c r="BI25">
        <v>17</v>
      </c>
      <c r="BO25">
        <v>23</v>
      </c>
      <c r="BP25">
        <v>22</v>
      </c>
      <c r="BV25">
        <v>23</v>
      </c>
      <c r="BW25">
        <v>10</v>
      </c>
      <c r="BX25" s="84">
        <f>(BW25*'Dane dla CO'!$T$53+'Dane dla CO'!$V$53)/(BW25*'Dane dla CO'!$P$35+'Dane dla CO'!$Q$35)</f>
        <v>7.3017939814814818</v>
      </c>
      <c r="BY25" s="84">
        <f>BW25*'Dane dla CO'!$N$96+'Dane dla CO'!$N$97</f>
        <v>43.2</v>
      </c>
      <c r="BZ25" s="84">
        <f>IF(BW25&lt;'Dane dla CO'!$R$67,0,IF(BX25&gt;1,BY25,BX25*BY25))</f>
        <v>43.2</v>
      </c>
      <c r="CA25" s="84">
        <f t="shared" si="43"/>
        <v>0</v>
      </c>
      <c r="CB25" s="84">
        <f>(BW25*'Dane dla CWU'!$T$53+'Dane dla CWU'!$V$53)/(BW25*'Dane dla CO'!$P$35+'Dane dla CO'!$Q$35)</f>
        <v>7.4318287037037045</v>
      </c>
      <c r="CC25" s="84">
        <f t="shared" si="44"/>
        <v>10.319026666666666</v>
      </c>
      <c r="CD25" s="84">
        <f>IF(BW25&lt;'Dane dla CWU'!$R$67,0,IF(CB25&gt;1,CC25,CB25*CC25))</f>
        <v>10.319026666666666</v>
      </c>
      <c r="CE25" s="84">
        <f t="shared" si="45"/>
        <v>0</v>
      </c>
      <c r="CG25">
        <v>23</v>
      </c>
      <c r="CH25">
        <v>9</v>
      </c>
      <c r="CI25" s="84">
        <f>(CH25*'Dane dla CO'!$T$53+'Dane dla CO'!$V$53)/(CH25*'Dane dla CO'!$P$35+'Dane dla CO'!$Q$35)</f>
        <v>5.9926697530864192</v>
      </c>
      <c r="CJ25" s="84">
        <f>CH25*'Dane dla CO'!$N$96+'Dane dla CO'!$N$97</f>
        <v>50.400000000000006</v>
      </c>
      <c r="CK25" s="84">
        <f>IF(CH25&lt;'Dane dla CO'!$R$67,0,IF(CI25&gt;1,CJ25,CI25*CJ25))</f>
        <v>50.400000000000006</v>
      </c>
      <c r="CL25" s="84">
        <f t="shared" si="0"/>
        <v>0</v>
      </c>
      <c r="CM25" s="84">
        <f>(CH25*'Dane dla CWU'!$T$53+'Dane dla CWU'!$V$53)/(CH25*'Dane dla CO'!$P$35+'Dane dla CO'!$Q$35)</f>
        <v>6.0817901234567913</v>
      </c>
      <c r="CN25" s="84">
        <f t="shared" si="1"/>
        <v>10.319026666666666</v>
      </c>
      <c r="CO25" s="84">
        <f>IF(CH25&lt;'Dane dla CWU'!$R$67,0,IF(CM25&gt;1,CN25,CM25*CN25))</f>
        <v>10.319026666666666</v>
      </c>
      <c r="CP25" s="84">
        <f t="shared" si="2"/>
        <v>0</v>
      </c>
      <c r="CR25">
        <v>23</v>
      </c>
      <c r="CS25">
        <v>6</v>
      </c>
      <c r="CT25" s="84">
        <f>(CS25*'Dane dla CO'!$T$53+'Dane dla CO'!$V$53)/(CS25*'Dane dla CO'!$P$35+'Dane dla CO'!$Q$35)</f>
        <v>3.8107960390946491</v>
      </c>
      <c r="CU25" s="84">
        <f>CS25*'Dane dla CO'!$N$96+'Dane dla CO'!$N$97</f>
        <v>72.000000000000014</v>
      </c>
      <c r="CV25" s="84">
        <f>IF(CS25&lt;'Dane dla CO'!$R$67,0,IF(CT25&gt;1,CU25,CT25*CU25))</f>
        <v>72.000000000000014</v>
      </c>
      <c r="CW25" s="84">
        <f t="shared" si="3"/>
        <v>0</v>
      </c>
      <c r="CX25" s="84">
        <f>(CS25*'Dane dla CWU'!$T$53+'Dane dla CWU'!$V$53)/(CS25*'Dane dla CO'!$P$35+'Dane dla CO'!$Q$35)</f>
        <v>3.8317258230452675</v>
      </c>
      <c r="CY25" s="84">
        <f t="shared" si="4"/>
        <v>10.319026666666666</v>
      </c>
      <c r="CZ25" s="84">
        <f>IF(CS25&lt;'Dane dla CWU'!$R$67,0,IF(CX25&gt;1,CY25,CX25*CY25))</f>
        <v>10.319026666666666</v>
      </c>
      <c r="DA25" s="84">
        <f t="shared" si="5"/>
        <v>0</v>
      </c>
      <c r="DC25">
        <v>23</v>
      </c>
      <c r="DD25">
        <v>-2</v>
      </c>
      <c r="DE25" s="84">
        <f>(DD25*'Dane dla CO'!$T$53+'Dane dla CO'!$V$53)/(DD25*'Dane dla CO'!$P$35+'Dane dla CO'!$Q$35)</f>
        <v>1.7572678376906314</v>
      </c>
      <c r="DF25" s="84">
        <f>DD25*'Dane dla CO'!$N$96+'Dane dla CO'!$N$97</f>
        <v>129.60000000000002</v>
      </c>
      <c r="DG25" s="84">
        <f>IF(DD25&lt;'Dane dla CO'!$R$67,0,IF(DE25&gt;1,DF25,DE25*DF25))</f>
        <v>129.60000000000002</v>
      </c>
      <c r="DH25" s="84">
        <f t="shared" si="6"/>
        <v>0</v>
      </c>
      <c r="DI25" s="84">
        <f>(DD25*'Dane dla CWU'!$T$53+'Dane dla CWU'!$V$53)/(DD25*'Dane dla CO'!$P$35+'Dane dla CO'!$Q$35)</f>
        <v>1.7140182461873639</v>
      </c>
      <c r="DJ25" s="84">
        <f t="shared" si="7"/>
        <v>10.319026666666666</v>
      </c>
      <c r="DK25" s="84">
        <f>IF(DD25&lt;'Dane dla CWU'!$R$67,0,IF(DI25&gt;1,DJ25,DI25*DJ25))</f>
        <v>0</v>
      </c>
      <c r="DL25" s="84">
        <f t="shared" si="8"/>
        <v>10.319026666666666</v>
      </c>
      <c r="DM25" s="49">
        <v>-5</v>
      </c>
      <c r="DN25" s="94">
        <f>DO25*'Dane dla CO'!$N$80</f>
        <v>528.97959183673481</v>
      </c>
      <c r="DO25" s="94">
        <f>(15-DS25)/35*'Dane dla CO'!$N$75</f>
        <v>4.628571428571429</v>
      </c>
      <c r="DP25" s="94">
        <f t="shared" si="31"/>
        <v>31.116446578631461</v>
      </c>
      <c r="DQ25" s="51">
        <v>-5</v>
      </c>
      <c r="DR25" s="130">
        <v>17</v>
      </c>
      <c r="DS25" s="130">
        <v>0</v>
      </c>
      <c r="DT25" s="89">
        <f>Wykresy!Y23</f>
        <v>43</v>
      </c>
      <c r="DU25" s="90">
        <f>Wykresy!AE23</f>
        <v>27.666666666666668</v>
      </c>
      <c r="DV25" s="92">
        <f>(($DV$27-$DV$18)/9)*7+$DV$18</f>
        <v>7.1866666666666665</v>
      </c>
      <c r="DW25" s="92">
        <f>(($DW$27-$DW$18)/9)*7+$DW$18</f>
        <v>2.7566666666666668</v>
      </c>
      <c r="DX25" s="92">
        <f t="shared" si="24"/>
        <v>2.6070133010882706</v>
      </c>
      <c r="DY25" s="86">
        <f>(($DY$27-$DY$18)/9)*7+$DY$18</f>
        <v>8.4444444444444446</v>
      </c>
      <c r="DZ25" s="86">
        <f>(($DZ$27-$DZ$18)/9)*7+$DZ$18</f>
        <v>2.2444444444444445</v>
      </c>
      <c r="EA25" s="96">
        <f t="shared" si="37"/>
        <v>3.7623762376237626</v>
      </c>
      <c r="EB25" s="85">
        <f t="shared" si="39"/>
        <v>17</v>
      </c>
      <c r="EC25" s="85">
        <f t="shared" si="26"/>
        <v>0.19697433830444711</v>
      </c>
      <c r="ED25" s="92">
        <f>'Energia 221.A29'!P22</f>
        <v>3.6812428145528076</v>
      </c>
      <c r="EE25" s="86">
        <f t="shared" si="40"/>
        <v>17</v>
      </c>
      <c r="EF25" s="86">
        <f t="shared" si="28"/>
        <v>0.28426842684268427</v>
      </c>
      <c r="EG25" s="96">
        <f>'Energia 221.A29'!S22</f>
        <v>4.8214883084641595</v>
      </c>
      <c r="EI25" s="130">
        <v>17</v>
      </c>
      <c r="EJ25" s="130">
        <f t="shared" si="34"/>
        <v>61</v>
      </c>
      <c r="EK25" s="130">
        <v>0</v>
      </c>
      <c r="EL25" s="89">
        <v>55</v>
      </c>
      <c r="EM25" s="92">
        <f t="shared" si="46"/>
        <v>6.5755555555555567</v>
      </c>
      <c r="EN25" s="92">
        <f t="shared" si="47"/>
        <v>3.1444444444444444</v>
      </c>
      <c r="EO25" s="92">
        <f t="shared" si="38"/>
        <v>2.0911660777385164</v>
      </c>
      <c r="EP25" s="85">
        <f t="shared" si="29"/>
        <v>17</v>
      </c>
      <c r="EQ25" s="85">
        <f t="shared" si="30"/>
        <v>0.15799921476246567</v>
      </c>
      <c r="ER25" s="92">
        <f>'Energia 221.A29'!V22</f>
        <v>2.8626706082269204</v>
      </c>
    </row>
    <row r="26" spans="1:169">
      <c r="A26" s="162"/>
      <c r="B26">
        <v>24</v>
      </c>
      <c r="C26">
        <v>1</v>
      </c>
      <c r="D26" s="84">
        <f>(C26*'Dane dla CO'!$T$53+'Dane dla CO'!$V$53)/(C26*'Dane dla CO'!$P$35+'Dane dla CO'!$Q$35)</f>
        <v>2.2523148148148144</v>
      </c>
      <c r="E26" s="84">
        <f>C26*'Dane dla CO'!$N$96+'Dane dla CO'!$N$97</f>
        <v>108.00000000000001</v>
      </c>
      <c r="F26" s="84">
        <f>IF(C26&lt;'Dane dla CO'!$R$67,0,IF(D26&gt;1,E26,D26*E26))</f>
        <v>108.00000000000001</v>
      </c>
      <c r="G26" s="84">
        <f t="shared" si="9"/>
        <v>0</v>
      </c>
      <c r="H26" s="84">
        <f>(C26*'Dane dla CWU'!$AB$53+'Dane dla CWU'!$AD$53)/(C26*'Dane dla CO'!$P$35+'Dane dla CO'!$Q$35)</f>
        <v>1.1471193415637859</v>
      </c>
      <c r="I26" s="84">
        <f t="shared" si="10"/>
        <v>10.319026666666666</v>
      </c>
      <c r="J26" s="84">
        <f>IF(C26&lt;'Dane dla CWU'!$R$67,0,IF(H26&gt;1,I26,H26*I26))</f>
        <v>0</v>
      </c>
      <c r="K26" s="84">
        <f t="shared" si="11"/>
        <v>10.319026666666666</v>
      </c>
      <c r="M26">
        <v>24</v>
      </c>
      <c r="N26">
        <v>8</v>
      </c>
      <c r="O26" s="84">
        <f>(N26*'Dane dla CO'!$T$53+'Dane dla CO'!$V$53)/(N26*'Dane dla CO'!$P$35+'Dane dla CO'!$Q$35)</f>
        <v>5.0575810185185182</v>
      </c>
      <c r="P26" s="84">
        <f>N26*'Dane dla CO'!$N$96+'Dane dla CO'!$N$97</f>
        <v>57.600000000000009</v>
      </c>
      <c r="Q26" s="84">
        <f>IF(N26&lt;'Dane dla CO'!$R$67,0,IF(O26&gt;1,P26,O26*P26))</f>
        <v>57.600000000000009</v>
      </c>
      <c r="R26" s="84">
        <f t="shared" si="12"/>
        <v>0</v>
      </c>
      <c r="S26" s="84">
        <f>(N26*'Dane dla CWU'!$T$53+'Dane dla CWU'!$V$53)/(N26*'Dane dla CO'!$P$35+'Dane dla CO'!$Q$35)</f>
        <v>5.1174768518518521</v>
      </c>
      <c r="T26" s="84">
        <f t="shared" si="13"/>
        <v>10.319026666666666</v>
      </c>
      <c r="U26" s="84">
        <f>IF(N26&lt;'Dane dla CWU'!$R$67,0,IF(S26&gt;1,T26,S26*T26))</f>
        <v>10.319026666666666</v>
      </c>
      <c r="V26" s="84">
        <f t="shared" si="14"/>
        <v>0</v>
      </c>
      <c r="X26">
        <v>24</v>
      </c>
      <c r="Y26">
        <v>9</v>
      </c>
      <c r="Z26" s="84">
        <f>(Y26*'Dane dla CO'!$T$53+'Dane dla CO'!$V$53)/(Y26*'Dane dla CO'!$P$35+'Dane dla CO'!$Q$35)</f>
        <v>5.9926697530864192</v>
      </c>
      <c r="AA26" s="84">
        <f>Y26*'Dane dla CO'!$N$96+'Dane dla CO'!$N$97</f>
        <v>50.400000000000006</v>
      </c>
      <c r="AB26" s="84">
        <f>IF(Y26&lt;'Dane dla CO'!$R$67,0,IF(Z26&gt;1,AA26,Z26*AA26))</f>
        <v>50.400000000000006</v>
      </c>
      <c r="AC26" s="84">
        <f t="shared" si="15"/>
        <v>0</v>
      </c>
      <c r="AD26" s="84">
        <f>(Y26*'Dane dla CWU'!$T$53+'Dane dla CWU'!$V$53)/(Y26*'Dane dla CO'!$P$35+'Dane dla CO'!$Q$35)</f>
        <v>6.0817901234567913</v>
      </c>
      <c r="AE26" s="84">
        <f t="shared" si="16"/>
        <v>10.319026666666666</v>
      </c>
      <c r="AF26" s="84">
        <f>IF(Y26&lt;'Dane dla CWU'!$R$67,0,IF(AD26&gt;1,AE26,AD26*AE26))</f>
        <v>10.319026666666666</v>
      </c>
      <c r="AG26" s="84">
        <f t="shared" si="17"/>
        <v>0</v>
      </c>
      <c r="AI26">
        <v>24</v>
      </c>
      <c r="AJ26">
        <v>13</v>
      </c>
      <c r="AK26" s="84">
        <f>(AJ26*'Dane dla CO'!$T$53+'Dane dla CO'!$V$53)/(AJ26*'Dane dla CO'!$P$35+'Dane dla CO'!$Q$35)</f>
        <v>19.083912037037027</v>
      </c>
      <c r="AL26" s="84">
        <f>AJ26*'Dane dla CO'!$N$96+'Dane dla CO'!$N$97</f>
        <v>21.600000000000009</v>
      </c>
      <c r="AM26" s="84">
        <f>IF(AJ26&lt;'Dane dla CO'!$R$67,0,IF(AK26&gt;1,AL26,AK26*AL26))</f>
        <v>21.600000000000009</v>
      </c>
      <c r="AN26" s="84">
        <f t="shared" si="18"/>
        <v>0</v>
      </c>
      <c r="AO26" s="84">
        <f>(AJ26*'Dane dla CWU'!$T$53+'Dane dla CWU'!$V$53)/(AJ26*'Dane dla CO'!$P$35+'Dane dla CO'!$Q$35)</f>
        <v>19.582175925925917</v>
      </c>
      <c r="AP26" s="84">
        <f t="shared" si="19"/>
        <v>10.319026666666666</v>
      </c>
      <c r="AQ26" s="84">
        <f>IF(AJ26&lt;'Dane dla CWU'!$R$67,0,IF(AO26&gt;1,AP26,AO26*AP26))</f>
        <v>10.319026666666666</v>
      </c>
      <c r="AR26" s="84">
        <f t="shared" si="20"/>
        <v>0</v>
      </c>
      <c r="AT26">
        <v>24</v>
      </c>
      <c r="AU26">
        <v>20</v>
      </c>
      <c r="BA26">
        <v>24</v>
      </c>
      <c r="BB26">
        <v>21</v>
      </c>
      <c r="BH26">
        <v>24</v>
      </c>
      <c r="BI26">
        <v>19</v>
      </c>
      <c r="BO26">
        <v>24</v>
      </c>
      <c r="BP26">
        <v>22</v>
      </c>
      <c r="BV26">
        <v>24</v>
      </c>
      <c r="BW26">
        <v>13</v>
      </c>
      <c r="BX26" s="84">
        <f>(BW26*'Dane dla CO'!$T$53+'Dane dla CO'!$V$53)/(BW26*'Dane dla CO'!$P$35+'Dane dla CO'!$Q$35)</f>
        <v>19.083912037037027</v>
      </c>
      <c r="BY26" s="84">
        <f>BW26*'Dane dla CO'!$N$96+'Dane dla CO'!$N$97</f>
        <v>21.600000000000009</v>
      </c>
      <c r="BZ26" s="84">
        <f>IF(BW26&lt;'Dane dla CO'!$R$67,0,IF(BX26&gt;1,BY26,BX26*BY26))</f>
        <v>21.600000000000009</v>
      </c>
      <c r="CA26" s="84">
        <f t="shared" si="43"/>
        <v>0</v>
      </c>
      <c r="CB26" s="84">
        <f>(BW26*'Dane dla CWU'!$T$53+'Dane dla CWU'!$V$53)/(BW26*'Dane dla CO'!$P$35+'Dane dla CO'!$Q$35)</f>
        <v>19.582175925925917</v>
      </c>
      <c r="CC26" s="84">
        <f t="shared" si="44"/>
        <v>10.319026666666666</v>
      </c>
      <c r="CD26" s="84">
        <f>IF(BW26&lt;'Dane dla CWU'!$R$67,0,IF(CB26&gt;1,CC26,CB26*CC26))</f>
        <v>10.319026666666666</v>
      </c>
      <c r="CE26" s="84">
        <f t="shared" si="45"/>
        <v>0</v>
      </c>
      <c r="CG26">
        <v>24</v>
      </c>
      <c r="CH26">
        <v>8</v>
      </c>
      <c r="CI26" s="84">
        <f>(CH26*'Dane dla CO'!$T$53+'Dane dla CO'!$V$53)/(CH26*'Dane dla CO'!$P$35+'Dane dla CO'!$Q$35)</f>
        <v>5.0575810185185182</v>
      </c>
      <c r="CJ26" s="84">
        <f>CH26*'Dane dla CO'!$N$96+'Dane dla CO'!$N$97</f>
        <v>57.600000000000009</v>
      </c>
      <c r="CK26" s="84">
        <f>IF(CH26&lt;'Dane dla CO'!$R$67,0,IF(CI26&gt;1,CJ26,CI26*CJ26))</f>
        <v>57.600000000000009</v>
      </c>
      <c r="CL26" s="84">
        <f t="shared" si="0"/>
        <v>0</v>
      </c>
      <c r="CM26" s="84">
        <f>(CH26*'Dane dla CWU'!$T$53+'Dane dla CWU'!$V$53)/(CH26*'Dane dla CO'!$P$35+'Dane dla CO'!$Q$35)</f>
        <v>5.1174768518518521</v>
      </c>
      <c r="CN26" s="84">
        <f t="shared" si="1"/>
        <v>10.319026666666666</v>
      </c>
      <c r="CO26" s="84">
        <f>IF(CH26&lt;'Dane dla CWU'!$R$67,0,IF(CM26&gt;1,CN26,CM26*CN26))</f>
        <v>10.319026666666666</v>
      </c>
      <c r="CP26" s="84">
        <f t="shared" si="2"/>
        <v>0</v>
      </c>
      <c r="CR26">
        <v>24</v>
      </c>
      <c r="CS26">
        <v>6</v>
      </c>
      <c r="CT26" s="84">
        <f>(CS26*'Dane dla CO'!$T$53+'Dane dla CO'!$V$53)/(CS26*'Dane dla CO'!$P$35+'Dane dla CO'!$Q$35)</f>
        <v>3.8107960390946491</v>
      </c>
      <c r="CU26" s="84">
        <f>CS26*'Dane dla CO'!$N$96+'Dane dla CO'!$N$97</f>
        <v>72.000000000000014</v>
      </c>
      <c r="CV26" s="84">
        <f>IF(CS26&lt;'Dane dla CO'!$R$67,0,IF(CT26&gt;1,CU26,CT26*CU26))</f>
        <v>72.000000000000014</v>
      </c>
      <c r="CW26" s="84">
        <f t="shared" si="3"/>
        <v>0</v>
      </c>
      <c r="CX26" s="84">
        <f>(CS26*'Dane dla CWU'!$T$53+'Dane dla CWU'!$V$53)/(CS26*'Dane dla CO'!$P$35+'Dane dla CO'!$Q$35)</f>
        <v>3.8317258230452675</v>
      </c>
      <c r="CY26" s="84">
        <f t="shared" si="4"/>
        <v>10.319026666666666</v>
      </c>
      <c r="CZ26" s="84">
        <f>IF(CS26&lt;'Dane dla CWU'!$R$67,0,IF(CX26&gt;1,CY26,CX26*CY26))</f>
        <v>10.319026666666666</v>
      </c>
      <c r="DA26" s="84">
        <f t="shared" si="5"/>
        <v>0</v>
      </c>
      <c r="DC26">
        <v>24</v>
      </c>
      <c r="DD26">
        <v>2</v>
      </c>
      <c r="DE26" s="84">
        <f>(DD26*'Dane dla CO'!$T$53+'Dane dla CO'!$V$53)/(DD26*'Dane dla CO'!$P$35+'Dane dla CO'!$Q$35)</f>
        <v>2.4681045227920229</v>
      </c>
      <c r="DF26" s="84">
        <f>DD26*'Dane dla CO'!$N$96+'Dane dla CO'!$N$97</f>
        <v>100.80000000000001</v>
      </c>
      <c r="DG26" s="84">
        <f>IF(DD26&lt;'Dane dla CO'!$R$67,0,IF(DE26&gt;1,DF26,DE26*DF26))</f>
        <v>100.80000000000001</v>
      </c>
      <c r="DH26" s="84">
        <f t="shared" si="6"/>
        <v>0</v>
      </c>
      <c r="DI26" s="84">
        <f>(DD26*'Dane dla CWU'!$T$53+'Dane dla CWU'!$V$53)/(DD26*'Dane dla CO'!$P$35+'Dane dla CO'!$Q$35)</f>
        <v>2.4470708689458691</v>
      </c>
      <c r="DJ26" s="84">
        <f t="shared" si="7"/>
        <v>10.319026666666666</v>
      </c>
      <c r="DK26" s="84">
        <f>IF(DD26&lt;'Dane dla CWU'!$R$67,0,IF(DI26&gt;1,DJ26,DI26*DJ26))</f>
        <v>0</v>
      </c>
      <c r="DL26" s="84">
        <f t="shared" si="8"/>
        <v>10.319026666666666</v>
      </c>
      <c r="DM26" s="49">
        <v>-5</v>
      </c>
      <c r="DN26" s="94">
        <f>DO26*'Dane dla CO'!$N$80</f>
        <v>493.71428571428578</v>
      </c>
      <c r="DO26" s="94">
        <f>(15-DS26)/35*'Dane dla CO'!$N$75</f>
        <v>4.32</v>
      </c>
      <c r="DP26" s="94">
        <f t="shared" si="31"/>
        <v>70.530612244897966</v>
      </c>
      <c r="DQ26" s="51">
        <v>-5</v>
      </c>
      <c r="DR26" s="130">
        <v>7</v>
      </c>
      <c r="DS26" s="130">
        <v>1</v>
      </c>
      <c r="DT26" s="89">
        <f>Wykresy!Y24</f>
        <v>42.4</v>
      </c>
      <c r="DU26" s="90">
        <f>Wykresy!AE24</f>
        <v>27.3</v>
      </c>
      <c r="DV26" s="92">
        <f>(($DV$27-$DV$18)/9)*8+$DV$18</f>
        <v>7.0183333333333326</v>
      </c>
      <c r="DW26" s="92">
        <f>(($DW$27-$DW$18)/9)*8+$DW$18</f>
        <v>2.6083333333333334</v>
      </c>
      <c r="DX26" s="92">
        <f t="shared" si="24"/>
        <v>2.69073482428115</v>
      </c>
      <c r="DY26" s="86">
        <f>(($DY$27-$DY$18)/9)*8+$DY$18</f>
        <v>8.2222222222222214</v>
      </c>
      <c r="DZ26" s="86">
        <f>(($DZ$27-$DZ$18)/9)*8+$DZ$18</f>
        <v>2.1222222222222222</v>
      </c>
      <c r="EA26" s="96">
        <f t="shared" si="37"/>
        <v>3.8743455497382193</v>
      </c>
      <c r="EB26" s="85">
        <f t="shared" si="39"/>
        <v>7</v>
      </c>
      <c r="EC26" s="85">
        <f t="shared" si="26"/>
        <v>8.3711750088746886E-2</v>
      </c>
      <c r="ED26" s="92">
        <f>'Energia 221.A29'!P23</f>
        <v>3.8728430949871386</v>
      </c>
      <c r="EE26" s="86">
        <f t="shared" si="40"/>
        <v>7</v>
      </c>
      <c r="EF26" s="86">
        <f t="shared" si="28"/>
        <v>0.1205351948807446</v>
      </c>
      <c r="EG26" s="96">
        <f>'Energia 221.A29'!S23</f>
        <v>5.0103922319189724</v>
      </c>
      <c r="EI26" s="130">
        <v>7</v>
      </c>
      <c r="EJ26" s="130">
        <f t="shared" si="34"/>
        <v>68</v>
      </c>
      <c r="EK26" s="130">
        <v>1</v>
      </c>
      <c r="EL26" s="89">
        <v>55</v>
      </c>
      <c r="EM26" s="92">
        <f t="shared" si="46"/>
        <v>6.3777777777777791</v>
      </c>
      <c r="EN26" s="92">
        <f t="shared" si="47"/>
        <v>3.0222222222222221</v>
      </c>
      <c r="EO26" s="92">
        <f t="shared" si="38"/>
        <v>2.1102941176470593</v>
      </c>
      <c r="EP26" s="85">
        <f t="shared" si="29"/>
        <v>7</v>
      </c>
      <c r="EQ26" s="85">
        <f t="shared" si="30"/>
        <v>6.5653594771241844E-2</v>
      </c>
      <c r="ER26" s="92">
        <f>'Energia 221.A29'!V23</f>
        <v>2.9056725000902088</v>
      </c>
    </row>
    <row r="27" spans="1:169">
      <c r="A27" s="162"/>
      <c r="B27">
        <v>25</v>
      </c>
      <c r="C27">
        <v>0</v>
      </c>
      <c r="D27" s="84">
        <f>(C27*'Dane dla CO'!$T$53+'Dane dla CO'!$V$53)/(C27*'Dane dla CO'!$P$35+'Dane dla CO'!$Q$35)</f>
        <v>2.0652970679012341</v>
      </c>
      <c r="E27" s="84">
        <f>C27*'Dane dla CO'!$N$96+'Dane dla CO'!$N$97</f>
        <v>115.20000000000002</v>
      </c>
      <c r="F27" s="84">
        <f>IF(C27&lt;'Dane dla CO'!$R$67,0,IF(D27&gt;1,E27,D27*E27))</f>
        <v>115.20000000000002</v>
      </c>
      <c r="G27" s="84">
        <f t="shared" si="9"/>
        <v>0</v>
      </c>
      <c r="H27" s="84">
        <f>(C27*'Dane dla CWU'!$AB$53+'Dane dla CWU'!$AD$53)/(C27*'Dane dla CO'!$P$35+'Dane dla CO'!$Q$35)</f>
        <v>1.0394375857338818</v>
      </c>
      <c r="I27" s="84">
        <f t="shared" si="10"/>
        <v>10.319026666666666</v>
      </c>
      <c r="J27" s="84">
        <f>IF(C27&lt;'Dane dla CWU'!$R$67,0,IF(H27&gt;1,I27,H27*I27))</f>
        <v>0</v>
      </c>
      <c r="K27" s="84">
        <f t="shared" si="11"/>
        <v>10.319026666666666</v>
      </c>
      <c r="M27">
        <v>25</v>
      </c>
      <c r="N27">
        <v>6</v>
      </c>
      <c r="O27" s="84">
        <f>(N27*'Dane dla CO'!$T$53+'Dane dla CO'!$V$53)/(N27*'Dane dla CO'!$P$35+'Dane dla CO'!$Q$35)</f>
        <v>3.8107960390946491</v>
      </c>
      <c r="P27" s="84">
        <f>N27*'Dane dla CO'!$N$96+'Dane dla CO'!$N$97</f>
        <v>72.000000000000014</v>
      </c>
      <c r="Q27" s="84">
        <f>IF(N27&lt;'Dane dla CO'!$R$67,0,IF(O27&gt;1,P27,O27*P27))</f>
        <v>72.000000000000014</v>
      </c>
      <c r="R27" s="84">
        <f t="shared" si="12"/>
        <v>0</v>
      </c>
      <c r="S27" s="84">
        <f>(N27*'Dane dla CWU'!$T$53+'Dane dla CWU'!$V$53)/(N27*'Dane dla CO'!$P$35+'Dane dla CO'!$Q$35)</f>
        <v>3.8317258230452675</v>
      </c>
      <c r="T27" s="84">
        <f t="shared" si="13"/>
        <v>10.319026666666666</v>
      </c>
      <c r="U27" s="84">
        <f>IF(N27&lt;'Dane dla CWU'!$R$67,0,IF(S27&gt;1,T27,S27*T27))</f>
        <v>10.319026666666666</v>
      </c>
      <c r="V27" s="84">
        <f t="shared" si="14"/>
        <v>0</v>
      </c>
      <c r="X27">
        <v>25</v>
      </c>
      <c r="Y27">
        <v>10</v>
      </c>
      <c r="Z27" s="84">
        <f>(Y27*'Dane dla CO'!$T$53+'Dane dla CO'!$V$53)/(Y27*'Dane dla CO'!$P$35+'Dane dla CO'!$Q$35)</f>
        <v>7.3017939814814818</v>
      </c>
      <c r="AA27" s="84">
        <f>Y27*'Dane dla CO'!$N$96+'Dane dla CO'!$N$97</f>
        <v>43.2</v>
      </c>
      <c r="AB27" s="84">
        <f>IF(Y27&lt;'Dane dla CO'!$R$67,0,IF(Z27&gt;1,AA27,Z27*AA27))</f>
        <v>43.2</v>
      </c>
      <c r="AC27" s="84">
        <f t="shared" si="15"/>
        <v>0</v>
      </c>
      <c r="AD27" s="84">
        <f>(Y27*'Dane dla CWU'!$T$53+'Dane dla CWU'!$V$53)/(Y27*'Dane dla CO'!$P$35+'Dane dla CO'!$Q$35)</f>
        <v>7.4318287037037045</v>
      </c>
      <c r="AE27" s="84">
        <f t="shared" si="16"/>
        <v>10.319026666666666</v>
      </c>
      <c r="AF27" s="84">
        <f>IF(Y27&lt;'Dane dla CWU'!$R$67,0,IF(AD27&gt;1,AE27,AD27*AE27))</f>
        <v>10.319026666666666</v>
      </c>
      <c r="AG27" s="84">
        <f t="shared" si="17"/>
        <v>0</v>
      </c>
      <c r="AI27">
        <v>25</v>
      </c>
      <c r="AJ27">
        <v>14</v>
      </c>
      <c r="AK27" s="84">
        <f>(AJ27*'Dane dla CO'!$T$53+'Dane dla CO'!$V$53)/(AJ27*'Dane dla CO'!$P$35+'Dane dla CO'!$Q$35)</f>
        <v>38.720775462962941</v>
      </c>
      <c r="AL27" s="84">
        <f>AJ27*'Dane dla CO'!$N$96+'Dane dla CO'!$N$97</f>
        <v>14.400000000000006</v>
      </c>
      <c r="AM27" s="84">
        <f>IF(AJ27&lt;'Dane dla CO'!$R$67,0,IF(AK27&gt;1,AL27,AK27*AL27))</f>
        <v>14.400000000000006</v>
      </c>
      <c r="AN27" s="84">
        <f t="shared" si="18"/>
        <v>0</v>
      </c>
      <c r="AO27" s="84">
        <f>(AJ27*'Dane dla CWU'!$T$53+'Dane dla CWU'!$V$53)/(AJ27*'Dane dla CO'!$P$35+'Dane dla CO'!$Q$35)</f>
        <v>39.832754629629619</v>
      </c>
      <c r="AP27" s="84">
        <f t="shared" si="19"/>
        <v>10.319026666666666</v>
      </c>
      <c r="AQ27" s="84">
        <f>IF(AJ27&lt;'Dane dla CWU'!$R$67,0,IF(AO27&gt;1,AP27,AO27*AP27))</f>
        <v>10.319026666666666</v>
      </c>
      <c r="AR27" s="84">
        <f t="shared" si="20"/>
        <v>0</v>
      </c>
      <c r="AT27">
        <v>25</v>
      </c>
      <c r="AU27">
        <v>16</v>
      </c>
      <c r="BA27">
        <v>25</v>
      </c>
      <c r="BB27">
        <v>19</v>
      </c>
      <c r="BH27">
        <v>25</v>
      </c>
      <c r="BI27">
        <v>19</v>
      </c>
      <c r="BO27">
        <v>25</v>
      </c>
      <c r="BP27">
        <v>22</v>
      </c>
      <c r="BV27">
        <v>25</v>
      </c>
      <c r="BX27" s="84"/>
      <c r="BY27" s="84"/>
      <c r="BZ27" s="84"/>
      <c r="CA27" s="84"/>
      <c r="CB27" s="84"/>
      <c r="CC27" s="84">
        <f t="shared" si="44"/>
        <v>10.319026666666666</v>
      </c>
      <c r="CD27" s="84">
        <f>IF(BW27&lt;'Dane dla CWU'!$R$67,0,IF(CB27&gt;1,CC27,CB27*CC27))</f>
        <v>0</v>
      </c>
      <c r="CE27" s="84">
        <f t="shared" si="45"/>
        <v>10.319026666666666</v>
      </c>
      <c r="CG27">
        <v>25</v>
      </c>
      <c r="CH27">
        <v>8</v>
      </c>
      <c r="CI27" s="84">
        <f>(CH27*'Dane dla CO'!$T$53+'Dane dla CO'!$V$53)/(CH27*'Dane dla CO'!$P$35+'Dane dla CO'!$Q$35)</f>
        <v>5.0575810185185182</v>
      </c>
      <c r="CJ27" s="84">
        <f>CH27*'Dane dla CO'!$N$96+'Dane dla CO'!$N$97</f>
        <v>57.600000000000009</v>
      </c>
      <c r="CK27" s="84">
        <f>IF(CH27&lt;'Dane dla CO'!$R$67,0,IF(CI27&gt;1,CJ27,CI27*CJ27))</f>
        <v>57.600000000000009</v>
      </c>
      <c r="CL27" s="84">
        <f t="shared" si="0"/>
        <v>0</v>
      </c>
      <c r="CM27" s="84">
        <f>(CH27*'Dane dla CWU'!$T$53+'Dane dla CWU'!$V$53)/(CH27*'Dane dla CO'!$P$35+'Dane dla CO'!$Q$35)</f>
        <v>5.1174768518518521</v>
      </c>
      <c r="CN27" s="84">
        <f t="shared" si="1"/>
        <v>10.319026666666666</v>
      </c>
      <c r="CO27" s="84">
        <f>IF(CH27&lt;'Dane dla CWU'!$R$67,0,IF(CM27&gt;1,CN27,CM27*CN27))</f>
        <v>10.319026666666666</v>
      </c>
      <c r="CP27" s="84">
        <f t="shared" si="2"/>
        <v>0</v>
      </c>
      <c r="CR27">
        <v>25</v>
      </c>
      <c r="CS27">
        <v>4</v>
      </c>
      <c r="CT27" s="84">
        <f>(CS27*'Dane dla CO'!$T$53+'Dane dla CO'!$V$53)/(CS27*'Dane dla CO'!$P$35+'Dane dla CO'!$Q$35)</f>
        <v>3.0173874158249157</v>
      </c>
      <c r="CU27" s="84">
        <f>CS27*'Dane dla CO'!$N$96+'Dane dla CO'!$N$97</f>
        <v>86.4</v>
      </c>
      <c r="CV27" s="84">
        <f>IF(CS27&lt;'Dane dla CO'!$R$67,0,IF(CT27&gt;1,CU27,CT27*CU27))</f>
        <v>86.4</v>
      </c>
      <c r="CW27" s="84">
        <f t="shared" si="3"/>
        <v>0</v>
      </c>
      <c r="CX27" s="84">
        <f>(CS27*'Dane dla CWU'!$T$53+'Dane dla CWU'!$V$53)/(CS27*'Dane dla CO'!$P$35+'Dane dla CO'!$Q$35)</f>
        <v>3.0135206228956233</v>
      </c>
      <c r="CY27" s="84">
        <f t="shared" si="4"/>
        <v>10.319026666666666</v>
      </c>
      <c r="CZ27" s="84">
        <f>IF(CS27&lt;'Dane dla CWU'!$R$67,0,IF(CX27&gt;1,CY27,CX27*CY27))</f>
        <v>10.319026666666666</v>
      </c>
      <c r="DA27" s="84">
        <f t="shared" si="5"/>
        <v>0</v>
      </c>
      <c r="DC27">
        <v>25</v>
      </c>
      <c r="DD27">
        <v>1</v>
      </c>
      <c r="DE27" s="84">
        <f>(DD27*'Dane dla CO'!$T$53+'Dane dla CO'!$V$53)/(DD27*'Dane dla CO'!$P$35+'Dane dla CO'!$Q$35)</f>
        <v>2.2523148148148144</v>
      </c>
      <c r="DF27" s="84">
        <f>DD27*'Dane dla CO'!$N$96+'Dane dla CO'!$N$97</f>
        <v>108.00000000000001</v>
      </c>
      <c r="DG27" s="84">
        <f>IF(DD27&lt;'Dane dla CO'!$R$67,0,IF(DE27&gt;1,DF27,DE27*DF27))</f>
        <v>108.00000000000001</v>
      </c>
      <c r="DH27" s="84">
        <f t="shared" si="6"/>
        <v>0</v>
      </c>
      <c r="DI27" s="84">
        <f>(DD27*'Dane dla CWU'!$T$53+'Dane dla CWU'!$V$53)/(DD27*'Dane dla CO'!$P$35+'Dane dla CO'!$Q$35)</f>
        <v>2.2245370370370372</v>
      </c>
      <c r="DJ27" s="84">
        <f t="shared" si="7"/>
        <v>10.319026666666666</v>
      </c>
      <c r="DK27" s="84">
        <f>IF(DD27&lt;'Dane dla CWU'!$R$67,0,IF(DI27&gt;1,DJ27,DI27*DJ27))</f>
        <v>0</v>
      </c>
      <c r="DL27" s="84">
        <f t="shared" si="8"/>
        <v>10.319026666666666</v>
      </c>
      <c r="DM27" s="49">
        <v>-4</v>
      </c>
      <c r="DN27" s="94">
        <f>DO27*'Dane dla CO'!$N$80</f>
        <v>458.4489795918368</v>
      </c>
      <c r="DO27" s="94">
        <f>(15-DS27)/35*'Dane dla CO'!$N$75</f>
        <v>4.0114285714285716</v>
      </c>
      <c r="DP27" s="94">
        <f t="shared" si="31"/>
        <v>35.265306122448983</v>
      </c>
      <c r="DQ27" s="51">
        <v>-4</v>
      </c>
      <c r="DR27" s="130">
        <v>13</v>
      </c>
      <c r="DS27" s="130">
        <v>2</v>
      </c>
      <c r="DT27" s="89">
        <f>Wykresy!Y25</f>
        <v>41.8</v>
      </c>
      <c r="DU27" s="90">
        <f>Wykresy!AE25</f>
        <v>26.933333333333334</v>
      </c>
      <c r="DV27" s="117">
        <v>6.85</v>
      </c>
      <c r="DW27" s="117">
        <v>2.46</v>
      </c>
      <c r="DX27" s="92">
        <f t="shared" si="24"/>
        <v>2.7845528455284554</v>
      </c>
      <c r="DY27" s="118">
        <v>8</v>
      </c>
      <c r="DZ27" s="118">
        <v>2</v>
      </c>
      <c r="EA27" s="96">
        <f t="shared" si="37"/>
        <v>4</v>
      </c>
      <c r="EB27" s="85">
        <f t="shared" si="39"/>
        <v>13</v>
      </c>
      <c r="EC27" s="85">
        <f t="shared" si="26"/>
        <v>0.16088527551942189</v>
      </c>
      <c r="ED27" s="92">
        <f>'Energia 221.A29'!P24</f>
        <v>3.9602525093703274</v>
      </c>
      <c r="EE27" s="86">
        <f t="shared" si="40"/>
        <v>13</v>
      </c>
      <c r="EF27" s="86">
        <f t="shared" si="28"/>
        <v>0.2311111111111111</v>
      </c>
      <c r="EG27" s="96">
        <f>'Energia 221.A29'!S24</f>
        <v>5.0943956837703661</v>
      </c>
      <c r="EI27" s="130">
        <v>13</v>
      </c>
      <c r="EJ27" s="130">
        <f t="shared" si="34"/>
        <v>81</v>
      </c>
      <c r="EK27" s="130">
        <v>2</v>
      </c>
      <c r="EL27" s="89">
        <v>55</v>
      </c>
      <c r="EM27" s="117">
        <v>6.18</v>
      </c>
      <c r="EN27" s="117">
        <v>2.9</v>
      </c>
      <c r="EO27" s="92">
        <f t="shared" si="38"/>
        <v>2.1310344827586207</v>
      </c>
      <c r="EP27" s="85">
        <f t="shared" si="29"/>
        <v>13</v>
      </c>
      <c r="EQ27" s="85">
        <f t="shared" si="30"/>
        <v>0.1231264367816092</v>
      </c>
      <c r="ER27" s="92">
        <f>'Energia 221.A29'!V24</f>
        <v>2.9243558849126994</v>
      </c>
      <c r="ES27">
        <f>(EM32-EM27)/5</f>
        <v>0.29199999999999998</v>
      </c>
      <c r="ET27">
        <f>(EN32-EN27)/5</f>
        <v>6.0000000000000496E-3</v>
      </c>
    </row>
    <row r="28" spans="1:169">
      <c r="A28" s="162"/>
      <c r="B28">
        <v>26</v>
      </c>
      <c r="C28">
        <v>-3</v>
      </c>
      <c r="D28" s="84">
        <f>(C28*'Dane dla CO'!$T$53+'Dane dla CO'!$V$53)/(C28*'Dane dla CO'!$P$35+'Dane dla CO'!$Q$35)</f>
        <v>1.6289223251028804</v>
      </c>
      <c r="E28" s="84">
        <f>C28*'Dane dla CO'!$N$96+'Dane dla CO'!$N$97</f>
        <v>136.80000000000001</v>
      </c>
      <c r="F28" s="84">
        <f>IF(C28&lt;'Dane dla CO'!$R$67,0,IF(D28&gt;1,E28,D28*E28))</f>
        <v>136.80000000000001</v>
      </c>
      <c r="G28" s="84">
        <f t="shared" si="9"/>
        <v>0</v>
      </c>
      <c r="H28" s="84">
        <f>(C28*'Dane dla CWU'!$AB$53+'Dane dla CWU'!$AD$53)/(C28*'Dane dla CO'!$P$35+'Dane dla CO'!$Q$35)</f>
        <v>0.78818015546410591</v>
      </c>
      <c r="I28" s="84">
        <f t="shared" si="10"/>
        <v>10.319026666666666</v>
      </c>
      <c r="J28" s="84">
        <f>IF(C28&lt;'Dane dla CWU'!$R$67,0,IF(H28&gt;1,I28,H28*I28))</f>
        <v>0</v>
      </c>
      <c r="K28" s="84">
        <f t="shared" si="11"/>
        <v>10.319026666666666</v>
      </c>
      <c r="M28">
        <v>26</v>
      </c>
      <c r="N28">
        <v>3</v>
      </c>
      <c r="O28" s="84">
        <f>(N28*'Dane dla CO'!$T$53+'Dane dla CO'!$V$53)/(N28*'Dane dla CO'!$P$35+'Dane dla CO'!$Q$35)</f>
        <v>2.719859182098765</v>
      </c>
      <c r="P28" s="84">
        <f>N28*'Dane dla CO'!$N$96+'Dane dla CO'!$N$97</f>
        <v>93.600000000000023</v>
      </c>
      <c r="Q28" s="84">
        <f>IF(N28&lt;'Dane dla CO'!$R$67,0,IF(O28&gt;1,P28,O28*P28))</f>
        <v>93.600000000000023</v>
      </c>
      <c r="R28" s="84">
        <f t="shared" si="12"/>
        <v>0</v>
      </c>
      <c r="S28" s="84">
        <f>(N28*'Dane dla CWU'!$T$53+'Dane dla CWU'!$V$53)/(N28*'Dane dla CO'!$P$35+'Dane dla CO'!$Q$35)</f>
        <v>2.7066936728395059</v>
      </c>
      <c r="T28" s="84">
        <f t="shared" si="13"/>
        <v>10.319026666666666</v>
      </c>
      <c r="U28" s="84">
        <f>IF(N28&lt;'Dane dla CWU'!$R$67,0,IF(S28&gt;1,T28,S28*T28))</f>
        <v>10.319026666666666</v>
      </c>
      <c r="V28" s="84">
        <f t="shared" si="14"/>
        <v>0</v>
      </c>
      <c r="X28">
        <v>26</v>
      </c>
      <c r="Y28">
        <v>6</v>
      </c>
      <c r="Z28" s="84">
        <f>(Y28*'Dane dla CO'!$T$53+'Dane dla CO'!$V$53)/(Y28*'Dane dla CO'!$P$35+'Dane dla CO'!$Q$35)</f>
        <v>3.8107960390946491</v>
      </c>
      <c r="AA28" s="84">
        <f>Y28*'Dane dla CO'!$N$96+'Dane dla CO'!$N$97</f>
        <v>72.000000000000014</v>
      </c>
      <c r="AB28" s="84">
        <f>IF(Y28&lt;'Dane dla CO'!$R$67,0,IF(Z28&gt;1,AA28,Z28*AA28))</f>
        <v>72.000000000000014</v>
      </c>
      <c r="AC28" s="84">
        <f t="shared" si="15"/>
        <v>0</v>
      </c>
      <c r="AD28" s="84">
        <f>(Y28*'Dane dla CWU'!$T$53+'Dane dla CWU'!$V$53)/(Y28*'Dane dla CO'!$P$35+'Dane dla CO'!$Q$35)</f>
        <v>3.8317258230452675</v>
      </c>
      <c r="AE28" s="84">
        <f t="shared" si="16"/>
        <v>10.319026666666666</v>
      </c>
      <c r="AF28" s="84">
        <f>IF(Y28&lt;'Dane dla CWU'!$R$67,0,IF(AD28&gt;1,AE28,AD28*AE28))</f>
        <v>10.319026666666666</v>
      </c>
      <c r="AG28" s="84">
        <f t="shared" si="17"/>
        <v>0</v>
      </c>
      <c r="AI28">
        <v>26</v>
      </c>
      <c r="AJ28">
        <v>14</v>
      </c>
      <c r="AK28" s="84">
        <f>(AJ28*'Dane dla CO'!$T$53+'Dane dla CO'!$V$53)/(AJ28*'Dane dla CO'!$P$35+'Dane dla CO'!$Q$35)</f>
        <v>38.720775462962941</v>
      </c>
      <c r="AL28" s="84">
        <f>AJ28*'Dane dla CO'!$N$96+'Dane dla CO'!$N$97</f>
        <v>14.400000000000006</v>
      </c>
      <c r="AM28" s="84">
        <f>IF(AJ28&lt;'Dane dla CO'!$R$67,0,IF(AK28&gt;1,AL28,AK28*AL28))</f>
        <v>14.400000000000006</v>
      </c>
      <c r="AN28" s="84">
        <f t="shared" si="18"/>
        <v>0</v>
      </c>
      <c r="AO28" s="84">
        <f>(AJ28*'Dane dla CWU'!$T$53+'Dane dla CWU'!$V$53)/(AJ28*'Dane dla CO'!$P$35+'Dane dla CO'!$Q$35)</f>
        <v>39.832754629629619</v>
      </c>
      <c r="AP28" s="84">
        <f t="shared" si="19"/>
        <v>10.319026666666666</v>
      </c>
      <c r="AQ28" s="84">
        <f>IF(AJ28&lt;'Dane dla CWU'!$R$67,0,IF(AO28&gt;1,AP28,AO28*AP28))</f>
        <v>10.319026666666666</v>
      </c>
      <c r="AR28" s="84">
        <f t="shared" si="20"/>
        <v>0</v>
      </c>
      <c r="AT28">
        <v>26</v>
      </c>
      <c r="AU28">
        <v>16</v>
      </c>
      <c r="BA28">
        <v>26</v>
      </c>
      <c r="BB28">
        <v>16</v>
      </c>
      <c r="BH28">
        <v>26</v>
      </c>
      <c r="BI28">
        <v>20</v>
      </c>
      <c r="BO28">
        <v>26</v>
      </c>
      <c r="BP28">
        <v>17</v>
      </c>
      <c r="BV28">
        <v>26</v>
      </c>
      <c r="BX28" s="84"/>
      <c r="BY28" s="84"/>
      <c r="BZ28" s="84"/>
      <c r="CA28" s="84"/>
      <c r="CB28" s="84"/>
      <c r="CC28" s="84">
        <f t="shared" si="44"/>
        <v>10.319026666666666</v>
      </c>
      <c r="CD28" s="84">
        <f>IF(BW28&lt;'Dane dla CWU'!$R$67,0,IF(CB28&gt;1,CC28,CB28*CC28))</f>
        <v>0</v>
      </c>
      <c r="CE28" s="84">
        <f t="shared" si="45"/>
        <v>10.319026666666666</v>
      </c>
      <c r="CG28">
        <v>26</v>
      </c>
      <c r="CH28">
        <v>6</v>
      </c>
      <c r="CI28" s="84">
        <f>(CH28*'Dane dla CO'!$T$53+'Dane dla CO'!$V$53)/(CH28*'Dane dla CO'!$P$35+'Dane dla CO'!$Q$35)</f>
        <v>3.8107960390946491</v>
      </c>
      <c r="CJ28" s="84">
        <f>CH28*'Dane dla CO'!$N$96+'Dane dla CO'!$N$97</f>
        <v>72.000000000000014</v>
      </c>
      <c r="CK28" s="84">
        <f>IF(CH28&lt;'Dane dla CO'!$R$67,0,IF(CI28&gt;1,CJ28,CI28*CJ28))</f>
        <v>72.000000000000014</v>
      </c>
      <c r="CL28" s="84">
        <f t="shared" si="0"/>
        <v>0</v>
      </c>
      <c r="CM28" s="84">
        <f>(CH28*'Dane dla CWU'!$T$53+'Dane dla CWU'!$V$53)/(CH28*'Dane dla CO'!$P$35+'Dane dla CO'!$Q$35)</f>
        <v>3.8317258230452675</v>
      </c>
      <c r="CN28" s="84">
        <f t="shared" si="1"/>
        <v>10.319026666666666</v>
      </c>
      <c r="CO28" s="84">
        <f>IF(CH28&lt;'Dane dla CWU'!$R$67,0,IF(CM28&gt;1,CN28,CM28*CN28))</f>
        <v>10.319026666666666</v>
      </c>
      <c r="CP28" s="84">
        <f t="shared" si="2"/>
        <v>0</v>
      </c>
      <c r="CR28">
        <v>26</v>
      </c>
      <c r="CS28">
        <v>4</v>
      </c>
      <c r="CT28" s="84">
        <f>(CS28*'Dane dla CO'!$T$53+'Dane dla CO'!$V$53)/(CS28*'Dane dla CO'!$P$35+'Dane dla CO'!$Q$35)</f>
        <v>3.0173874158249157</v>
      </c>
      <c r="CU28" s="84">
        <f>CS28*'Dane dla CO'!$N$96+'Dane dla CO'!$N$97</f>
        <v>86.4</v>
      </c>
      <c r="CV28" s="84">
        <f>IF(CS28&lt;'Dane dla CO'!$R$67,0,IF(CT28&gt;1,CU28,CT28*CU28))</f>
        <v>86.4</v>
      </c>
      <c r="CW28" s="84">
        <f t="shared" si="3"/>
        <v>0</v>
      </c>
      <c r="CX28" s="84">
        <f>(CS28*'Dane dla CWU'!$T$53+'Dane dla CWU'!$V$53)/(CS28*'Dane dla CO'!$P$35+'Dane dla CO'!$Q$35)</f>
        <v>3.0135206228956233</v>
      </c>
      <c r="CY28" s="84">
        <f t="shared" si="4"/>
        <v>10.319026666666666</v>
      </c>
      <c r="CZ28" s="84">
        <f>IF(CS28&lt;'Dane dla CWU'!$R$67,0,IF(CX28&gt;1,CY28,CX28*CY28))</f>
        <v>10.319026666666666</v>
      </c>
      <c r="DA28" s="84">
        <f t="shared" si="5"/>
        <v>0</v>
      </c>
      <c r="DC28">
        <v>26</v>
      </c>
      <c r="DD28">
        <v>3</v>
      </c>
      <c r="DE28" s="84">
        <f>(DD28*'Dane dla CO'!$T$53+'Dane dla CO'!$V$53)/(DD28*'Dane dla CO'!$P$35+'Dane dla CO'!$Q$35)</f>
        <v>2.719859182098765</v>
      </c>
      <c r="DF28" s="84">
        <f>DD28*'Dane dla CO'!$N$96+'Dane dla CO'!$N$97</f>
        <v>93.600000000000023</v>
      </c>
      <c r="DG28" s="84">
        <f>IF(DD28&lt;'Dane dla CO'!$R$67,0,IF(DE28&gt;1,DF28,DE28*DF28))</f>
        <v>93.600000000000023</v>
      </c>
      <c r="DH28" s="84">
        <f t="shared" si="6"/>
        <v>0</v>
      </c>
      <c r="DI28" s="84">
        <f>(DD28*'Dane dla CWU'!$T$53+'Dane dla CWU'!$V$53)/(DD28*'Dane dla CO'!$P$35+'Dane dla CO'!$Q$35)</f>
        <v>2.7066936728395059</v>
      </c>
      <c r="DJ28" s="84">
        <f t="shared" si="7"/>
        <v>10.319026666666666</v>
      </c>
      <c r="DK28" s="84">
        <f>IF(DD28&lt;'Dane dla CWU'!$R$67,0,IF(DI28&gt;1,DJ28,DI28*DJ28))</f>
        <v>10.319026666666666</v>
      </c>
      <c r="DL28" s="84">
        <f t="shared" si="8"/>
        <v>0</v>
      </c>
      <c r="DM28" s="49">
        <v>-4</v>
      </c>
      <c r="DN28" s="94">
        <f>DO28*'Dane dla CO'!$N$80</f>
        <v>423.18367346938783</v>
      </c>
      <c r="DO28" s="94">
        <f>(15-DS28)/35*'Dane dla CO'!$N$75</f>
        <v>3.7028571428571433</v>
      </c>
      <c r="DP28" s="94">
        <f t="shared" si="31"/>
        <v>28.212244897959188</v>
      </c>
      <c r="DQ28" s="51">
        <v>-4</v>
      </c>
      <c r="DR28" s="130">
        <v>15</v>
      </c>
      <c r="DS28" s="130">
        <v>3</v>
      </c>
      <c r="DT28" s="89">
        <f>Wykresy!Y26</f>
        <v>41.2</v>
      </c>
      <c r="DU28" s="90">
        <f>Wykresy!AE26</f>
        <v>26.566666666666666</v>
      </c>
      <c r="DV28" s="92">
        <f>(($DV$32-$DV$27)/5)*1+$DV$27</f>
        <v>7.375</v>
      </c>
      <c r="DW28" s="92">
        <f>(($DW$32-$DW$27)/5)*1+$DW$27</f>
        <v>2.4159999999999999</v>
      </c>
      <c r="DX28" s="92">
        <f t="shared" si="24"/>
        <v>3.0525662251655632</v>
      </c>
      <c r="DY28" s="86">
        <f>(($DY$32-$DY$27)/5)*2+$DY$27</f>
        <v>9.1999999999999993</v>
      </c>
      <c r="DZ28" s="86">
        <f>(($DZ$32-$DZ$27)/5)*1+$DZ$27</f>
        <v>2</v>
      </c>
      <c r="EA28" s="96">
        <f t="shared" si="37"/>
        <v>4.5999999999999996</v>
      </c>
      <c r="EB28" s="85">
        <f t="shared" si="39"/>
        <v>15</v>
      </c>
      <c r="EC28" s="85">
        <f t="shared" si="26"/>
        <v>0.20350441501103755</v>
      </c>
      <c r="ED28" s="92">
        <f>'Energia 221.A29'!P25</f>
        <v>4.1330936554278557</v>
      </c>
      <c r="EE28" s="86">
        <f t="shared" si="40"/>
        <v>15</v>
      </c>
      <c r="EF28" s="86">
        <f t="shared" si="28"/>
        <v>0.30666666666666664</v>
      </c>
      <c r="EG28" s="96">
        <f>'Energia 221.A29'!S25</f>
        <v>5.2552842253262675</v>
      </c>
      <c r="EI28" s="130">
        <v>15</v>
      </c>
      <c r="EJ28" s="130">
        <f t="shared" si="34"/>
        <v>96</v>
      </c>
      <c r="EK28" s="130">
        <v>3</v>
      </c>
      <c r="EL28" s="89">
        <v>55</v>
      </c>
      <c r="EM28" s="92">
        <f>EM27+$ES$27</f>
        <v>6.4719999999999995</v>
      </c>
      <c r="EN28" s="92">
        <f>EN27+$ET$27</f>
        <v>2.9060000000000001</v>
      </c>
      <c r="EO28" s="92">
        <f t="shared" si="38"/>
        <v>2.2271163110805228</v>
      </c>
      <c r="EP28" s="85">
        <f t="shared" si="29"/>
        <v>15</v>
      </c>
      <c r="EQ28" s="85">
        <f t="shared" si="30"/>
        <v>0.14847442073870151</v>
      </c>
      <c r="ER28" s="92">
        <f>'Energia 221.A29'!V25</f>
        <v>2.960542475186394</v>
      </c>
    </row>
    <row r="29" spans="1:169">
      <c r="A29" s="162"/>
      <c r="B29">
        <v>27</v>
      </c>
      <c r="C29">
        <v>-10</v>
      </c>
      <c r="D29" s="84">
        <f>(C29*'Dane dla CO'!$T$53+'Dane dla CO'!$V$53)/(C29*'Dane dla CO'!$P$35+'Dane dla CO'!$Q$35)</f>
        <v>1.0179976851851849</v>
      </c>
      <c r="E29" s="84">
        <f>C29*'Dane dla CO'!$N$96+'Dane dla CO'!$N$97</f>
        <v>187.20000000000005</v>
      </c>
      <c r="F29" s="84">
        <f>IF(C29&lt;'Dane dla CO'!$R$67,0,IF(D29&gt;1,E29,D29*E29))</f>
        <v>0</v>
      </c>
      <c r="G29" s="84">
        <f t="shared" si="9"/>
        <v>187.20000000000005</v>
      </c>
      <c r="H29" s="84">
        <f>(C29*'Dane dla CWU'!$AB$53+'Dane dla CWU'!$AD$53)/(C29*'Dane dla CO'!$P$35+'Dane dla CO'!$Q$35)</f>
        <v>0.43641975308641973</v>
      </c>
      <c r="I29" s="84">
        <f t="shared" si="10"/>
        <v>10.319026666666666</v>
      </c>
      <c r="J29" s="84">
        <f>IF(C29&lt;'Dane dla CWU'!$R$67,0,IF(H29&gt;1,I29,H29*I29))</f>
        <v>0</v>
      </c>
      <c r="K29" s="84">
        <f t="shared" si="11"/>
        <v>10.319026666666666</v>
      </c>
      <c r="M29">
        <v>27</v>
      </c>
      <c r="N29">
        <v>0</v>
      </c>
      <c r="O29" s="84">
        <f>(N29*'Dane dla CO'!$T$53+'Dane dla CO'!$V$53)/(N29*'Dane dla CO'!$P$35+'Dane dla CO'!$Q$35)</f>
        <v>2.0652970679012341</v>
      </c>
      <c r="P29" s="84">
        <f>N29*'Dane dla CO'!$N$96+'Dane dla CO'!$N$97</f>
        <v>115.20000000000002</v>
      </c>
      <c r="Q29" s="84">
        <f>IF(N29&lt;'Dane dla CO'!$R$67,0,IF(O29&gt;1,P29,O29*P29))</f>
        <v>115.20000000000002</v>
      </c>
      <c r="R29" s="84">
        <f t="shared" si="12"/>
        <v>0</v>
      </c>
      <c r="S29" s="84">
        <f>(N29*'Dane dla CWU'!$T$53+'Dane dla CWU'!$V$53)/(N29*'Dane dla CO'!$P$35+'Dane dla CO'!$Q$35)</f>
        <v>2.0316743827160493</v>
      </c>
      <c r="T29" s="84">
        <f t="shared" si="13"/>
        <v>10.319026666666666</v>
      </c>
      <c r="U29" s="84">
        <f>IF(N29&lt;'Dane dla CWU'!$R$67,0,IF(S29&gt;1,T29,S29*T29))</f>
        <v>0</v>
      </c>
      <c r="V29" s="84">
        <f t="shared" si="14"/>
        <v>10.319026666666666</v>
      </c>
      <c r="X29">
        <v>27</v>
      </c>
      <c r="Y29">
        <v>9</v>
      </c>
      <c r="Z29" s="84">
        <f>(Y29*'Dane dla CO'!$T$53+'Dane dla CO'!$V$53)/(Y29*'Dane dla CO'!$P$35+'Dane dla CO'!$Q$35)</f>
        <v>5.9926697530864192</v>
      </c>
      <c r="AA29" s="84">
        <f>Y29*'Dane dla CO'!$N$96+'Dane dla CO'!$N$97</f>
        <v>50.400000000000006</v>
      </c>
      <c r="AB29" s="84">
        <f>IF(Y29&lt;'Dane dla CO'!$R$67,0,IF(Z29&gt;1,AA29,Z29*AA29))</f>
        <v>50.400000000000006</v>
      </c>
      <c r="AC29" s="84">
        <f t="shared" si="15"/>
        <v>0</v>
      </c>
      <c r="AD29" s="84">
        <f>(Y29*'Dane dla CWU'!$T$53+'Dane dla CWU'!$V$53)/(Y29*'Dane dla CO'!$P$35+'Dane dla CO'!$Q$35)</f>
        <v>6.0817901234567913</v>
      </c>
      <c r="AE29" s="84">
        <f t="shared" si="16"/>
        <v>10.319026666666666</v>
      </c>
      <c r="AF29" s="84">
        <f>IF(Y29&lt;'Dane dla CWU'!$R$67,0,IF(AD29&gt;1,AE29,AD29*AE29))</f>
        <v>10.319026666666666</v>
      </c>
      <c r="AG29" s="84">
        <f t="shared" si="17"/>
        <v>0</v>
      </c>
      <c r="AI29">
        <v>27</v>
      </c>
      <c r="AJ29">
        <v>17</v>
      </c>
      <c r="AO29" s="84"/>
      <c r="AP29" s="84">
        <f t="shared" si="19"/>
        <v>10.319026666666666</v>
      </c>
      <c r="AQ29" s="84">
        <f>AP29</f>
        <v>10.319026666666666</v>
      </c>
      <c r="AR29" s="84">
        <f t="shared" si="20"/>
        <v>0</v>
      </c>
      <c r="AT29">
        <v>27</v>
      </c>
      <c r="AU29">
        <v>15</v>
      </c>
      <c r="BA29">
        <v>27</v>
      </c>
      <c r="BB29">
        <v>18</v>
      </c>
      <c r="BH29">
        <v>27</v>
      </c>
      <c r="BI29">
        <v>23</v>
      </c>
      <c r="BO29">
        <v>27</v>
      </c>
      <c r="BP29">
        <v>17</v>
      </c>
      <c r="BV29">
        <v>27</v>
      </c>
      <c r="BX29" s="84"/>
      <c r="BY29" s="84"/>
      <c r="BZ29" s="84"/>
      <c r="CA29" s="84"/>
      <c r="CB29" s="84"/>
      <c r="CC29" s="84">
        <f t="shared" si="44"/>
        <v>10.319026666666666</v>
      </c>
      <c r="CD29" s="84">
        <f>IF(BW29&lt;'Dane dla CWU'!$R$67,0,IF(CB29&gt;1,CC29,CB29*CC29))</f>
        <v>0</v>
      </c>
      <c r="CE29" s="84">
        <f t="shared" si="45"/>
        <v>10.319026666666666</v>
      </c>
      <c r="CG29">
        <v>27</v>
      </c>
      <c r="CH29">
        <v>4</v>
      </c>
      <c r="CI29" s="84">
        <f>(CH29*'Dane dla CO'!$T$53+'Dane dla CO'!$V$53)/(CH29*'Dane dla CO'!$P$35+'Dane dla CO'!$Q$35)</f>
        <v>3.0173874158249157</v>
      </c>
      <c r="CJ29" s="84">
        <f>CH29*'Dane dla CO'!$N$96+'Dane dla CO'!$N$97</f>
        <v>86.4</v>
      </c>
      <c r="CK29" s="84">
        <f>IF(CH29&lt;'Dane dla CO'!$R$67,0,IF(CI29&gt;1,CJ29,CI29*CJ29))</f>
        <v>86.4</v>
      </c>
      <c r="CL29" s="84">
        <f t="shared" si="0"/>
        <v>0</v>
      </c>
      <c r="CM29" s="84">
        <f>(CH29*'Dane dla CWU'!$T$53+'Dane dla CWU'!$V$53)/(CH29*'Dane dla CO'!$P$35+'Dane dla CO'!$Q$35)</f>
        <v>3.0135206228956233</v>
      </c>
      <c r="CN29" s="84">
        <f t="shared" si="1"/>
        <v>10.319026666666666</v>
      </c>
      <c r="CO29" s="84">
        <f>IF(CH29&lt;'Dane dla CWU'!$R$67,0,IF(CM29&gt;1,CN29,CM29*CN29))</f>
        <v>10.319026666666666</v>
      </c>
      <c r="CP29" s="84">
        <f t="shared" si="2"/>
        <v>0</v>
      </c>
      <c r="CR29">
        <v>27</v>
      </c>
      <c r="CS29">
        <v>4</v>
      </c>
      <c r="CT29" s="84">
        <f>(CS29*'Dane dla CO'!$T$53+'Dane dla CO'!$V$53)/(CS29*'Dane dla CO'!$P$35+'Dane dla CO'!$Q$35)</f>
        <v>3.0173874158249157</v>
      </c>
      <c r="CU29" s="84">
        <f>CS29*'Dane dla CO'!$N$96+'Dane dla CO'!$N$97</f>
        <v>86.4</v>
      </c>
      <c r="CV29" s="84">
        <f>IF(CS29&lt;'Dane dla CO'!$R$67,0,IF(CT29&gt;1,CU29,CT29*CU29))</f>
        <v>86.4</v>
      </c>
      <c r="CW29" s="84">
        <f t="shared" si="3"/>
        <v>0</v>
      </c>
      <c r="CX29" s="84">
        <f>(CS29*'Dane dla CWU'!$T$53+'Dane dla CWU'!$V$53)/(CS29*'Dane dla CO'!$P$35+'Dane dla CO'!$Q$35)</f>
        <v>3.0135206228956233</v>
      </c>
      <c r="CY29" s="84">
        <f t="shared" si="4"/>
        <v>10.319026666666666</v>
      </c>
      <c r="CZ29" s="84">
        <f>IF(CS29&lt;'Dane dla CWU'!$R$67,0,IF(CX29&gt;1,CY29,CX29*CY29))</f>
        <v>10.319026666666666</v>
      </c>
      <c r="DA29" s="84">
        <f t="shared" si="5"/>
        <v>0</v>
      </c>
      <c r="DC29">
        <v>27</v>
      </c>
      <c r="DD29">
        <v>5</v>
      </c>
      <c r="DE29" s="84">
        <f>(DD29*'Dane dla CO'!$T$53+'Dane dla CO'!$V$53)/(DD29*'Dane dla CO'!$P$35+'Dane dla CO'!$Q$35)</f>
        <v>3.3744212962962958</v>
      </c>
      <c r="DF29" s="84">
        <f>DD29*'Dane dla CO'!$N$96+'Dane dla CO'!$N$97</f>
        <v>79.200000000000017</v>
      </c>
      <c r="DG29" s="84">
        <f>IF(DD29&lt;'Dane dla CO'!$R$67,0,IF(DE29&gt;1,DF29,DE29*DF29))</f>
        <v>79.200000000000017</v>
      </c>
      <c r="DH29" s="84">
        <f t="shared" si="6"/>
        <v>0</v>
      </c>
      <c r="DI29" s="84">
        <f>(DD29*'Dane dla CWU'!$T$53+'Dane dla CWU'!$V$53)/(DD29*'Dane dla CO'!$P$35+'Dane dla CO'!$Q$35)</f>
        <v>3.381712962962963</v>
      </c>
      <c r="DJ29" s="84">
        <f t="shared" si="7"/>
        <v>10.319026666666666</v>
      </c>
      <c r="DK29" s="84">
        <f>IF(DD29&lt;'Dane dla CWU'!$R$67,0,IF(DI29&gt;1,DJ29,DI29*DJ29))</f>
        <v>10.319026666666666</v>
      </c>
      <c r="DL29" s="84">
        <f t="shared" si="8"/>
        <v>0</v>
      </c>
      <c r="DM29" s="49">
        <v>-4</v>
      </c>
      <c r="DN29" s="94">
        <f>DO29*'Dane dla CO'!$N$80</f>
        <v>387.91836734693885</v>
      </c>
      <c r="DO29" s="94">
        <f>(15-DS29)/35*'Dane dla CO'!$N$75</f>
        <v>3.3942857142857146</v>
      </c>
      <c r="DP29" s="94">
        <f t="shared" si="31"/>
        <v>29.83987441130299</v>
      </c>
      <c r="DQ29" s="51">
        <v>-4</v>
      </c>
      <c r="DR29" s="130">
        <v>13</v>
      </c>
      <c r="DS29" s="130">
        <v>4</v>
      </c>
      <c r="DT29" s="89">
        <f>Wykresy!Y27</f>
        <v>40.6</v>
      </c>
      <c r="DU29" s="90">
        <f>Wykresy!AE27</f>
        <v>26.200000000000003</v>
      </c>
      <c r="DV29" s="92">
        <f>(($DV$32-$DV$27)/5)*2+$DV$27</f>
        <v>7.8999999999999995</v>
      </c>
      <c r="DW29" s="92">
        <f>(($DW$32-$DW$27)/5)*2+$DW$27</f>
        <v>2.3719999999999999</v>
      </c>
      <c r="DX29" s="92">
        <f t="shared" si="24"/>
        <v>3.3305227655986509</v>
      </c>
      <c r="DY29" s="86">
        <f>(($DY$32-$DY$27)/5)*3+$DY$27</f>
        <v>9.8000000000000007</v>
      </c>
      <c r="DZ29" s="86">
        <f>(($DZ$32-$DZ$27)/5)*2+$DZ$27</f>
        <v>2</v>
      </c>
      <c r="EA29" s="96">
        <f t="shared" si="37"/>
        <v>4.9000000000000004</v>
      </c>
      <c r="EB29" s="85">
        <f t="shared" si="39"/>
        <v>13</v>
      </c>
      <c r="EC29" s="85">
        <f t="shared" si="26"/>
        <v>0.1924302042345887</v>
      </c>
      <c r="ED29" s="92">
        <f>'Energia 221.A29'!P26</f>
        <v>4.3351098096954948</v>
      </c>
      <c r="EE29" s="86">
        <f t="shared" si="40"/>
        <v>13</v>
      </c>
      <c r="EF29" s="86">
        <f t="shared" si="28"/>
        <v>0.28311111111111115</v>
      </c>
      <c r="EG29" s="96">
        <f>'Energia 221.A29'!S26</f>
        <v>5.3777966164467106</v>
      </c>
      <c r="EI29" s="130">
        <v>13</v>
      </c>
      <c r="EJ29" s="130">
        <f t="shared" si="34"/>
        <v>109</v>
      </c>
      <c r="EK29" s="130">
        <v>4</v>
      </c>
      <c r="EL29" s="89">
        <v>55</v>
      </c>
      <c r="EM29" s="92">
        <f>EM28+$ES$27</f>
        <v>6.7639999999999993</v>
      </c>
      <c r="EN29" s="92">
        <f>EN28+$ET$27</f>
        <v>2.9120000000000004</v>
      </c>
      <c r="EO29" s="92">
        <f t="shared" si="38"/>
        <v>2.3228021978021971</v>
      </c>
      <c r="EP29" s="85">
        <f t="shared" si="29"/>
        <v>13</v>
      </c>
      <c r="EQ29" s="85">
        <f t="shared" si="30"/>
        <v>0.13420634920634916</v>
      </c>
      <c r="ER29" s="92">
        <f>'Energia 221.A29'!V26</f>
        <v>3.0012883731922755</v>
      </c>
    </row>
    <row r="30" spans="1:169">
      <c r="A30" s="162"/>
      <c r="B30">
        <v>28</v>
      </c>
      <c r="C30">
        <v>-10</v>
      </c>
      <c r="D30" s="84">
        <f>(C30*'Dane dla CO'!$T$53+'Dane dla CO'!$V$53)/(C30*'Dane dla CO'!$P$35+'Dane dla CO'!$Q$35)</f>
        <v>1.0179976851851849</v>
      </c>
      <c r="E30" s="84">
        <f>C30*'Dane dla CO'!$N$96+'Dane dla CO'!$N$97</f>
        <v>187.20000000000005</v>
      </c>
      <c r="F30" s="84">
        <f>IF(C30&lt;'Dane dla CO'!$R$67,0,IF(D30&gt;1,E30,D30*E30))</f>
        <v>0</v>
      </c>
      <c r="G30" s="84">
        <f t="shared" si="9"/>
        <v>187.20000000000005</v>
      </c>
      <c r="H30" s="84">
        <f>(C30*'Dane dla CWU'!$AB$53+'Dane dla CWU'!$AD$53)/(C30*'Dane dla CO'!$P$35+'Dane dla CO'!$Q$35)</f>
        <v>0.43641975308641973</v>
      </c>
      <c r="I30" s="84">
        <f t="shared" si="10"/>
        <v>10.319026666666666</v>
      </c>
      <c r="J30" s="84">
        <f>IF(C30&lt;'Dane dla CWU'!$R$67,0,IF(H30&gt;1,I30,H30*I30))</f>
        <v>0</v>
      </c>
      <c r="K30" s="84">
        <f t="shared" si="11"/>
        <v>10.319026666666666</v>
      </c>
      <c r="M30">
        <v>28</v>
      </c>
      <c r="N30">
        <v>0</v>
      </c>
      <c r="O30" s="84">
        <f>(N30*'Dane dla CO'!$T$53+'Dane dla CO'!$V$53)/(N30*'Dane dla CO'!$P$35+'Dane dla CO'!$Q$35)</f>
        <v>2.0652970679012341</v>
      </c>
      <c r="P30" s="84">
        <f>N30*'Dane dla CO'!$N$96+'Dane dla CO'!$N$97</f>
        <v>115.20000000000002</v>
      </c>
      <c r="Q30" s="84">
        <f>IF(N30&lt;'Dane dla CO'!$R$67,0,IF(O30&gt;1,P30,O30*P30))</f>
        <v>115.20000000000002</v>
      </c>
      <c r="R30" s="84">
        <f t="shared" si="12"/>
        <v>0</v>
      </c>
      <c r="S30" s="84">
        <f>(N30*'Dane dla CWU'!$T$53+'Dane dla CWU'!$V$53)/(N30*'Dane dla CO'!$P$35+'Dane dla CO'!$Q$35)</f>
        <v>2.0316743827160493</v>
      </c>
      <c r="T30" s="84">
        <f t="shared" si="13"/>
        <v>10.319026666666666</v>
      </c>
      <c r="U30" s="84">
        <f>IF(N30&lt;'Dane dla CWU'!$R$67,0,IF(S30&gt;1,T30,S30*T30))</f>
        <v>0</v>
      </c>
      <c r="V30" s="84">
        <f t="shared" si="14"/>
        <v>10.319026666666666</v>
      </c>
      <c r="X30">
        <v>28</v>
      </c>
      <c r="Y30">
        <v>11</v>
      </c>
      <c r="Z30" s="84">
        <f>(Y30*'Dane dla CO'!$T$53+'Dane dla CO'!$V$53)/(Y30*'Dane dla CO'!$P$35+'Dane dla CO'!$Q$35)</f>
        <v>9.2654803240740726</v>
      </c>
      <c r="AA30" s="84">
        <f>Y30*'Dane dla CO'!$N$96+'Dane dla CO'!$N$97</f>
        <v>36</v>
      </c>
      <c r="AB30" s="84">
        <f>IF(Y30&lt;'Dane dla CO'!$R$67,0,IF(Z30&gt;1,AA30,Z30*AA30))</f>
        <v>36</v>
      </c>
      <c r="AC30" s="84">
        <f t="shared" si="15"/>
        <v>0</v>
      </c>
      <c r="AD30" s="84">
        <f>(Y30*'Dane dla CWU'!$T$53+'Dane dla CWU'!$V$53)/(Y30*'Dane dla CO'!$P$35+'Dane dla CO'!$Q$35)</f>
        <v>9.4568865740740744</v>
      </c>
      <c r="AE30" s="84">
        <f t="shared" si="16"/>
        <v>10.319026666666666</v>
      </c>
      <c r="AF30" s="84">
        <f>IF(Y30&lt;'Dane dla CWU'!$R$67,0,IF(AD30&gt;1,AE30,AD30*AE30))</f>
        <v>10.319026666666666</v>
      </c>
      <c r="AG30" s="84">
        <f t="shared" si="17"/>
        <v>0</v>
      </c>
      <c r="AI30">
        <v>28</v>
      </c>
      <c r="AJ30">
        <v>19</v>
      </c>
      <c r="AO30" s="84"/>
      <c r="AP30" s="84">
        <f t="shared" si="19"/>
        <v>10.319026666666666</v>
      </c>
      <c r="AQ30" s="84">
        <f t="shared" ref="AQ30:AQ32" si="48">AP30</f>
        <v>10.319026666666666</v>
      </c>
      <c r="AR30" s="84">
        <f t="shared" si="20"/>
        <v>0</v>
      </c>
      <c r="AT30">
        <v>28</v>
      </c>
      <c r="AU30">
        <v>16</v>
      </c>
      <c r="BA30">
        <v>28</v>
      </c>
      <c r="BB30">
        <v>18</v>
      </c>
      <c r="BH30">
        <v>28</v>
      </c>
      <c r="BI30">
        <v>25</v>
      </c>
      <c r="BO30">
        <v>28</v>
      </c>
      <c r="BP30">
        <v>14</v>
      </c>
      <c r="BV30">
        <v>28</v>
      </c>
      <c r="BW30">
        <v>14</v>
      </c>
      <c r="BX30" s="84">
        <f>(BW30*'Dane dla CO'!$T$53+'Dane dla CO'!$V$53)/(BW30*'Dane dla CO'!$P$35+'Dane dla CO'!$Q$35)</f>
        <v>38.720775462962941</v>
      </c>
      <c r="BY30" s="84">
        <f>BW30*'Dane dla CO'!$N$96+'Dane dla CO'!$N$97</f>
        <v>14.400000000000006</v>
      </c>
      <c r="BZ30" s="84">
        <f>IF(BW30&lt;'Dane dla CO'!$R$67,0,IF(BX30&gt;1,BY30,BX30*BY30))</f>
        <v>14.400000000000006</v>
      </c>
      <c r="CA30" s="84">
        <f t="shared" si="43"/>
        <v>0</v>
      </c>
      <c r="CB30" s="84">
        <f>(BW30*'Dane dla CWU'!$T$53+'Dane dla CWU'!$V$53)/(BW30*'Dane dla CO'!$P$35+'Dane dla CO'!$Q$35)</f>
        <v>39.832754629629619</v>
      </c>
      <c r="CC30" s="84">
        <f t="shared" si="44"/>
        <v>10.319026666666666</v>
      </c>
      <c r="CD30" s="84">
        <f>IF(BW30&lt;'Dane dla CWU'!$R$67,0,IF(CB30&gt;1,CC30,CB30*CC30))</f>
        <v>10.319026666666666</v>
      </c>
      <c r="CE30" s="84">
        <f t="shared" si="45"/>
        <v>0</v>
      </c>
      <c r="CG30">
        <v>28</v>
      </c>
      <c r="CH30">
        <v>0</v>
      </c>
      <c r="CI30" s="84">
        <f>(CH30*'Dane dla CO'!$T$53+'Dane dla CO'!$V$53)/(CH30*'Dane dla CO'!$P$35+'Dane dla CO'!$Q$35)</f>
        <v>2.0652970679012341</v>
      </c>
      <c r="CJ30" s="84">
        <f>CH30*'Dane dla CO'!$N$96+'Dane dla CO'!$N$97</f>
        <v>115.20000000000002</v>
      </c>
      <c r="CK30" s="84">
        <f>IF(CH30&lt;'Dane dla CO'!$R$67,0,IF(CI30&gt;1,CJ30,CI30*CJ30))</f>
        <v>115.20000000000002</v>
      </c>
      <c r="CL30" s="84">
        <f t="shared" si="0"/>
        <v>0</v>
      </c>
      <c r="CM30" s="84">
        <f>(CH30*'Dane dla CWU'!$T$53+'Dane dla CWU'!$V$53)/(CH30*'Dane dla CO'!$P$35+'Dane dla CO'!$Q$35)</f>
        <v>2.0316743827160493</v>
      </c>
      <c r="CN30" s="84">
        <f t="shared" si="1"/>
        <v>10.319026666666666</v>
      </c>
      <c r="CO30" s="84">
        <f>IF(CH30&lt;'Dane dla CWU'!$R$67,0,IF(CM30&gt;1,CN30,CM30*CN30))</f>
        <v>0</v>
      </c>
      <c r="CP30" s="84">
        <f t="shared" si="2"/>
        <v>10.319026666666666</v>
      </c>
      <c r="CR30">
        <v>28</v>
      </c>
      <c r="CS30">
        <v>6</v>
      </c>
      <c r="CT30" s="84">
        <f>(CS30*'Dane dla CO'!$T$53+'Dane dla CO'!$V$53)/(CS30*'Dane dla CO'!$P$35+'Dane dla CO'!$Q$35)</f>
        <v>3.8107960390946491</v>
      </c>
      <c r="CU30" s="84">
        <f>CS30*'Dane dla CO'!$N$96+'Dane dla CO'!$N$97</f>
        <v>72.000000000000014</v>
      </c>
      <c r="CV30" s="84">
        <f>IF(CS30&lt;'Dane dla CO'!$R$67,0,IF(CT30&gt;1,CU30,CT30*CU30))</f>
        <v>72.000000000000014</v>
      </c>
      <c r="CW30" s="84">
        <f t="shared" si="3"/>
        <v>0</v>
      </c>
      <c r="CX30" s="84">
        <f>(CS30*'Dane dla CWU'!$T$53+'Dane dla CWU'!$V$53)/(CS30*'Dane dla CO'!$P$35+'Dane dla CO'!$Q$35)</f>
        <v>3.8317258230452675</v>
      </c>
      <c r="CY30" s="84">
        <f t="shared" si="4"/>
        <v>10.319026666666666</v>
      </c>
      <c r="CZ30" s="84">
        <f>IF(CS30&lt;'Dane dla CWU'!$R$67,0,IF(CX30&gt;1,CY30,CX30*CY30))</f>
        <v>10.319026666666666</v>
      </c>
      <c r="DA30" s="84">
        <f t="shared" si="5"/>
        <v>0</v>
      </c>
      <c r="DC30">
        <v>28</v>
      </c>
      <c r="DD30">
        <v>1</v>
      </c>
      <c r="DE30" s="84">
        <f>(DD30*'Dane dla CO'!$T$53+'Dane dla CO'!$V$53)/(DD30*'Dane dla CO'!$P$35+'Dane dla CO'!$Q$35)</f>
        <v>2.2523148148148144</v>
      </c>
      <c r="DF30" s="84">
        <f>DD30*'Dane dla CO'!$N$96+'Dane dla CO'!$N$97</f>
        <v>108.00000000000001</v>
      </c>
      <c r="DG30" s="84">
        <f>IF(DD30&lt;'Dane dla CO'!$R$67,0,IF(DE30&gt;1,DF30,DE30*DF30))</f>
        <v>108.00000000000001</v>
      </c>
      <c r="DH30" s="84">
        <f t="shared" si="6"/>
        <v>0</v>
      </c>
      <c r="DI30" s="84">
        <f>(DD30*'Dane dla CWU'!$T$53+'Dane dla CWU'!$V$53)/(DD30*'Dane dla CO'!$P$35+'Dane dla CO'!$Q$35)</f>
        <v>2.2245370370370372</v>
      </c>
      <c r="DJ30" s="84">
        <f t="shared" si="7"/>
        <v>10.319026666666666</v>
      </c>
      <c r="DK30" s="84">
        <f>IF(DD30&lt;'Dane dla CWU'!$R$67,0,IF(DI30&gt;1,DJ30,DI30*DJ30))</f>
        <v>0</v>
      </c>
      <c r="DL30" s="84">
        <f t="shared" si="8"/>
        <v>10.319026666666666</v>
      </c>
      <c r="DM30" s="49">
        <v>-3</v>
      </c>
      <c r="DN30" s="94">
        <f>DO30*'Dane dla CO'!$N$80</f>
        <v>352.65306122448982</v>
      </c>
      <c r="DO30" s="94">
        <f>(15-DS30)/35*'Dane dla CO'!$N$75</f>
        <v>3.0857142857142859</v>
      </c>
      <c r="DP30" s="94">
        <f t="shared" si="31"/>
        <v>32.05936920222635</v>
      </c>
      <c r="DQ30" s="51">
        <v>-3</v>
      </c>
      <c r="DR30" s="130">
        <v>11</v>
      </c>
      <c r="DS30" s="130">
        <v>5</v>
      </c>
      <c r="DT30" s="89">
        <f>Wykresy!Y28</f>
        <v>40</v>
      </c>
      <c r="DU30" s="90">
        <f>Wykresy!AE28</f>
        <v>25.833333333333336</v>
      </c>
      <c r="DV30" s="92">
        <f>(($DV$32-$DV$27)/5)*3+$DV$27</f>
        <v>8.4250000000000007</v>
      </c>
      <c r="DW30" s="92">
        <f>(($DW$32-$DW$27)/5)*3+$DW$27</f>
        <v>2.3280000000000003</v>
      </c>
      <c r="DX30" s="92">
        <f t="shared" si="24"/>
        <v>3.6189862542955327</v>
      </c>
      <c r="DY30" s="86">
        <f>(($DY$32-$DY$27)/5)*4+$DY$27</f>
        <v>10.4</v>
      </c>
      <c r="DZ30" s="86">
        <f>(($DZ$32-$DZ$27)/5)*3+$DZ$27</f>
        <v>2</v>
      </c>
      <c r="EA30" s="96">
        <f t="shared" si="37"/>
        <v>5.2</v>
      </c>
      <c r="EB30" s="85">
        <f t="shared" si="39"/>
        <v>11</v>
      </c>
      <c r="EC30" s="85">
        <f t="shared" si="26"/>
        <v>0.17692821687667049</v>
      </c>
      <c r="ED30" s="92">
        <f>'Energia 221.A29'!P27</f>
        <v>4.5117902819380058</v>
      </c>
      <c r="EE30" s="86">
        <f t="shared" si="40"/>
        <v>11</v>
      </c>
      <c r="EF30" s="86">
        <f t="shared" si="28"/>
        <v>0.25422222222222224</v>
      </c>
      <c r="EG30" s="96">
        <f>'Energia 221.A29'!S27</f>
        <v>5.4618284903651846</v>
      </c>
      <c r="EI30" s="130">
        <v>11</v>
      </c>
      <c r="EJ30" s="130">
        <f t="shared" si="34"/>
        <v>120</v>
      </c>
      <c r="EK30" s="130">
        <v>5</v>
      </c>
      <c r="EL30" s="89">
        <v>55</v>
      </c>
      <c r="EM30" s="92">
        <f>EM29+$ES$27</f>
        <v>7.0559999999999992</v>
      </c>
      <c r="EN30" s="92">
        <f>EN29+$ET$27</f>
        <v>2.9180000000000006</v>
      </c>
      <c r="EO30" s="92">
        <f t="shared" si="38"/>
        <v>2.4180945853324185</v>
      </c>
      <c r="EP30" s="85">
        <f t="shared" si="29"/>
        <v>11</v>
      </c>
      <c r="EQ30" s="85">
        <f t="shared" si="30"/>
        <v>0.11821795750514047</v>
      </c>
      <c r="ER30" s="92">
        <f>'Energia 221.A29'!V27</f>
        <v>3.0356086855660926</v>
      </c>
    </row>
    <row r="31" spans="1:169">
      <c r="A31" s="162"/>
      <c r="B31">
        <v>29</v>
      </c>
      <c r="C31">
        <v>-10</v>
      </c>
      <c r="D31" s="84">
        <f>(C31*'Dane dla CO'!$T$53+'Dane dla CO'!$V$53)/(C31*'Dane dla CO'!$P$35+'Dane dla CO'!$Q$35)</f>
        <v>1.0179976851851849</v>
      </c>
      <c r="E31" s="84">
        <f>C31*'Dane dla CO'!$N$96+'Dane dla CO'!$N$97</f>
        <v>187.20000000000005</v>
      </c>
      <c r="F31" s="84">
        <f>IF(C31&lt;'Dane dla CO'!$R$67,0,IF(D31&gt;1,E31,D31*E31))</f>
        <v>0</v>
      </c>
      <c r="G31" s="84">
        <f t="shared" si="9"/>
        <v>187.20000000000005</v>
      </c>
      <c r="H31" s="84">
        <f>(C31*'Dane dla CWU'!$AB$53+'Dane dla CWU'!$AD$53)/(C31*'Dane dla CO'!$P$35+'Dane dla CO'!$Q$35)</f>
        <v>0.43641975308641973</v>
      </c>
      <c r="I31" s="84">
        <f t="shared" si="10"/>
        <v>10.319026666666666</v>
      </c>
      <c r="J31" s="84">
        <f>IF(C31&lt;'Dane dla CWU'!$R$67,0,IF(H31&gt;1,I31,H31*I31))</f>
        <v>0</v>
      </c>
      <c r="K31" s="84">
        <f t="shared" si="11"/>
        <v>10.319026666666666</v>
      </c>
      <c r="M31">
        <v>29</v>
      </c>
      <c r="N31">
        <v>6</v>
      </c>
      <c r="O31" s="84">
        <f>(N31*'Dane dla CO'!$T$53+'Dane dla CO'!$V$53)/(N31*'Dane dla CO'!$P$35+'Dane dla CO'!$Q$35)</f>
        <v>3.8107960390946491</v>
      </c>
      <c r="P31" s="84">
        <f>N31*'Dane dla CO'!$N$96+'Dane dla CO'!$N$97</f>
        <v>72.000000000000014</v>
      </c>
      <c r="Q31" s="84">
        <f>IF(N31&lt;'Dane dla CO'!$R$67,0,IF(O31&gt;1,P31,O31*P31))</f>
        <v>72.000000000000014</v>
      </c>
      <c r="R31" s="84">
        <f t="shared" si="12"/>
        <v>0</v>
      </c>
      <c r="S31" s="84">
        <f>(N31*'Dane dla CWU'!$T$53+'Dane dla CWU'!$V$53)/(N31*'Dane dla CO'!$P$35+'Dane dla CO'!$Q$35)</f>
        <v>3.8317258230452675</v>
      </c>
      <c r="T31" s="84">
        <f t="shared" si="13"/>
        <v>10.319026666666666</v>
      </c>
      <c r="U31" s="84">
        <f>IF(N31&lt;'Dane dla CWU'!$R$67,0,IF(S31&gt;1,T31,S31*T31))</f>
        <v>10.319026666666666</v>
      </c>
      <c r="V31" s="84">
        <f t="shared" si="14"/>
        <v>0</v>
      </c>
      <c r="X31">
        <v>29</v>
      </c>
      <c r="Y31">
        <v>10</v>
      </c>
      <c r="Z31" s="84">
        <f>(Y31*'Dane dla CO'!$T$53+'Dane dla CO'!$V$53)/(Y31*'Dane dla CO'!$P$35+'Dane dla CO'!$Q$35)</f>
        <v>7.3017939814814818</v>
      </c>
      <c r="AA31" s="84">
        <f>Y31*'Dane dla CO'!$N$96+'Dane dla CO'!$N$97</f>
        <v>43.2</v>
      </c>
      <c r="AB31" s="84">
        <f>IF(Y31&lt;'Dane dla CO'!$R$67,0,IF(Z31&gt;1,AA31,Z31*AA31))</f>
        <v>43.2</v>
      </c>
      <c r="AC31" s="84">
        <f t="shared" si="15"/>
        <v>0</v>
      </c>
      <c r="AD31" s="84">
        <f>(Y31*'Dane dla CWU'!$T$53+'Dane dla CWU'!$V$53)/(Y31*'Dane dla CO'!$P$35+'Dane dla CO'!$Q$35)</f>
        <v>7.4318287037037045</v>
      </c>
      <c r="AE31" s="84">
        <f t="shared" si="16"/>
        <v>10.319026666666666</v>
      </c>
      <c r="AF31" s="84">
        <f>IF(Y31&lt;'Dane dla CWU'!$R$67,0,IF(AD31&gt;1,AE31,AD31*AE31))</f>
        <v>10.319026666666666</v>
      </c>
      <c r="AG31" s="84">
        <f t="shared" si="17"/>
        <v>0</v>
      </c>
      <c r="AI31">
        <v>29</v>
      </c>
      <c r="AJ31">
        <v>21</v>
      </c>
      <c r="AO31" s="84"/>
      <c r="AP31" s="84">
        <f t="shared" si="19"/>
        <v>10.319026666666666</v>
      </c>
      <c r="AQ31" s="84">
        <f t="shared" si="48"/>
        <v>10.319026666666666</v>
      </c>
      <c r="AR31" s="84">
        <f t="shared" si="20"/>
        <v>0</v>
      </c>
      <c r="AT31">
        <v>29</v>
      </c>
      <c r="AU31">
        <v>18</v>
      </c>
      <c r="BA31">
        <v>29</v>
      </c>
      <c r="BB31">
        <v>22</v>
      </c>
      <c r="BH31">
        <v>29</v>
      </c>
      <c r="BI31">
        <v>23</v>
      </c>
      <c r="BO31">
        <v>29</v>
      </c>
      <c r="BP31">
        <v>16</v>
      </c>
      <c r="BV31">
        <v>29</v>
      </c>
      <c r="BW31">
        <v>13</v>
      </c>
      <c r="BX31" s="84">
        <f>(BW31*'Dane dla CO'!$T$53+'Dane dla CO'!$V$53)/(BW31*'Dane dla CO'!$P$35+'Dane dla CO'!$Q$35)</f>
        <v>19.083912037037027</v>
      </c>
      <c r="BY31" s="84">
        <f>BW31*'Dane dla CO'!$N$96+'Dane dla CO'!$N$97</f>
        <v>21.600000000000009</v>
      </c>
      <c r="BZ31" s="84">
        <f>IF(BW31&lt;'Dane dla CO'!$R$67,0,IF(BX31&gt;1,BY31,BX31*BY31))</f>
        <v>21.600000000000009</v>
      </c>
      <c r="CA31" s="84">
        <f t="shared" si="43"/>
        <v>0</v>
      </c>
      <c r="CB31" s="84">
        <f>(BW31*'Dane dla CWU'!$T$53+'Dane dla CWU'!$V$53)/(BW31*'Dane dla CO'!$P$35+'Dane dla CO'!$Q$35)</f>
        <v>19.582175925925917</v>
      </c>
      <c r="CC31" s="84">
        <f t="shared" si="44"/>
        <v>10.319026666666666</v>
      </c>
      <c r="CD31" s="84">
        <f>IF(BW31&lt;'Dane dla CWU'!$R$67,0,IF(CB31&gt;1,CC31,CB31*CC31))</f>
        <v>10.319026666666666</v>
      </c>
      <c r="CE31" s="84">
        <f t="shared" si="45"/>
        <v>0</v>
      </c>
      <c r="CG31">
        <v>29</v>
      </c>
      <c r="CH31">
        <v>0</v>
      </c>
      <c r="CI31" s="84">
        <f>(CH31*'Dane dla CO'!$T$53+'Dane dla CO'!$V$53)/(CH31*'Dane dla CO'!$P$35+'Dane dla CO'!$Q$35)</f>
        <v>2.0652970679012341</v>
      </c>
      <c r="CJ31" s="84">
        <f>CH31*'Dane dla CO'!$N$96+'Dane dla CO'!$N$97</f>
        <v>115.20000000000002</v>
      </c>
      <c r="CK31" s="84">
        <f>IF(CH31&lt;'Dane dla CO'!$R$67,0,IF(CI31&gt;1,CJ31,CI31*CJ31))</f>
        <v>115.20000000000002</v>
      </c>
      <c r="CL31" s="84">
        <f t="shared" si="0"/>
        <v>0</v>
      </c>
      <c r="CM31" s="84">
        <f>(CH31*'Dane dla CWU'!$T$53+'Dane dla CWU'!$V$53)/(CH31*'Dane dla CO'!$P$35+'Dane dla CO'!$Q$35)</f>
        <v>2.0316743827160493</v>
      </c>
      <c r="CN31" s="84">
        <f t="shared" si="1"/>
        <v>10.319026666666666</v>
      </c>
      <c r="CO31" s="84">
        <f>IF(CH31&lt;'Dane dla CWU'!$R$67,0,IF(CM31&gt;1,CN31,CM31*CN31))</f>
        <v>0</v>
      </c>
      <c r="CP31" s="84">
        <f t="shared" si="2"/>
        <v>10.319026666666666</v>
      </c>
      <c r="CR31">
        <v>29</v>
      </c>
      <c r="CS31">
        <v>7</v>
      </c>
      <c r="CT31" s="84">
        <f>(CS31*'Dane dla CO'!$T$53+'Dane dla CO'!$V$53)/(CS31*'Dane dla CO'!$P$35+'Dane dla CO'!$Q$35)</f>
        <v>4.3562644675925926</v>
      </c>
      <c r="CU31" s="84">
        <f>CS31*'Dane dla CO'!$N$96+'Dane dla CO'!$N$97</f>
        <v>64.800000000000011</v>
      </c>
      <c r="CV31" s="84">
        <f>IF(CS31&lt;'Dane dla CO'!$R$67,0,IF(CT31&gt;1,CU31,CT31*CU31))</f>
        <v>64.800000000000011</v>
      </c>
      <c r="CW31" s="84">
        <f t="shared" si="3"/>
        <v>0</v>
      </c>
      <c r="CX31" s="84">
        <f>(CS31*'Dane dla CWU'!$T$53+'Dane dla CWU'!$V$53)/(CS31*'Dane dla CO'!$P$35+'Dane dla CO'!$Q$35)</f>
        <v>4.3942418981481479</v>
      </c>
      <c r="CY31" s="84">
        <f t="shared" si="4"/>
        <v>10.319026666666666</v>
      </c>
      <c r="CZ31" s="84">
        <f>IF(CS31&lt;'Dane dla CWU'!$R$67,0,IF(CX31&gt;1,CY31,CX31*CY31))</f>
        <v>10.319026666666666</v>
      </c>
      <c r="DA31" s="84">
        <f t="shared" si="5"/>
        <v>0</v>
      </c>
      <c r="DC31">
        <v>29</v>
      </c>
      <c r="DD31">
        <v>-4</v>
      </c>
      <c r="DE31" s="84">
        <f>(DD31*'Dane dla CO'!$T$53+'Dane dla CO'!$V$53)/(DD31*'Dane dla CO'!$P$35+'Dane dla CO'!$Q$35)</f>
        <v>1.5140868664717346</v>
      </c>
      <c r="DF31" s="84">
        <f>DD31*'Dane dla CO'!$N$96+'Dane dla CO'!$N$97</f>
        <v>144.00000000000003</v>
      </c>
      <c r="DG31" s="84">
        <f>IF(DD31&lt;'Dane dla CO'!$R$67,0,IF(DE31&gt;1,DF31,DE31*DF31))</f>
        <v>144.00000000000003</v>
      </c>
      <c r="DH31" s="84">
        <f t="shared" si="6"/>
        <v>0</v>
      </c>
      <c r="DI31" s="84">
        <f>(DD31*'Dane dla CWU'!$T$53+'Dane dla CWU'!$V$53)/(DD31*'Dane dla CO'!$P$35+'Dane dla CO'!$Q$35)</f>
        <v>1.4632370857699804</v>
      </c>
      <c r="DJ31" s="84">
        <f t="shared" si="7"/>
        <v>10.319026666666666</v>
      </c>
      <c r="DK31" s="84">
        <f>IF(DD31&lt;'Dane dla CWU'!$R$67,0,IF(DI31&gt;1,DJ31,DI31*DJ31))</f>
        <v>0</v>
      </c>
      <c r="DL31" s="84">
        <f t="shared" si="8"/>
        <v>10.319026666666666</v>
      </c>
      <c r="DM31" s="49">
        <v>-3</v>
      </c>
      <c r="DN31" s="94">
        <f>DO31*'Dane dla CO'!$N$80</f>
        <v>317.38775510204084</v>
      </c>
      <c r="DO31" s="94">
        <f>(15-DS31)/35*'Dane dla CO'!$N$75</f>
        <v>2.7771428571428571</v>
      </c>
      <c r="DP31" s="94">
        <f t="shared" si="31"/>
        <v>15.869387755102043</v>
      </c>
      <c r="DQ31" s="51">
        <v>-3</v>
      </c>
      <c r="DR31" s="130">
        <v>20</v>
      </c>
      <c r="DS31" s="130">
        <v>6</v>
      </c>
      <c r="DT31" s="89">
        <f>Wykresy!Y29</f>
        <v>39.4</v>
      </c>
      <c r="DU31" s="90">
        <f>Wykresy!AE29</f>
        <v>25.466666666666669</v>
      </c>
      <c r="DV31" s="92">
        <f>(($DV$32-$DV$27)/5)*4+$DV$27</f>
        <v>8.9499999999999993</v>
      </c>
      <c r="DW31" s="92">
        <f>(($DW$32-$DW$27)/5)*4+$DW$27</f>
        <v>2.2840000000000003</v>
      </c>
      <c r="DX31" s="92">
        <f t="shared" si="24"/>
        <v>3.918563922942206</v>
      </c>
      <c r="DY31" s="86">
        <f>(($DY$32-$DY$27)/5)*1+$DY$27</f>
        <v>8.6</v>
      </c>
      <c r="DZ31" s="86">
        <f>(($DZ$32-$DZ$27)/5)*4+$DZ$27</f>
        <v>2</v>
      </c>
      <c r="EA31" s="96">
        <f t="shared" si="37"/>
        <v>4.3</v>
      </c>
      <c r="EB31" s="85">
        <f t="shared" si="39"/>
        <v>20</v>
      </c>
      <c r="EC31" s="85">
        <f t="shared" si="26"/>
        <v>0.3483167931504183</v>
      </c>
      <c r="ED31" s="92">
        <f>'Energia 221.A29'!P28</f>
        <v>4.6528206831713472</v>
      </c>
      <c r="EE31" s="86">
        <f t="shared" si="40"/>
        <v>20</v>
      </c>
      <c r="EF31" s="86">
        <f t="shared" si="28"/>
        <v>0.38222222222222224</v>
      </c>
      <c r="EG31" s="96">
        <f>'Energia 221.A29'!S28</f>
        <v>5.5031878210886669</v>
      </c>
      <c r="EI31" s="130">
        <v>20</v>
      </c>
      <c r="EJ31" s="130">
        <f t="shared" si="34"/>
        <v>140</v>
      </c>
      <c r="EK31" s="130">
        <v>6</v>
      </c>
      <c r="EL31" s="89">
        <v>55</v>
      </c>
      <c r="EM31" s="92">
        <f>EM30+$ES$27</f>
        <v>7.347999999999999</v>
      </c>
      <c r="EN31" s="92">
        <f>EN30+$ET$27</f>
        <v>2.9240000000000008</v>
      </c>
      <c r="EO31" s="92">
        <f t="shared" si="38"/>
        <v>2.5129958960328307</v>
      </c>
      <c r="EP31" s="85">
        <f t="shared" si="29"/>
        <v>20</v>
      </c>
      <c r="EQ31" s="85">
        <f t="shared" si="30"/>
        <v>0.22337741298069605</v>
      </c>
      <c r="ER31" s="92">
        <f>'Energia 221.A29'!V28</f>
        <v>3.0632211046822326</v>
      </c>
    </row>
    <row r="32" spans="1:169">
      <c r="A32" s="162"/>
      <c r="B32">
        <v>30</v>
      </c>
      <c r="C32">
        <v>-12</v>
      </c>
      <c r="D32" s="84">
        <f>(C32*'Dane dla CO'!$T$53+'Dane dla CO'!$V$53)/(C32*'Dane dla CO'!$P$35+'Dane dla CO'!$Q$35)</f>
        <v>0.9016310871056239</v>
      </c>
      <c r="E32" s="84">
        <f>C32*'Dane dla CO'!$N$96+'Dane dla CO'!$N$97</f>
        <v>201.60000000000002</v>
      </c>
      <c r="F32" s="84">
        <f>IF(C32&lt;'Dane dla CO'!$R$67,0,IF(D32&gt;1,E32,D32*E32))</f>
        <v>0</v>
      </c>
      <c r="G32" s="84">
        <f t="shared" si="9"/>
        <v>201.60000000000002</v>
      </c>
      <c r="H32" s="84">
        <f>(C32*'Dane dla CWU'!$AB$53+'Dane dla CWU'!$AD$53)/(C32*'Dane dla CO'!$P$35+'Dane dla CO'!$Q$35)</f>
        <v>0.36941777168114609</v>
      </c>
      <c r="I32" s="84">
        <f t="shared" si="10"/>
        <v>10.319026666666666</v>
      </c>
      <c r="J32" s="84">
        <f>IF(C32&lt;'Dane dla CWU'!$R$67,0,IF(H32&gt;1,I32,H32*I32))</f>
        <v>0</v>
      </c>
      <c r="K32" s="84">
        <f t="shared" si="11"/>
        <v>10.319026666666666</v>
      </c>
      <c r="X32">
        <v>30</v>
      </c>
      <c r="Y32">
        <v>6</v>
      </c>
      <c r="Z32" s="84">
        <f>(Y32*'Dane dla CO'!$T$53+'Dane dla CO'!$V$53)/(Y32*'Dane dla CO'!$P$35+'Dane dla CO'!$Q$35)</f>
        <v>3.8107960390946491</v>
      </c>
      <c r="AA32" s="84">
        <f>Y32*'Dane dla CO'!$N$96+'Dane dla CO'!$N$97</f>
        <v>72.000000000000014</v>
      </c>
      <c r="AB32" s="84">
        <f>IF(Y32&lt;'Dane dla CO'!$R$67,0,IF(Z32&gt;1,AA32,Z32*AA32))</f>
        <v>72.000000000000014</v>
      </c>
      <c r="AC32" s="84">
        <f t="shared" si="15"/>
        <v>0</v>
      </c>
      <c r="AD32" s="84">
        <f>(Y32*'Dane dla CWU'!$T$53+'Dane dla CWU'!$V$53)/(Y32*'Dane dla CO'!$P$35+'Dane dla CO'!$Q$35)</f>
        <v>3.8317258230452675</v>
      </c>
      <c r="AE32" s="84">
        <f t="shared" si="16"/>
        <v>10.319026666666666</v>
      </c>
      <c r="AF32" s="84">
        <f>IF(Y32&lt;'Dane dla CWU'!$R$67,0,IF(AD32&gt;1,AE32,AD32*AE32))</f>
        <v>10.319026666666666</v>
      </c>
      <c r="AG32" s="84">
        <f t="shared" si="17"/>
        <v>0</v>
      </c>
      <c r="AI32">
        <v>30</v>
      </c>
      <c r="AJ32">
        <v>22</v>
      </c>
      <c r="AO32" s="84"/>
      <c r="AP32" s="84">
        <f t="shared" si="19"/>
        <v>10.319026666666666</v>
      </c>
      <c r="AQ32" s="84">
        <f t="shared" si="48"/>
        <v>10.319026666666666</v>
      </c>
      <c r="AR32" s="84">
        <f t="shared" si="20"/>
        <v>0</v>
      </c>
      <c r="AT32">
        <v>30</v>
      </c>
      <c r="AU32">
        <v>18</v>
      </c>
      <c r="BA32">
        <v>30</v>
      </c>
      <c r="BB32">
        <v>25</v>
      </c>
      <c r="BH32">
        <v>30</v>
      </c>
      <c r="BI32">
        <v>21</v>
      </c>
      <c r="BO32">
        <v>30</v>
      </c>
      <c r="BP32">
        <v>18</v>
      </c>
      <c r="BV32">
        <v>30</v>
      </c>
      <c r="BW32">
        <v>14</v>
      </c>
      <c r="BX32" s="84">
        <f>(BW32*'Dane dla CO'!$T$53+'Dane dla CO'!$V$53)/(BW32*'Dane dla CO'!$P$35+'Dane dla CO'!$Q$35)</f>
        <v>38.720775462962941</v>
      </c>
      <c r="BY32" s="84">
        <f>BW32*'Dane dla CO'!$N$96+'Dane dla CO'!$N$97</f>
        <v>14.400000000000006</v>
      </c>
      <c r="BZ32" s="84">
        <f>IF(BW32&lt;'Dane dla CO'!$R$67,0,IF(BX32&gt;1,BY32,BX32*BY32))</f>
        <v>14.400000000000006</v>
      </c>
      <c r="CA32" s="84">
        <f t="shared" si="43"/>
        <v>0</v>
      </c>
      <c r="CB32" s="84">
        <f>(BW32*'Dane dla CWU'!$T$53+'Dane dla CWU'!$V$53)/(BW32*'Dane dla CO'!$P$35+'Dane dla CO'!$Q$35)</f>
        <v>39.832754629629619</v>
      </c>
      <c r="CC32" s="84">
        <f t="shared" si="44"/>
        <v>10.319026666666666</v>
      </c>
      <c r="CD32" s="84">
        <f>IF(BW32&lt;'Dane dla CWU'!$R$67,0,IF(CB32&gt;1,CC32,CB32*CC32))</f>
        <v>10.319026666666666</v>
      </c>
      <c r="CE32" s="84">
        <f t="shared" si="45"/>
        <v>0</v>
      </c>
      <c r="CG32">
        <v>30</v>
      </c>
      <c r="CH32">
        <v>1</v>
      </c>
      <c r="CI32" s="84">
        <f>(CH32*'Dane dla CO'!$T$53+'Dane dla CO'!$V$53)/(CH32*'Dane dla CO'!$P$35+'Dane dla CO'!$Q$35)</f>
        <v>2.2523148148148144</v>
      </c>
      <c r="CJ32" s="84">
        <f>CH32*'Dane dla CO'!$N$96+'Dane dla CO'!$N$97</f>
        <v>108.00000000000001</v>
      </c>
      <c r="CK32" s="84">
        <f>IF(CH32&lt;'Dane dla CO'!$R$67,0,IF(CI32&gt;1,CJ32,CI32*CJ32))</f>
        <v>108.00000000000001</v>
      </c>
      <c r="CL32" s="84">
        <f t="shared" si="0"/>
        <v>0</v>
      </c>
      <c r="CM32" s="84">
        <f>(CH32*'Dane dla CWU'!$T$53+'Dane dla CWU'!$V$53)/(CH32*'Dane dla CO'!$P$35+'Dane dla CO'!$Q$35)</f>
        <v>2.2245370370370372</v>
      </c>
      <c r="CN32" s="84">
        <f t="shared" si="1"/>
        <v>10.319026666666666</v>
      </c>
      <c r="CO32" s="84">
        <f>IF(CH32&lt;'Dane dla CWU'!$R$67,0,IF(CM32&gt;1,CN32,CM32*CN32))</f>
        <v>0</v>
      </c>
      <c r="CP32" s="84">
        <f t="shared" si="2"/>
        <v>10.319026666666666</v>
      </c>
      <c r="CR32">
        <v>30</v>
      </c>
      <c r="CS32">
        <v>4</v>
      </c>
      <c r="CT32" s="84">
        <f>(CS32*'Dane dla CO'!$T$53+'Dane dla CO'!$V$53)/(CS32*'Dane dla CO'!$P$35+'Dane dla CO'!$Q$35)</f>
        <v>3.0173874158249157</v>
      </c>
      <c r="CU32" s="84">
        <f>CS32*'Dane dla CO'!$N$96+'Dane dla CO'!$N$97</f>
        <v>86.4</v>
      </c>
      <c r="CV32" s="84">
        <f>IF(CS32&lt;'Dane dla CO'!$R$67,0,IF(CT32&gt;1,CU32,CT32*CU32))</f>
        <v>86.4</v>
      </c>
      <c r="CW32" s="84">
        <f t="shared" si="3"/>
        <v>0</v>
      </c>
      <c r="CX32" s="84">
        <f>(CS32*'Dane dla CWU'!$T$53+'Dane dla CWU'!$V$53)/(CS32*'Dane dla CO'!$P$35+'Dane dla CO'!$Q$35)</f>
        <v>3.0135206228956233</v>
      </c>
      <c r="CY32" s="84">
        <f t="shared" si="4"/>
        <v>10.319026666666666</v>
      </c>
      <c r="CZ32" s="84">
        <f>IF(CS32&lt;'Dane dla CWU'!$R$67,0,IF(CX32&gt;1,CY32,CX32*CY32))</f>
        <v>10.319026666666666</v>
      </c>
      <c r="DA32" s="84">
        <f t="shared" si="5"/>
        <v>0</v>
      </c>
      <c r="DC32">
        <v>30</v>
      </c>
      <c r="DD32">
        <v>0</v>
      </c>
      <c r="DE32" s="84">
        <f>(DD32*'Dane dla CO'!$T$53+'Dane dla CO'!$V$53)/(DD32*'Dane dla CO'!$P$35+'Dane dla CO'!$Q$35)</f>
        <v>2.0652970679012341</v>
      </c>
      <c r="DF32" s="84">
        <f>DD32*'Dane dla CO'!$N$96+'Dane dla CO'!$N$97</f>
        <v>115.20000000000002</v>
      </c>
      <c r="DG32" s="84">
        <f>IF(DD32&lt;'Dane dla CO'!$R$67,0,IF(DE32&gt;1,DF32,DE32*DF32))</f>
        <v>115.20000000000002</v>
      </c>
      <c r="DH32" s="84">
        <f t="shared" si="6"/>
        <v>0</v>
      </c>
      <c r="DI32" s="84">
        <f>(DD32*'Dane dla CWU'!$T$53+'Dane dla CWU'!$V$53)/(DD32*'Dane dla CO'!$P$35+'Dane dla CO'!$Q$35)</f>
        <v>2.0316743827160493</v>
      </c>
      <c r="DJ32" s="84">
        <f t="shared" si="7"/>
        <v>10.319026666666666</v>
      </c>
      <c r="DK32" s="84">
        <f>IF(DD32&lt;'Dane dla CWU'!$R$67,0,IF(DI32&gt;1,DJ32,DI32*DJ32))</f>
        <v>0</v>
      </c>
      <c r="DL32" s="84">
        <f t="shared" si="8"/>
        <v>10.319026666666666</v>
      </c>
      <c r="DM32" s="49">
        <v>-3</v>
      </c>
      <c r="DN32" s="94">
        <f>DO32*'Dane dla CO'!$N$80</f>
        <v>282.12244897959187</v>
      </c>
      <c r="DO32" s="94">
        <f>(15-DS32)/35*'Dane dla CO'!$N$75</f>
        <v>2.4685714285714289</v>
      </c>
      <c r="DP32" s="94">
        <f t="shared" si="31"/>
        <v>21.701726844583991</v>
      </c>
      <c r="DQ32" s="51">
        <v>-3</v>
      </c>
      <c r="DR32" s="130">
        <v>13</v>
      </c>
      <c r="DS32" s="130">
        <v>7</v>
      </c>
      <c r="DT32" s="89">
        <f>Wykresy!Y30</f>
        <v>38.799999999999997</v>
      </c>
      <c r="DU32" s="90">
        <f>Wykresy!AE30</f>
        <v>25.1</v>
      </c>
      <c r="DV32" s="117">
        <f>(10.16+8.79)/2</f>
        <v>9.4749999999999996</v>
      </c>
      <c r="DW32" s="117">
        <f>(2+2.48)/2</f>
        <v>2.2400000000000002</v>
      </c>
      <c r="DX32" s="92">
        <f t="shared" si="24"/>
        <v>4.2299107142857135</v>
      </c>
      <c r="DY32" s="118">
        <v>11</v>
      </c>
      <c r="DZ32" s="118">
        <v>2</v>
      </c>
      <c r="EA32" s="96">
        <f t="shared" si="37"/>
        <v>5.5</v>
      </c>
      <c r="EB32" s="85">
        <f t="shared" si="39"/>
        <v>13</v>
      </c>
      <c r="EC32" s="85">
        <f t="shared" si="26"/>
        <v>0.24439484126984123</v>
      </c>
      <c r="ED32" s="92">
        <f>'Energia 221.A29'!P29</f>
        <v>4.912275368764683</v>
      </c>
      <c r="EE32" s="86">
        <f t="shared" si="40"/>
        <v>13</v>
      </c>
      <c r="EF32" s="86">
        <f t="shared" si="28"/>
        <v>0.31777777777777777</v>
      </c>
      <c r="EG32" s="96">
        <f>'Energia 221.A29'!S29</f>
        <v>5.9283425281871365</v>
      </c>
      <c r="EI32" s="130">
        <v>13</v>
      </c>
      <c r="EJ32" s="130">
        <f t="shared" si="34"/>
        <v>153</v>
      </c>
      <c r="EK32" s="130">
        <v>7</v>
      </c>
      <c r="EL32" s="89">
        <v>55</v>
      </c>
      <c r="EM32" s="117">
        <v>7.64</v>
      </c>
      <c r="EN32" s="117">
        <v>2.93</v>
      </c>
      <c r="EO32" s="92">
        <f t="shared" si="38"/>
        <v>2.6075085324232079</v>
      </c>
      <c r="EP32" s="85">
        <f t="shared" si="29"/>
        <v>13</v>
      </c>
      <c r="EQ32" s="85">
        <f t="shared" si="30"/>
        <v>0.15065604854000755</v>
      </c>
      <c r="ER32" s="92">
        <f>'Energia 221.A29'!V29</f>
        <v>3.1119136010228878</v>
      </c>
      <c r="ES32">
        <f>(EM35-EM32)/3</f>
        <v>0.12666666666666662</v>
      </c>
      <c r="ET32">
        <f>(EN35-EN32)/3</f>
        <v>-1.3333333333333345E-2</v>
      </c>
    </row>
    <row r="33" spans="1:165">
      <c r="A33" s="162"/>
      <c r="B33">
        <v>31</v>
      </c>
      <c r="C33">
        <v>-12</v>
      </c>
      <c r="D33" s="84">
        <f>(C33*'Dane dla CO'!$T$53+'Dane dla CO'!$V$53)/(C33*'Dane dla CO'!$P$35+'Dane dla CO'!$Q$35)</f>
        <v>0.9016310871056239</v>
      </c>
      <c r="E33" s="84">
        <f>C33*'Dane dla CO'!$N$96+'Dane dla CO'!$N$97</f>
        <v>201.60000000000002</v>
      </c>
      <c r="F33" s="84">
        <f>IF(C33&lt;'Dane dla CO'!$R$67,0,IF(D33&gt;1,E33,D33*E33))</f>
        <v>0</v>
      </c>
      <c r="G33" s="84">
        <f t="shared" si="9"/>
        <v>201.60000000000002</v>
      </c>
      <c r="H33" s="84">
        <f>(C33*'Dane dla CWU'!$AB$53+'Dane dla CWU'!$AD$53)/(C33*'Dane dla CO'!$P$35+'Dane dla CO'!$Q$35)</f>
        <v>0.36941777168114609</v>
      </c>
      <c r="I33" s="84">
        <f t="shared" si="10"/>
        <v>10.319026666666666</v>
      </c>
      <c r="J33" s="84">
        <f>IF(C33&lt;'Dane dla CWU'!$R$67,0,IF(H33&gt;1,I33,H33*I33))</f>
        <v>0</v>
      </c>
      <c r="K33" s="84">
        <f t="shared" si="11"/>
        <v>10.319026666666666</v>
      </c>
      <c r="X33">
        <v>31</v>
      </c>
      <c r="Y33">
        <v>6</v>
      </c>
      <c r="Z33" s="84">
        <f>(Y33*'Dane dla CO'!$T$53+'Dane dla CO'!$V$53)/(Y33*'Dane dla CO'!$P$35+'Dane dla CO'!$Q$35)</f>
        <v>3.8107960390946491</v>
      </c>
      <c r="AA33" s="84">
        <f>Y33*'Dane dla CO'!$N$96+'Dane dla CO'!$N$97</f>
        <v>72.000000000000014</v>
      </c>
      <c r="AB33" s="84">
        <f>IF(Y33&lt;'Dane dla CO'!$R$67,0,IF(Z33&gt;1,AA33,Z33*AA33))</f>
        <v>72.000000000000014</v>
      </c>
      <c r="AC33" s="84">
        <f t="shared" si="15"/>
        <v>0</v>
      </c>
      <c r="AD33" s="84">
        <f>(Y33*'Dane dla CWU'!$T$53+'Dane dla CWU'!$V$53)/(Y33*'Dane dla CO'!$P$35+'Dane dla CO'!$Q$35)</f>
        <v>3.8317258230452675</v>
      </c>
      <c r="AE33" s="84">
        <f t="shared" si="16"/>
        <v>10.319026666666666</v>
      </c>
      <c r="AF33" s="84">
        <f>IF(Y33&lt;'Dane dla CWU'!$R$67,0,IF(AD33&gt;1,AE33,AD33*AE33))</f>
        <v>10.319026666666666</v>
      </c>
      <c r="AG33" s="84">
        <f t="shared" si="17"/>
        <v>0</v>
      </c>
      <c r="AT33">
        <v>31</v>
      </c>
      <c r="AU33">
        <v>17</v>
      </c>
      <c r="BH33">
        <v>31</v>
      </c>
      <c r="BI33">
        <v>21</v>
      </c>
      <c r="BO33">
        <v>31</v>
      </c>
      <c r="BP33">
        <v>20</v>
      </c>
      <c r="CG33">
        <v>31</v>
      </c>
      <c r="CH33">
        <v>3</v>
      </c>
      <c r="CI33" s="84">
        <f>(CH33*'Dane dla CO'!$T$53+'Dane dla CO'!$V$53)/(CH33*'Dane dla CO'!$P$35+'Dane dla CO'!$Q$35)</f>
        <v>2.719859182098765</v>
      </c>
      <c r="CJ33" s="84">
        <f>CH33*'Dane dla CO'!$N$96+'Dane dla CO'!$N$97</f>
        <v>93.600000000000023</v>
      </c>
      <c r="CK33" s="84">
        <f>IF(CH33&lt;'Dane dla CO'!$R$67,0,IF(CI33&gt;1,CJ33,CI33*CJ33))</f>
        <v>93.600000000000023</v>
      </c>
      <c r="CL33" s="84">
        <f t="shared" si="0"/>
        <v>0</v>
      </c>
      <c r="CM33" s="84">
        <f>(CH33*'Dane dla CWU'!$T$53+'Dane dla CWU'!$V$53)/(CH33*'Dane dla CO'!$P$35+'Dane dla CO'!$Q$35)</f>
        <v>2.7066936728395059</v>
      </c>
      <c r="CN33" s="84">
        <f t="shared" si="1"/>
        <v>10.319026666666666</v>
      </c>
      <c r="CO33" s="84">
        <f>IF(CH33&lt;'Dane dla CWU'!$R$67,0,IF(CM33&gt;1,CN33,CM33*CN33))</f>
        <v>10.319026666666666</v>
      </c>
      <c r="CP33" s="84">
        <f t="shared" si="2"/>
        <v>0</v>
      </c>
      <c r="DC33">
        <v>31</v>
      </c>
      <c r="DD33">
        <v>2</v>
      </c>
      <c r="DE33" s="84">
        <f>(DD33*'Dane dla CO'!$T$53+'Dane dla CO'!$V$53)/(DD33*'Dane dla CO'!$P$35+'Dane dla CO'!$Q$35)</f>
        <v>2.4681045227920229</v>
      </c>
      <c r="DF33" s="84">
        <f>DD33*'Dane dla CO'!$N$96+'Dane dla CO'!$N$97</f>
        <v>100.80000000000001</v>
      </c>
      <c r="DG33" s="84">
        <f>IF(DD33&lt;'Dane dla CO'!$R$67,0,IF(DE33&gt;1,DF33,DE33*DF33))</f>
        <v>100.80000000000001</v>
      </c>
      <c r="DH33" s="84">
        <f t="shared" si="6"/>
        <v>0</v>
      </c>
      <c r="DI33" s="84">
        <f>(DD33*'Dane dla CWU'!$T$53+'Dane dla CWU'!$V$53)/(DD33*'Dane dla CO'!$P$35+'Dane dla CO'!$Q$35)</f>
        <v>2.4470708689458691</v>
      </c>
      <c r="DJ33" s="84">
        <f t="shared" si="7"/>
        <v>10.319026666666666</v>
      </c>
      <c r="DK33" s="84">
        <f>IF(DD33&lt;'Dane dla CWU'!$R$67,0,IF(DI33&gt;1,DJ33,DI33*DJ33))</f>
        <v>0</v>
      </c>
      <c r="DL33" s="84">
        <f t="shared" si="8"/>
        <v>10.319026666666666</v>
      </c>
      <c r="DM33" s="49">
        <v>-3</v>
      </c>
      <c r="DN33" s="94">
        <f>DO33*'Dane dla CO'!$N$80</f>
        <v>246.85714285714289</v>
      </c>
      <c r="DO33" s="94">
        <f>(15-DS33)/35*'Dane dla CO'!$N$75</f>
        <v>2.16</v>
      </c>
      <c r="DP33" s="94">
        <f t="shared" si="31"/>
        <v>14.521008403361346</v>
      </c>
      <c r="DQ33" s="51">
        <v>-3</v>
      </c>
      <c r="DR33" s="130">
        <v>17</v>
      </c>
      <c r="DS33" s="130">
        <v>8</v>
      </c>
      <c r="DT33" s="89">
        <f>Wykresy!Y31</f>
        <v>38.200000000000003</v>
      </c>
      <c r="DU33" s="90">
        <f>Wykresy!AE31</f>
        <v>24.733333333333334</v>
      </c>
      <c r="DV33" s="92">
        <f>(($DV$35-$DV$32)/3)*1+$DV$32</f>
        <v>9.82</v>
      </c>
      <c r="DW33" s="92">
        <f>(($DW$35-$DW$32)/3)*1+$DW$32</f>
        <v>2.1533333333333333</v>
      </c>
      <c r="DX33" s="92">
        <f t="shared" si="24"/>
        <v>4.560371517027864</v>
      </c>
      <c r="DY33" s="86">
        <f>(($DY$35-$DY$32)/3)*1+$DY$32</f>
        <v>11.333333333333334</v>
      </c>
      <c r="DZ33" s="86">
        <f>(($DZ$35-$DZ$32)/3)*1+$DZ$32</f>
        <v>1.9933333333333334</v>
      </c>
      <c r="EA33" s="96">
        <f t="shared" si="37"/>
        <v>5.6856187290969897</v>
      </c>
      <c r="EB33" s="85">
        <f t="shared" si="39"/>
        <v>17</v>
      </c>
      <c r="EC33" s="85">
        <f t="shared" si="26"/>
        <v>0.34456140350877196</v>
      </c>
      <c r="ED33" s="92">
        <f>'Energia 221.A29'!P30</f>
        <v>5.0900853121367078</v>
      </c>
      <c r="EE33" s="86">
        <f t="shared" si="40"/>
        <v>17</v>
      </c>
      <c r="EF33" s="86">
        <f t="shared" si="28"/>
        <v>0.42958008175399476</v>
      </c>
      <c r="EG33" s="96">
        <f>'Energia 221.A29'!S30</f>
        <v>6.0399596235053874</v>
      </c>
      <c r="EI33" s="130">
        <v>17</v>
      </c>
      <c r="EJ33" s="130">
        <f t="shared" si="34"/>
        <v>170</v>
      </c>
      <c r="EK33" s="130">
        <v>8</v>
      </c>
      <c r="EL33" s="89">
        <v>55</v>
      </c>
      <c r="EM33" s="92">
        <f>EM32+$ES$32</f>
        <v>7.7666666666666666</v>
      </c>
      <c r="EN33" s="92">
        <f>EN32+$ET$32</f>
        <v>2.916666666666667</v>
      </c>
      <c r="EO33" s="92">
        <f t="shared" si="38"/>
        <v>2.6628571428571424</v>
      </c>
      <c r="EP33" s="85">
        <f t="shared" si="29"/>
        <v>17</v>
      </c>
      <c r="EQ33" s="85">
        <f t="shared" si="30"/>
        <v>0.20119365079365076</v>
      </c>
      <c r="ER33" s="92">
        <f>'Energia 221.A29'!V30</f>
        <v>3.142698886899864</v>
      </c>
    </row>
    <row r="34" spans="1:165">
      <c r="DM34" s="49">
        <v>-2</v>
      </c>
      <c r="DN34" s="94">
        <f>DO34*'Dane dla CO'!$N$80</f>
        <v>211.59183673469391</v>
      </c>
      <c r="DO34" s="94">
        <f>(15-DS34)/35*'Dane dla CO'!$N$75</f>
        <v>1.8514285714285716</v>
      </c>
      <c r="DP34" s="94">
        <f t="shared" si="31"/>
        <v>23.510204081632658</v>
      </c>
      <c r="DQ34" s="51">
        <v>-2</v>
      </c>
      <c r="DR34" s="130">
        <v>9</v>
      </c>
      <c r="DS34" s="130">
        <v>9</v>
      </c>
      <c r="DT34" s="89">
        <f>Wykresy!Y32</f>
        <v>37.6</v>
      </c>
      <c r="DU34" s="90">
        <f>Wykresy!AE32</f>
        <v>24.366666666666667</v>
      </c>
      <c r="DV34" s="92">
        <f>(($DV$35-$DV$32)/3)*2+$DV$32</f>
        <v>10.164999999999999</v>
      </c>
      <c r="DW34" s="92">
        <f>(($DW$35-$DW$32)/3)*2+$DW$32</f>
        <v>2.0666666666666669</v>
      </c>
      <c r="DX34" s="92">
        <f t="shared" si="24"/>
        <v>4.9185483870967737</v>
      </c>
      <c r="DY34" s="86">
        <f>(($DY$35-$DY$32)/3)*2+$DY$32</f>
        <v>11.666666666666666</v>
      </c>
      <c r="DZ34" s="86">
        <f>(($DZ$35-$DZ$32)/3)*2+$DZ$32</f>
        <v>1.9866666666666666</v>
      </c>
      <c r="EA34" s="96">
        <f t="shared" si="37"/>
        <v>5.8724832214765099</v>
      </c>
      <c r="EB34" s="85">
        <f t="shared" si="39"/>
        <v>9</v>
      </c>
      <c r="EC34" s="85">
        <f t="shared" si="26"/>
        <v>0.19674193548387095</v>
      </c>
      <c r="ED34" s="92">
        <f>'Energia 221.A29'!P31</f>
        <v>5.3202484946760142</v>
      </c>
      <c r="EE34" s="86">
        <f t="shared" si="40"/>
        <v>9</v>
      </c>
      <c r="EF34" s="86">
        <f t="shared" si="28"/>
        <v>0.2348993288590604</v>
      </c>
      <c r="EG34" s="96">
        <f>'Energia 221.A29'!S31</f>
        <v>6.1939224402451387</v>
      </c>
      <c r="EI34" s="130">
        <v>9</v>
      </c>
      <c r="EJ34" s="130">
        <f t="shared" si="34"/>
        <v>179</v>
      </c>
      <c r="EK34" s="130">
        <v>9</v>
      </c>
      <c r="EL34" s="89">
        <v>55</v>
      </c>
      <c r="EM34" s="92">
        <f>EM33+$ES$32</f>
        <v>7.8933333333333335</v>
      </c>
      <c r="EN34" s="92">
        <f>EN33+$ET$32</f>
        <v>2.9033333333333338</v>
      </c>
      <c r="EO34" s="92">
        <f t="shared" si="38"/>
        <v>2.7187141216991959</v>
      </c>
      <c r="EP34" s="85">
        <f t="shared" si="29"/>
        <v>9</v>
      </c>
      <c r="EQ34" s="85">
        <f t="shared" si="30"/>
        <v>0.10874856486796784</v>
      </c>
      <c r="ER34" s="92">
        <f>'Energia 221.A29'!V31</f>
        <v>3.1843178136790797</v>
      </c>
    </row>
    <row r="35" spans="1:165">
      <c r="DM35" s="49">
        <v>-2</v>
      </c>
      <c r="DN35" s="94">
        <f>DO35*'Dane dla CO'!$N$80</f>
        <v>176.32653061224491</v>
      </c>
      <c r="DO35" s="94">
        <f>(15-DS35)/35*'Dane dla CO'!$N$75</f>
        <v>1.5428571428571429</v>
      </c>
      <c r="DP35" s="94">
        <f t="shared" si="31"/>
        <v>16.029684601113175</v>
      </c>
      <c r="DQ35" s="51">
        <v>-2</v>
      </c>
      <c r="DR35" s="130">
        <v>11</v>
      </c>
      <c r="DS35" s="130">
        <v>10</v>
      </c>
      <c r="DT35" s="89">
        <f>Wykresy!Y33</f>
        <v>37</v>
      </c>
      <c r="DU35" s="90">
        <f>Wykresy!AE33</f>
        <v>24</v>
      </c>
      <c r="DV35" s="117">
        <v>10.51</v>
      </c>
      <c r="DW35" s="117">
        <v>1.98</v>
      </c>
      <c r="DX35" s="92">
        <f t="shared" si="24"/>
        <v>5.308080808080808</v>
      </c>
      <c r="DY35" s="118">
        <v>12</v>
      </c>
      <c r="DZ35" s="118">
        <v>1.98</v>
      </c>
      <c r="EA35" s="96">
        <f t="shared" si="37"/>
        <v>6.0606060606060606</v>
      </c>
      <c r="EB35" s="85">
        <f t="shared" si="39"/>
        <v>11</v>
      </c>
      <c r="EC35" s="85">
        <f t="shared" si="26"/>
        <v>0.25950617283950617</v>
      </c>
      <c r="ED35" s="92">
        <f>'Energia 221.A29'!P32</f>
        <v>5.421476921785982</v>
      </c>
      <c r="EE35" s="86">
        <f t="shared" si="40"/>
        <v>11</v>
      </c>
      <c r="EF35" s="86">
        <f t="shared" si="28"/>
        <v>0.29629629629629634</v>
      </c>
      <c r="EG35" s="96">
        <f>'Energia 221.A29'!S32</f>
        <v>6.2749251233748335</v>
      </c>
      <c r="EI35" s="130">
        <v>17</v>
      </c>
      <c r="EJ35" s="130">
        <f t="shared" si="34"/>
        <v>196</v>
      </c>
      <c r="EK35" s="130">
        <v>10</v>
      </c>
      <c r="EL35" s="89">
        <v>55</v>
      </c>
      <c r="EM35" s="117">
        <v>8.02</v>
      </c>
      <c r="EN35" s="117">
        <v>2.89</v>
      </c>
      <c r="EO35" s="92">
        <f t="shared" si="38"/>
        <v>2.7750865051903113</v>
      </c>
      <c r="EP35" s="85">
        <f t="shared" si="29"/>
        <v>17</v>
      </c>
      <c r="EQ35" s="85">
        <f t="shared" si="30"/>
        <v>0.20967320261437908</v>
      </c>
      <c r="ER35" s="92">
        <f>'Energia 221.A29'!V32</f>
        <v>3.2067265475176838</v>
      </c>
      <c r="ES35">
        <f>(EM45-EM35)/10</f>
        <v>0.13000000000000006</v>
      </c>
      <c r="ET35">
        <f>(EN45-EN35)/10</f>
        <v>-1.3000000000000034E-2</v>
      </c>
    </row>
    <row r="36" spans="1:165">
      <c r="DM36" s="49">
        <v>-2</v>
      </c>
      <c r="DN36" s="94">
        <f>DO36*'Dane dla CO'!$N$80</f>
        <v>141.06122448979593</v>
      </c>
      <c r="DO36" s="94">
        <f>(15-DS36)/35*'Dane dla CO'!$N$75</f>
        <v>1.2342857142857144</v>
      </c>
      <c r="DP36" s="94">
        <f t="shared" si="31"/>
        <v>15.673469387755103</v>
      </c>
      <c r="DQ36" s="51">
        <v>-2</v>
      </c>
      <c r="DR36" s="130">
        <v>9</v>
      </c>
      <c r="DS36" s="130">
        <v>11</v>
      </c>
      <c r="DT36" s="89">
        <f>Wykresy!Y34</f>
        <v>36.4</v>
      </c>
      <c r="DU36" s="90">
        <f>Wykresy!AE34</f>
        <v>23.633333333333333</v>
      </c>
      <c r="DV36" s="92">
        <f>(($DV$45-$DV$35)/10)*1+$DV$35</f>
        <v>10.625999999999999</v>
      </c>
      <c r="DW36" s="92">
        <f>(($DW$45-$DW$35)/10)*1+$DW$35</f>
        <v>1.972</v>
      </c>
      <c r="DX36" s="92">
        <f t="shared" si="24"/>
        <v>5.3884381338742395</v>
      </c>
      <c r="DY36" s="86">
        <f>(($DY$45-$DY$35)/10)*1+$DY$35</f>
        <v>12.1</v>
      </c>
      <c r="DZ36" s="86">
        <v>1.91</v>
      </c>
      <c r="EA36" s="96">
        <f t="shared" si="37"/>
        <v>6.335078534031414</v>
      </c>
      <c r="EB36" s="85">
        <f t="shared" si="39"/>
        <v>9</v>
      </c>
      <c r="EC36" s="85">
        <f t="shared" si="26"/>
        <v>0.21553752535496959</v>
      </c>
      <c r="ED36" s="92">
        <f>'Energia 221.A29'!P33</f>
        <v>5.4996282974476562</v>
      </c>
      <c r="EE36" s="86">
        <f t="shared" si="40"/>
        <v>9</v>
      </c>
      <c r="EF36" s="86">
        <f t="shared" si="28"/>
        <v>0.25340314136125652</v>
      </c>
      <c r="EG36" s="96">
        <f>'Energia 221.A29'!S33</f>
        <v>6.422631504472232</v>
      </c>
      <c r="EI36" s="130">
        <v>10</v>
      </c>
      <c r="EJ36" s="130">
        <f t="shared" si="34"/>
        <v>206</v>
      </c>
      <c r="EK36" s="130">
        <v>11</v>
      </c>
      <c r="EL36" s="89">
        <v>55</v>
      </c>
      <c r="EM36" s="92">
        <f>EM35+$ES$35</f>
        <v>8.15</v>
      </c>
      <c r="EN36" s="92">
        <f>EN35+$ET$35</f>
        <v>2.8770000000000002</v>
      </c>
      <c r="EO36" s="92">
        <f t="shared" si="38"/>
        <v>2.832811956899548</v>
      </c>
      <c r="EP36" s="85">
        <f t="shared" si="29"/>
        <v>10</v>
      </c>
      <c r="EQ36" s="85">
        <f t="shared" si="30"/>
        <v>0.12590275363997991</v>
      </c>
      <c r="ER36" s="92">
        <f>'Energia 221.A29'!V33</f>
        <v>3.2498905517504215</v>
      </c>
    </row>
    <row r="37" spans="1:165">
      <c r="E37">
        <f>G37+F37</f>
        <v>3506.4000000000005</v>
      </c>
      <c r="F37">
        <f>SUM(F3:F36)</f>
        <v>2541.6000000000004</v>
      </c>
      <c r="G37">
        <f>SUM(G3:G36)</f>
        <v>964.80000000000018</v>
      </c>
      <c r="I37">
        <f>K37+J37</f>
        <v>319.88982666666675</v>
      </c>
      <c r="J37">
        <f>SUM(J3:J36)</f>
        <v>144.46637333333337</v>
      </c>
      <c r="K37">
        <f>SUM(K3:K36)</f>
        <v>175.42345333333338</v>
      </c>
      <c r="P37">
        <f>R37+Q37</f>
        <v>4183.2000000000007</v>
      </c>
      <c r="Q37">
        <f>SUM(Q3:Q36)</f>
        <v>1699.1999999999998</v>
      </c>
      <c r="R37">
        <f>SUM(R3:R36)</f>
        <v>2484.0000000000005</v>
      </c>
      <c r="T37">
        <f>V37+U37</f>
        <v>299.2517733333334</v>
      </c>
      <c r="U37">
        <f>SUM(U3:U36)</f>
        <v>92.87124</v>
      </c>
      <c r="V37">
        <f>SUM(V3:V36)</f>
        <v>206.3805333333334</v>
      </c>
      <c r="AA37">
        <f>AC37+AB37</f>
        <v>2268</v>
      </c>
      <c r="AB37">
        <f>SUM(AB3:AB36)</f>
        <v>2268</v>
      </c>
      <c r="AC37">
        <f>SUM(AC3:AC36)</f>
        <v>0</v>
      </c>
      <c r="AE37">
        <f>AG37+AF37</f>
        <v>319.88982666666675</v>
      </c>
      <c r="AF37">
        <f>SUM(AF3:AF36)</f>
        <v>257.97566666666677</v>
      </c>
      <c r="AG37">
        <f>SUM(AG3:AG36)</f>
        <v>61.914159999999995</v>
      </c>
      <c r="AL37">
        <f>AN37+AM37</f>
        <v>1252.8000000000002</v>
      </c>
      <c r="AM37">
        <f>SUM(AM3:AM36)</f>
        <v>1252.8000000000002</v>
      </c>
      <c r="AN37">
        <f>SUM(AN3:AN36)</f>
        <v>0</v>
      </c>
      <c r="AP37">
        <f>AR37+AQ37</f>
        <v>309.57080000000013</v>
      </c>
      <c r="AQ37">
        <f>SUM(AQ3:AQ36)</f>
        <v>288.93274666666679</v>
      </c>
      <c r="AR37">
        <f>SUM(AR3:AR36)</f>
        <v>20.638053333333332</v>
      </c>
      <c r="BY37">
        <f>CA37+BZ37</f>
        <v>367.20000000000016</v>
      </c>
      <c r="BZ37">
        <f>SUM(BZ3:BZ36)</f>
        <v>367.20000000000016</v>
      </c>
      <c r="CA37">
        <f>SUM(CA3:CA36)</f>
        <v>0</v>
      </c>
      <c r="CC37">
        <f>CE37+CD37</f>
        <v>309.57080000000008</v>
      </c>
      <c r="CD37">
        <f>SUM(CD3:CD36)</f>
        <v>257.97566666666677</v>
      </c>
      <c r="CE37">
        <f>SUM(CE3:CE36)</f>
        <v>51.59513333333333</v>
      </c>
      <c r="CJ37">
        <f>CL37+CK37</f>
        <v>1728</v>
      </c>
      <c r="CK37">
        <f>SUM(CK3:CK36)</f>
        <v>1728</v>
      </c>
      <c r="CL37">
        <f>SUM(CL3:CL36)</f>
        <v>0</v>
      </c>
      <c r="CN37">
        <f>CP37+CO37</f>
        <v>319.88982666666675</v>
      </c>
      <c r="CO37">
        <f>SUM(CO3:CO36)</f>
        <v>278.61372000000011</v>
      </c>
      <c r="CP37">
        <f>SUM(CP3:CP36)</f>
        <v>41.276106666666664</v>
      </c>
      <c r="CU37">
        <f>CW37+CV37</f>
        <v>2397.6000000000013</v>
      </c>
      <c r="CV37">
        <f>SUM(CV3:CV36)</f>
        <v>2397.6000000000013</v>
      </c>
      <c r="CW37">
        <f>SUM(CW3:CW36)</f>
        <v>0</v>
      </c>
      <c r="CY37">
        <f>DA37+CZ37</f>
        <v>309.57080000000008</v>
      </c>
      <c r="CZ37">
        <f>SUM(CZ3:CZ36)</f>
        <v>257.97566666666677</v>
      </c>
      <c r="DA37">
        <f>SUM(DA3:DA36)</f>
        <v>51.59513333333333</v>
      </c>
      <c r="DF37">
        <f>DH37+DG37</f>
        <v>3931.2</v>
      </c>
      <c r="DG37">
        <f>SUM(DG3:DG36)</f>
        <v>3549.6</v>
      </c>
      <c r="DH37">
        <f>SUM(DH3:DH36)</f>
        <v>381.60000000000008</v>
      </c>
      <c r="DJ37">
        <f>DL37+DK37</f>
        <v>319.88982666666681</v>
      </c>
      <c r="DK37">
        <f>SUM(DK3:DK36)</f>
        <v>30.957079999999998</v>
      </c>
      <c r="DL37">
        <f>SUM(DL3:DL36)</f>
        <v>288.93274666666679</v>
      </c>
      <c r="DM37" s="49">
        <v>-2</v>
      </c>
      <c r="DN37" s="94">
        <f>DO37*'Dane dla CO'!$N$80</f>
        <v>105.79591836734696</v>
      </c>
      <c r="DO37" s="94">
        <f>(15-DS37)/35*'Dane dla CO'!$N$75</f>
        <v>0.92571428571428582</v>
      </c>
      <c r="DP37" s="94">
        <f t="shared" si="31"/>
        <v>26.448979591836739</v>
      </c>
      <c r="DQ37" s="51">
        <v>-2</v>
      </c>
      <c r="DR37" s="130">
        <v>4</v>
      </c>
      <c r="DS37" s="130">
        <v>12</v>
      </c>
      <c r="DT37" s="89">
        <f>Wykresy!Y35</f>
        <v>35.799999999999997</v>
      </c>
      <c r="DU37" s="90">
        <f>Wykresy!AE35</f>
        <v>23.266666666666669</v>
      </c>
      <c r="DV37" s="92">
        <f>(($DV$45-$DV$35)/10)*2+$DV$35</f>
        <v>10.741999999999999</v>
      </c>
      <c r="DW37" s="92">
        <f>(($DW$45-$DW$35)/10)*2+$DW$35</f>
        <v>1.964</v>
      </c>
      <c r="DX37" s="92">
        <f t="shared" si="24"/>
        <v>5.4694501018329937</v>
      </c>
      <c r="DY37" s="86">
        <f>(($DY$45-$DY$35)/10)*2+$DY$35</f>
        <v>12.2</v>
      </c>
      <c r="DZ37" s="86">
        <v>1.91</v>
      </c>
      <c r="EA37" s="96">
        <f t="shared" si="37"/>
        <v>6.3874345549738223</v>
      </c>
      <c r="EB37" s="85">
        <f t="shared" si="39"/>
        <v>4</v>
      </c>
      <c r="EC37" s="85">
        <f t="shared" si="26"/>
        <v>9.7234668477030994E-2</v>
      </c>
      <c r="ED37" s="92">
        <f>'Energia 221.A29'!P34</f>
        <v>5.5563579727402166</v>
      </c>
      <c r="EE37" s="86">
        <f t="shared" si="40"/>
        <v>4</v>
      </c>
      <c r="EF37" s="86">
        <f t="shared" si="28"/>
        <v>0.11355439208842351</v>
      </c>
      <c r="EG37" s="96">
        <f>'Energia 221.A29'!S34</f>
        <v>6.4673013873502008</v>
      </c>
      <c r="EI37" s="130">
        <v>7</v>
      </c>
      <c r="EJ37" s="130">
        <f t="shared" si="34"/>
        <v>213</v>
      </c>
      <c r="EK37" s="130">
        <v>12</v>
      </c>
      <c r="EL37" s="89">
        <v>55</v>
      </c>
      <c r="EM37" s="92">
        <f t="shared" ref="EM37:EM44" si="49">EM36+$ES$35</f>
        <v>8.2800000000000011</v>
      </c>
      <c r="EN37" s="92">
        <f t="shared" ref="EN37:EN44" si="50">EN36+$ET$35</f>
        <v>2.8640000000000003</v>
      </c>
      <c r="EO37" s="92">
        <f t="shared" si="38"/>
        <v>2.8910614525139664</v>
      </c>
      <c r="EP37" s="85">
        <f t="shared" si="29"/>
        <v>7</v>
      </c>
      <c r="EQ37" s="85">
        <f t="shared" si="30"/>
        <v>8.9944134078212293E-2</v>
      </c>
      <c r="ER37" s="92">
        <f>'Energia 221.A29'!V34</f>
        <v>3.2759579639286009</v>
      </c>
    </row>
    <row r="38" spans="1:165">
      <c r="DM38" s="49">
        <v>-1</v>
      </c>
      <c r="DN38" s="94">
        <f>DO38*'Dane dla CO'!$N$80</f>
        <v>70.530612244897966</v>
      </c>
      <c r="DO38" s="94">
        <f>(15-DS38)/35*'Dane dla CO'!$N$75</f>
        <v>0.61714285714285722</v>
      </c>
      <c r="DP38" s="94">
        <f t="shared" si="31"/>
        <v>7.8367346938775517</v>
      </c>
      <c r="DQ38" s="51">
        <v>-1</v>
      </c>
      <c r="DR38" s="130">
        <v>9</v>
      </c>
      <c r="DS38" s="130">
        <v>13</v>
      </c>
      <c r="DT38" s="89">
        <f>Wykresy!Y36</f>
        <v>35.200000000000003</v>
      </c>
      <c r="DU38" s="90">
        <f>Wykresy!AE36</f>
        <v>22.900000000000002</v>
      </c>
      <c r="DV38" s="92">
        <f>(($DV$45-$DV$35)/10)*3+$DV$35</f>
        <v>10.858000000000001</v>
      </c>
      <c r="DW38" s="92">
        <f>(($DW$45-$DW$35)/10)*3+$DW$35</f>
        <v>1.956</v>
      </c>
      <c r="DX38" s="92">
        <f t="shared" si="24"/>
        <v>5.5511247443762786</v>
      </c>
      <c r="DY38" s="86">
        <f>(($DY$45-$DY$35)/10)*3+$DY$35</f>
        <v>12.3</v>
      </c>
      <c r="DZ38" s="86">
        <v>1.9</v>
      </c>
      <c r="EA38" s="96">
        <f t="shared" si="37"/>
        <v>6.4736842105263168</v>
      </c>
      <c r="EB38" s="85">
        <f t="shared" si="39"/>
        <v>9</v>
      </c>
      <c r="EC38" s="85">
        <f t="shared" si="26"/>
        <v>0.22204498977505116</v>
      </c>
      <c r="ED38" s="92">
        <f>'Energia 221.A29'!P35</f>
        <v>5.5911211211031064</v>
      </c>
      <c r="EE38" s="86">
        <f t="shared" si="40"/>
        <v>9</v>
      </c>
      <c r="EF38" s="86">
        <f t="shared" si="28"/>
        <v>0.25894736842105265</v>
      </c>
      <c r="EG38" s="96">
        <f>'Energia 221.A29'!S35</f>
        <v>6.4992481203007531</v>
      </c>
      <c r="EI38" s="130">
        <v>12</v>
      </c>
      <c r="EJ38" s="130">
        <f t="shared" si="34"/>
        <v>225</v>
      </c>
      <c r="EK38" s="130">
        <v>13</v>
      </c>
      <c r="EL38" s="89">
        <v>55</v>
      </c>
      <c r="EM38" s="92">
        <f t="shared" si="49"/>
        <v>8.4100000000000019</v>
      </c>
      <c r="EN38" s="92">
        <f t="shared" si="50"/>
        <v>2.8510000000000004</v>
      </c>
      <c r="EO38" s="92">
        <f t="shared" si="38"/>
        <v>2.949842160645388</v>
      </c>
      <c r="EP38" s="85">
        <f t="shared" si="29"/>
        <v>12</v>
      </c>
      <c r="EQ38" s="85">
        <f t="shared" si="30"/>
        <v>0.15732491523442069</v>
      </c>
      <c r="ER38" s="92">
        <f>'Energia 221.A29'!V35</f>
        <v>3.2935676082416885</v>
      </c>
    </row>
    <row r="39" spans="1:165">
      <c r="DM39" s="49">
        <v>-1</v>
      </c>
      <c r="DN39" s="94">
        <f>DO39*'Dane dla CO'!$N$80</f>
        <v>35.265306122448983</v>
      </c>
      <c r="DO39" s="94">
        <f>(15-DS39)/35*'Dane dla CO'!$N$75</f>
        <v>0.30857142857142861</v>
      </c>
      <c r="DP39" s="94">
        <f t="shared" si="31"/>
        <v>3.9183673469387759</v>
      </c>
      <c r="DQ39" s="51">
        <v>-1</v>
      </c>
      <c r="DR39" s="130">
        <v>9</v>
      </c>
      <c r="DS39" s="130">
        <v>14</v>
      </c>
      <c r="DT39" s="89">
        <f>Wykresy!Y37</f>
        <v>34.6</v>
      </c>
      <c r="DU39" s="90">
        <f>Wykresy!AE37</f>
        <v>22.533333333333335</v>
      </c>
      <c r="DV39" s="92">
        <f>(($DV$45-$DV$35)/10)*4+$DV$35</f>
        <v>10.974</v>
      </c>
      <c r="DW39" s="92">
        <f>(($DW$45-$DW$35)/10)*4+$DW$35</f>
        <v>1.948</v>
      </c>
      <c r="DX39" s="92">
        <f t="shared" si="24"/>
        <v>5.6334702258726903</v>
      </c>
      <c r="DY39" s="86">
        <f>(($DY$45-$DY$35)/10)*4+$DY$35</f>
        <v>12.4</v>
      </c>
      <c r="DZ39" s="86">
        <v>1.9</v>
      </c>
      <c r="EA39" s="96">
        <f t="shared" si="37"/>
        <v>6.526315789473685</v>
      </c>
      <c r="EB39" s="85">
        <f t="shared" si="39"/>
        <v>9</v>
      </c>
      <c r="EC39" s="85">
        <f t="shared" si="26"/>
        <v>0.22533880903490763</v>
      </c>
      <c r="ED39" s="92">
        <f>'Energia 221.A29'!P36</f>
        <v>5.6334702258726903</v>
      </c>
      <c r="EE39" s="86">
        <f t="shared" si="40"/>
        <v>9</v>
      </c>
      <c r="EF39" s="86">
        <f t="shared" si="28"/>
        <v>0.26105263157894742</v>
      </c>
      <c r="EG39" s="96">
        <f>'Energia 221.A29'!S36</f>
        <v>6.526315789473685</v>
      </c>
      <c r="EI39" s="130">
        <v>17</v>
      </c>
      <c r="EJ39" s="130">
        <f t="shared" si="34"/>
        <v>242</v>
      </c>
      <c r="EK39" s="130">
        <v>14</v>
      </c>
      <c r="EL39" s="89">
        <v>55</v>
      </c>
      <c r="EM39" s="92">
        <f t="shared" si="49"/>
        <v>8.5400000000000027</v>
      </c>
      <c r="EN39" s="92">
        <f t="shared" si="50"/>
        <v>2.8380000000000005</v>
      </c>
      <c r="EO39" s="92">
        <f t="shared" si="38"/>
        <v>3.0091613812544047</v>
      </c>
      <c r="EP39" s="85">
        <f t="shared" si="29"/>
        <v>17</v>
      </c>
      <c r="EQ39" s="85">
        <f t="shared" si="30"/>
        <v>0.22735885991699945</v>
      </c>
      <c r="ER39" s="92">
        <f>'Energia 221.A29'!V36</f>
        <v>3.3228208378243522</v>
      </c>
    </row>
    <row r="40" spans="1:165">
      <c r="E40" t="s">
        <v>223</v>
      </c>
      <c r="DM40" s="49">
        <v>-1</v>
      </c>
      <c r="DN40" s="94">
        <f>DO40*'Dane dla CO'!$N$80</f>
        <v>0</v>
      </c>
      <c r="DO40" s="94">
        <f>(15-DS40)/35*'Dane dla CO'!$N$75</f>
        <v>0</v>
      </c>
      <c r="DP40" s="94">
        <f t="shared" si="31"/>
        <v>0</v>
      </c>
      <c r="DQ40" s="51">
        <v>-1</v>
      </c>
      <c r="DR40" s="130">
        <v>4</v>
      </c>
      <c r="DS40" s="130">
        <v>15</v>
      </c>
      <c r="DT40" s="89">
        <f>Wykresy!Y38</f>
        <v>34</v>
      </c>
      <c r="DU40" s="90">
        <f>Wykresy!AE38</f>
        <v>22.166666666666668</v>
      </c>
      <c r="DV40" s="92">
        <f>(($DV$45-$DV$35)/10)*5+$DV$35</f>
        <v>11.09</v>
      </c>
      <c r="DW40" s="92">
        <f>(($DW$45-$DW$35)/10)*5+$DW$35</f>
        <v>1.94</v>
      </c>
      <c r="DX40" s="92">
        <f t="shared" si="24"/>
        <v>5.7164948453608249</v>
      </c>
      <c r="DY40" s="86">
        <f>(($DY$45-$DY$35)/10)*5+$DY$35</f>
        <v>12.5</v>
      </c>
      <c r="DZ40" s="86">
        <v>1.9</v>
      </c>
      <c r="EA40" s="96">
        <f t="shared" si="37"/>
        <v>6.5789473684210531</v>
      </c>
      <c r="EB40" s="85">
        <f t="shared" si="39"/>
        <v>4</v>
      </c>
      <c r="EC40" s="85">
        <f t="shared" si="26"/>
        <v>0.10162657502863688</v>
      </c>
      <c r="ED40" s="92">
        <f>'Energia 221.A29'!P37</f>
        <v>5.6334702258726903</v>
      </c>
      <c r="EE40" s="86">
        <f t="shared" si="40"/>
        <v>4</v>
      </c>
      <c r="EF40" s="86">
        <f t="shared" si="28"/>
        <v>0.11695906432748539</v>
      </c>
      <c r="EG40" s="96">
        <f>'Energia 221.A29'!S37</f>
        <v>6.526315789473685</v>
      </c>
      <c r="EI40" s="130">
        <v>8</v>
      </c>
      <c r="EJ40" s="130">
        <f t="shared" si="34"/>
        <v>250</v>
      </c>
      <c r="EK40" s="130">
        <v>15</v>
      </c>
      <c r="EL40" s="89">
        <v>55</v>
      </c>
      <c r="EM40" s="92">
        <f t="shared" si="49"/>
        <v>8.6700000000000035</v>
      </c>
      <c r="EN40" s="92">
        <f t="shared" si="50"/>
        <v>2.8250000000000006</v>
      </c>
      <c r="EO40" s="92">
        <f t="shared" si="38"/>
        <v>3.069026548672567</v>
      </c>
      <c r="EP40" s="85">
        <f t="shared" si="29"/>
        <v>8</v>
      </c>
      <c r="EQ40" s="85">
        <f t="shared" si="30"/>
        <v>0.10912094395280238</v>
      </c>
      <c r="ER40" s="92">
        <f>'Energia 221.A29'!V37</f>
        <v>3.3658225375153932</v>
      </c>
    </row>
    <row r="41" spans="1:165">
      <c r="D41" t="s">
        <v>238</v>
      </c>
      <c r="E41">
        <f>(E37+P37+AA37+AL37+BY37+CJ37+CU37+DF37)*'Dane dla CO'!H42</f>
        <v>17474.616000000005</v>
      </c>
      <c r="F41" t="s">
        <v>61</v>
      </c>
      <c r="DM41" s="49">
        <v>-1</v>
      </c>
      <c r="DQ41" s="51">
        <v>-1</v>
      </c>
      <c r="DR41" s="130"/>
      <c r="DS41" s="130"/>
      <c r="EI41" s="130">
        <v>15</v>
      </c>
      <c r="EJ41" s="130">
        <f t="shared" si="34"/>
        <v>265</v>
      </c>
      <c r="EK41" s="130">
        <v>16</v>
      </c>
      <c r="EL41" s="89">
        <v>55</v>
      </c>
      <c r="EM41" s="92">
        <f t="shared" si="49"/>
        <v>8.8000000000000043</v>
      </c>
      <c r="EN41" s="92">
        <f t="shared" si="50"/>
        <v>2.8120000000000007</v>
      </c>
      <c r="EO41" s="92">
        <f t="shared" si="38"/>
        <v>3.1294452347083932</v>
      </c>
      <c r="EP41" s="85">
        <f t="shared" si="29"/>
        <v>15</v>
      </c>
      <c r="EQ41" s="85">
        <f t="shared" si="30"/>
        <v>0.20862968231389289</v>
      </c>
      <c r="ER41" s="92">
        <f>'Energia 221.A29'!V38</f>
        <v>3.3862912264011058</v>
      </c>
    </row>
    <row r="42" spans="1:165">
      <c r="D42" t="s">
        <v>239</v>
      </c>
      <c r="E42">
        <f>'Dane dla CWU'!H43</f>
        <v>3766.4447333333333</v>
      </c>
      <c r="DM42" s="49">
        <v>-1</v>
      </c>
      <c r="DQ42" s="51">
        <v>-1</v>
      </c>
      <c r="DR42" s="130"/>
      <c r="DS42" s="130"/>
      <c r="DT42" s="95">
        <f>SUM(DR5:DR40)</f>
        <v>225</v>
      </c>
      <c r="EI42" s="130">
        <v>19</v>
      </c>
      <c r="EJ42" s="130">
        <f t="shared" si="34"/>
        <v>284</v>
      </c>
      <c r="EK42" s="130">
        <v>17</v>
      </c>
      <c r="EL42" s="89">
        <v>55</v>
      </c>
      <c r="EM42" s="92">
        <f t="shared" si="49"/>
        <v>8.930000000000005</v>
      </c>
      <c r="EN42" s="92">
        <f t="shared" si="50"/>
        <v>2.7990000000000008</v>
      </c>
      <c r="EO42" s="92">
        <f t="shared" si="38"/>
        <v>3.1904251518399436</v>
      </c>
      <c r="EP42" s="85">
        <f t="shared" si="29"/>
        <v>19</v>
      </c>
      <c r="EQ42" s="85">
        <f t="shared" si="30"/>
        <v>0.26941367948870637</v>
      </c>
      <c r="ER42" s="92">
        <f>'Energia 221.A29'!V39</f>
        <v>3.4244366707119043</v>
      </c>
    </row>
    <row r="43" spans="1:165">
      <c r="D43" t="s">
        <v>232</v>
      </c>
      <c r="E43" t="s">
        <v>233</v>
      </c>
      <c r="F43" t="s">
        <v>234</v>
      </c>
      <c r="G43" t="s">
        <v>235</v>
      </c>
      <c r="I43" t="s">
        <v>253</v>
      </c>
      <c r="J43" t="s">
        <v>254</v>
      </c>
      <c r="DM43" s="49">
        <v>-1</v>
      </c>
      <c r="DQ43" s="51">
        <v>-1</v>
      </c>
      <c r="DR43" s="130">
        <v>13</v>
      </c>
      <c r="DS43" s="130">
        <v>16</v>
      </c>
      <c r="EI43" s="130">
        <v>12</v>
      </c>
      <c r="EJ43" s="130">
        <f t="shared" si="34"/>
        <v>296</v>
      </c>
      <c r="EK43" s="130">
        <v>18</v>
      </c>
      <c r="EL43" s="89">
        <v>55</v>
      </c>
      <c r="EM43" s="92">
        <f t="shared" si="49"/>
        <v>9.0600000000000058</v>
      </c>
      <c r="EN43" s="92">
        <f t="shared" si="50"/>
        <v>2.7860000000000009</v>
      </c>
      <c r="EO43" s="92">
        <f t="shared" si="38"/>
        <v>3.2519741564967708</v>
      </c>
      <c r="EP43" s="85">
        <f t="shared" si="29"/>
        <v>12</v>
      </c>
      <c r="EQ43" s="85">
        <f t="shared" si="30"/>
        <v>0.17343862167982776</v>
      </c>
      <c r="ER43" s="92">
        <f>'Energia 221.A29'!V40</f>
        <v>3.4786588519139441</v>
      </c>
      <c r="EY43" t="s">
        <v>202</v>
      </c>
      <c r="FD43" t="s">
        <v>204</v>
      </c>
    </row>
    <row r="44" spans="1:165">
      <c r="B44" t="s">
        <v>241</v>
      </c>
      <c r="D44">
        <f>F37</f>
        <v>2541.6000000000004</v>
      </c>
      <c r="E44">
        <f>G37</f>
        <v>964.80000000000018</v>
      </c>
      <c r="F44">
        <f>J37</f>
        <v>144.46637333333337</v>
      </c>
      <c r="G44">
        <f>K37</f>
        <v>175.42345333333338</v>
      </c>
      <c r="I44" s="84">
        <f>D44+E44</f>
        <v>3506.4000000000005</v>
      </c>
      <c r="J44" s="84">
        <f>F44+G44</f>
        <v>319.88982666666675</v>
      </c>
      <c r="DM44" s="49">
        <v>-1</v>
      </c>
      <c r="DQ44" s="51">
        <v>-1</v>
      </c>
      <c r="DR44" s="130">
        <v>10</v>
      </c>
      <c r="DS44" s="130">
        <v>17</v>
      </c>
      <c r="EI44" s="130">
        <v>13</v>
      </c>
      <c r="EJ44" s="130">
        <f t="shared" si="34"/>
        <v>309</v>
      </c>
      <c r="EK44" s="130">
        <v>19</v>
      </c>
      <c r="EL44" s="89">
        <v>55</v>
      </c>
      <c r="EM44" s="92">
        <f t="shared" si="49"/>
        <v>9.1900000000000066</v>
      </c>
      <c r="EN44" s="92">
        <f t="shared" si="50"/>
        <v>2.773000000000001</v>
      </c>
      <c r="EO44" s="92">
        <f t="shared" si="38"/>
        <v>3.314100252434188</v>
      </c>
      <c r="EP44" s="85">
        <f t="shared" si="29"/>
        <v>13</v>
      </c>
      <c r="EQ44" s="85">
        <f t="shared" si="30"/>
        <v>0.19148134791841975</v>
      </c>
      <c r="ER44" s="92">
        <f>'Energia 221.A29'!V41</f>
        <v>3.517519085414031</v>
      </c>
      <c r="EY44" t="s">
        <v>197</v>
      </c>
      <c r="EZ44">
        <f>(2*'Dane dla CO'!H35)/(30*Dobór!$P$27)</f>
        <v>147.82743662551439</v>
      </c>
      <c r="FD44" t="s">
        <v>197</v>
      </c>
      <c r="FF44">
        <f>'Dane dla CWU'!H43/30</f>
        <v>125.54815777777777</v>
      </c>
    </row>
    <row r="45" spans="1:165">
      <c r="B45" t="s">
        <v>242</v>
      </c>
      <c r="D45">
        <f>Q37</f>
        <v>1699.1999999999998</v>
      </c>
      <c r="E45">
        <f>R37</f>
        <v>2484.0000000000005</v>
      </c>
      <c r="F45">
        <f>U37</f>
        <v>92.87124</v>
      </c>
      <c r="G45">
        <f>V37</f>
        <v>206.3805333333334</v>
      </c>
      <c r="I45" s="84">
        <f t="shared" ref="I45:I55" si="51">D45+E45</f>
        <v>4183.2000000000007</v>
      </c>
      <c r="J45" s="84">
        <f t="shared" ref="J45:J55" si="52">F45+G45</f>
        <v>299.2517733333334</v>
      </c>
      <c r="DM45" s="49">
        <v>-1</v>
      </c>
      <c r="DQ45" s="51">
        <v>-1</v>
      </c>
      <c r="DR45" s="130">
        <v>12</v>
      </c>
      <c r="DS45" s="130">
        <v>18</v>
      </c>
      <c r="DT45" s="95"/>
      <c r="DU45" s="95"/>
      <c r="DV45" s="118">
        <v>11.67</v>
      </c>
      <c r="DW45" s="118">
        <v>1.9</v>
      </c>
      <c r="DX45" s="95"/>
      <c r="DY45" s="118">
        <v>13</v>
      </c>
      <c r="DZ45" s="118">
        <v>1.9</v>
      </c>
      <c r="EI45" s="130">
        <v>10</v>
      </c>
      <c r="EJ45" s="130">
        <f t="shared" si="34"/>
        <v>319</v>
      </c>
      <c r="EK45" s="130">
        <v>20</v>
      </c>
      <c r="EL45" s="89">
        <v>55</v>
      </c>
      <c r="EM45" s="117">
        <v>9.32</v>
      </c>
      <c r="EN45" s="117">
        <v>2.76</v>
      </c>
      <c r="EO45" s="92">
        <f t="shared" si="38"/>
        <v>3.3768115942028989</v>
      </c>
      <c r="EP45" s="85">
        <f t="shared" si="29"/>
        <v>10</v>
      </c>
      <c r="EQ45" s="85">
        <f t="shared" si="30"/>
        <v>0.15008051529790664</v>
      </c>
      <c r="ER45" s="92">
        <f>'Energia 221.A29'!V42</f>
        <v>3.5639128543392582</v>
      </c>
      <c r="ES45">
        <f>(EM53-EM45)/8</f>
        <v>0.16124999999999989</v>
      </c>
      <c r="ET45">
        <f>(EN53-EN45)/8</f>
        <v>-1.6249999999999987E-2</v>
      </c>
    </row>
    <row r="46" spans="1:165">
      <c r="B46" t="s">
        <v>243</v>
      </c>
      <c r="D46">
        <f>AB37</f>
        <v>2268</v>
      </c>
      <c r="E46">
        <f>AC37</f>
        <v>0</v>
      </c>
      <c r="F46">
        <f>AF37</f>
        <v>257.97566666666677</v>
      </c>
      <c r="G46">
        <f>AG37</f>
        <v>61.914159999999995</v>
      </c>
      <c r="I46" s="84">
        <f t="shared" si="51"/>
        <v>2268</v>
      </c>
      <c r="J46" s="84">
        <f t="shared" si="52"/>
        <v>319.88982666666675</v>
      </c>
      <c r="DM46" s="49">
        <v>0</v>
      </c>
      <c r="DQ46" s="51">
        <v>0</v>
      </c>
      <c r="DR46" s="130">
        <v>9</v>
      </c>
      <c r="DS46" s="130">
        <v>19</v>
      </c>
      <c r="EI46" s="130">
        <v>15</v>
      </c>
      <c r="EJ46" s="130">
        <f t="shared" si="34"/>
        <v>334</v>
      </c>
      <c r="EK46" s="130">
        <v>21</v>
      </c>
      <c r="EL46" s="89">
        <v>55</v>
      </c>
      <c r="EM46" s="92">
        <f>EM45+$ES$45</f>
        <v>9.4812499999999993</v>
      </c>
      <c r="EN46" s="92">
        <f>EN45+$ET$45</f>
        <v>2.7437499999999999</v>
      </c>
      <c r="EO46" s="92">
        <f t="shared" si="38"/>
        <v>3.4555808656036446</v>
      </c>
      <c r="EP46" s="85">
        <f t="shared" si="29"/>
        <v>15</v>
      </c>
      <c r="EQ46" s="85">
        <f t="shared" si="30"/>
        <v>0.23037205770690966</v>
      </c>
      <c r="ER46" s="92">
        <f>'Energia 221.A29'!V43</f>
        <v>3.6037216330916748</v>
      </c>
      <c r="EY46" t="s">
        <v>203</v>
      </c>
      <c r="FD46" t="s">
        <v>205</v>
      </c>
    </row>
    <row r="47" spans="1:165">
      <c r="B47" t="s">
        <v>244</v>
      </c>
      <c r="D47">
        <f>AL37</f>
        <v>1252.8000000000002</v>
      </c>
      <c r="E47">
        <f>AN37</f>
        <v>0</v>
      </c>
      <c r="F47">
        <f>AQ37</f>
        <v>288.93274666666679</v>
      </c>
      <c r="G47">
        <f>AR37</f>
        <v>20.638053333333332</v>
      </c>
      <c r="I47" s="84">
        <f t="shared" si="51"/>
        <v>1252.8000000000002</v>
      </c>
      <c r="J47" s="84">
        <f t="shared" si="52"/>
        <v>309.57080000000013</v>
      </c>
      <c r="DM47" s="49">
        <v>0</v>
      </c>
      <c r="DQ47" s="51">
        <v>0</v>
      </c>
      <c r="DR47" s="130">
        <v>10</v>
      </c>
      <c r="DS47" s="130">
        <v>20</v>
      </c>
      <c r="EI47" s="130">
        <v>9</v>
      </c>
      <c r="EJ47" s="130">
        <f t="shared" si="34"/>
        <v>343</v>
      </c>
      <c r="EK47" s="130">
        <v>22</v>
      </c>
      <c r="EL47" s="89">
        <v>55</v>
      </c>
      <c r="EM47" s="92">
        <f t="shared" ref="EM47:EM52" si="53">EM46+$ES$45</f>
        <v>9.6424999999999983</v>
      </c>
      <c r="EN47" s="92">
        <f t="shared" ref="EN47:EN52" si="54">EN46+$ET$45</f>
        <v>2.7275</v>
      </c>
      <c r="EO47" s="92">
        <f t="shared" si="38"/>
        <v>3.5352887259395045</v>
      </c>
      <c r="EP47" s="85">
        <f t="shared" si="29"/>
        <v>9</v>
      </c>
      <c r="EQ47" s="85">
        <f t="shared" si="30"/>
        <v>0.14141154903758019</v>
      </c>
      <c r="ER47" s="92">
        <f>'Energia 221.A29'!V44</f>
        <v>3.6731626178516894</v>
      </c>
      <c r="EY47" t="s">
        <v>199</v>
      </c>
      <c r="EZ47" s="84">
        <f>(Dobór!P27-'Dane dla CO'!AA54)/Dobór!P27*0.5*('SCOP 221.A26 ver 2'!EZ44*'SCOP 221.A26 ver 2'!EZ48)</f>
        <v>-38.501017616951522</v>
      </c>
      <c r="FA47" t="s">
        <v>61</v>
      </c>
      <c r="FB47">
        <f>ABS(EZ47)</f>
        <v>38.501017616951522</v>
      </c>
      <c r="FD47" t="s">
        <v>199</v>
      </c>
      <c r="FF47" s="84">
        <f>FF48*FF44</f>
        <v>376.64447333333334</v>
      </c>
      <c r="FG47" s="84"/>
      <c r="FH47" t="s">
        <v>61</v>
      </c>
      <c r="FI47">
        <f>ABS(FF47)</f>
        <v>376.64447333333334</v>
      </c>
    </row>
    <row r="48" spans="1:165">
      <c r="B48" t="s">
        <v>245</v>
      </c>
      <c r="F48">
        <f>31*E42/365</f>
        <v>319.88982666666664</v>
      </c>
      <c r="G48">
        <v>0</v>
      </c>
      <c r="I48" s="84">
        <f t="shared" si="51"/>
        <v>0</v>
      </c>
      <c r="J48" s="84">
        <f t="shared" si="52"/>
        <v>319.88982666666664</v>
      </c>
      <c r="DM48" s="49">
        <v>0</v>
      </c>
      <c r="DQ48" s="51">
        <v>0</v>
      </c>
      <c r="DR48" s="130">
        <v>14</v>
      </c>
      <c r="DS48" s="130">
        <v>21</v>
      </c>
      <c r="EI48" s="130">
        <v>9</v>
      </c>
      <c r="EJ48" s="130">
        <f t="shared" si="34"/>
        <v>352</v>
      </c>
      <c r="EK48" s="130">
        <v>23</v>
      </c>
      <c r="EL48" s="89">
        <v>55</v>
      </c>
      <c r="EM48" s="92">
        <f t="shared" si="53"/>
        <v>9.8037499999999973</v>
      </c>
      <c r="EN48" s="92">
        <f t="shared" si="54"/>
        <v>2.7112500000000002</v>
      </c>
      <c r="EO48" s="92">
        <f t="shared" si="38"/>
        <v>3.6159520516366976</v>
      </c>
      <c r="EP48" s="85">
        <f t="shared" si="29"/>
        <v>9</v>
      </c>
      <c r="EQ48" s="85">
        <f t="shared" si="30"/>
        <v>0.14463808206546791</v>
      </c>
      <c r="ER48" s="92">
        <f>'Energia 221.A29'!V45</f>
        <v>3.7271132712086308</v>
      </c>
      <c r="EY48" t="s">
        <v>200</v>
      </c>
      <c r="EZ48" s="84">
        <f>EZ4-EZ3</f>
        <v>3</v>
      </c>
      <c r="FD48" t="s">
        <v>200</v>
      </c>
      <c r="FF48" s="84">
        <f>EZ7-EZ6</f>
        <v>3</v>
      </c>
      <c r="FG48" s="84"/>
    </row>
    <row r="49" spans="2:164">
      <c r="B49" t="s">
        <v>246</v>
      </c>
      <c r="F49">
        <f>31*E42/365</f>
        <v>319.88982666666664</v>
      </c>
      <c r="G49">
        <v>0</v>
      </c>
      <c r="I49" s="84">
        <f t="shared" si="51"/>
        <v>0</v>
      </c>
      <c r="J49" s="84">
        <f t="shared" si="52"/>
        <v>319.88982666666664</v>
      </c>
      <c r="DM49" s="49">
        <v>0</v>
      </c>
      <c r="DQ49" s="51">
        <v>0</v>
      </c>
      <c r="DR49" s="130">
        <v>8</v>
      </c>
      <c r="DS49" s="130">
        <v>22</v>
      </c>
      <c r="EI49" s="130">
        <v>3</v>
      </c>
      <c r="EJ49" s="130">
        <f t="shared" si="34"/>
        <v>355</v>
      </c>
      <c r="EK49" s="130">
        <v>24</v>
      </c>
      <c r="EL49" s="89">
        <v>55</v>
      </c>
      <c r="EM49" s="92">
        <f t="shared" si="53"/>
        <v>9.9649999999999963</v>
      </c>
      <c r="EN49" s="92">
        <f t="shared" si="54"/>
        <v>2.6950000000000003</v>
      </c>
      <c r="EO49" s="92">
        <f t="shared" si="38"/>
        <v>3.6975881261595531</v>
      </c>
      <c r="EP49" s="85">
        <f t="shared" si="29"/>
        <v>3</v>
      </c>
      <c r="EQ49" s="85">
        <f t="shared" si="30"/>
        <v>4.9301175015460705E-2</v>
      </c>
      <c r="ER49" s="92">
        <f>'Energia 221.A29'!V46</f>
        <v>3.7985740552191598</v>
      </c>
    </row>
    <row r="50" spans="2:164">
      <c r="B50" t="s">
        <v>247</v>
      </c>
      <c r="F50">
        <f>31*E42/365</f>
        <v>319.88982666666664</v>
      </c>
      <c r="G50">
        <v>0</v>
      </c>
      <c r="I50" s="84">
        <f t="shared" si="51"/>
        <v>0</v>
      </c>
      <c r="J50" s="84">
        <f t="shared" si="52"/>
        <v>319.88982666666664</v>
      </c>
      <c r="DM50" s="49">
        <v>0</v>
      </c>
      <c r="DQ50" s="51">
        <v>0</v>
      </c>
      <c r="DR50" s="130">
        <v>9</v>
      </c>
      <c r="DS50" s="130">
        <v>23</v>
      </c>
      <c r="EI50" s="130">
        <v>7</v>
      </c>
      <c r="EJ50" s="130">
        <f t="shared" si="34"/>
        <v>362</v>
      </c>
      <c r="EK50" s="130">
        <v>25</v>
      </c>
      <c r="EL50" s="89">
        <v>55</v>
      </c>
      <c r="EM50" s="92">
        <f t="shared" si="53"/>
        <v>10.126249999999995</v>
      </c>
      <c r="EN50" s="92">
        <f t="shared" si="54"/>
        <v>2.6787500000000004</v>
      </c>
      <c r="EO50" s="92">
        <f t="shared" si="38"/>
        <v>3.7802146523565074</v>
      </c>
      <c r="EP50" s="85">
        <f t="shared" si="29"/>
        <v>7</v>
      </c>
      <c r="EQ50" s="85">
        <f t="shared" si="30"/>
        <v>0.11760667807331357</v>
      </c>
      <c r="ER50" s="92">
        <f>'Energia 221.A29'!V47</f>
        <v>3.8261156722354164</v>
      </c>
    </row>
    <row r="51" spans="2:164">
      <c r="B51" t="s">
        <v>248</v>
      </c>
      <c r="F51">
        <f>31*E42/365</f>
        <v>319.88982666666664</v>
      </c>
      <c r="G51">
        <v>0</v>
      </c>
      <c r="I51" s="84">
        <f t="shared" si="51"/>
        <v>0</v>
      </c>
      <c r="J51" s="84">
        <f t="shared" si="52"/>
        <v>319.88982666666664</v>
      </c>
      <c r="DM51" s="49">
        <v>0</v>
      </c>
      <c r="DQ51" s="51">
        <v>0</v>
      </c>
      <c r="DR51" s="130">
        <v>3</v>
      </c>
      <c r="DS51" s="130">
        <v>24</v>
      </c>
      <c r="EI51" s="130">
        <v>3</v>
      </c>
      <c r="EJ51" s="130">
        <f t="shared" si="34"/>
        <v>365</v>
      </c>
      <c r="EK51" s="130">
        <v>26</v>
      </c>
      <c r="EL51" s="89">
        <v>55</v>
      </c>
      <c r="EM51" s="92">
        <f t="shared" si="53"/>
        <v>10.287499999999994</v>
      </c>
      <c r="EN51" s="92">
        <f t="shared" si="54"/>
        <v>2.6625000000000005</v>
      </c>
      <c r="EO51" s="92">
        <f t="shared" si="38"/>
        <v>3.8638497652582129</v>
      </c>
      <c r="EP51" s="85">
        <f t="shared" si="29"/>
        <v>3</v>
      </c>
      <c r="EQ51" s="85">
        <f t="shared" si="30"/>
        <v>5.1517996870109509E-2</v>
      </c>
      <c r="ER51" s="92">
        <f>'Energia 221.A29'!V48</f>
        <v>3.9064424570235077</v>
      </c>
    </row>
    <row r="52" spans="2:164">
      <c r="B52" t="s">
        <v>249</v>
      </c>
      <c r="D52">
        <f>BZ37</f>
        <v>367.20000000000016</v>
      </c>
      <c r="E52">
        <f>CA37</f>
        <v>0</v>
      </c>
      <c r="F52">
        <f>CD37</f>
        <v>257.97566666666677</v>
      </c>
      <c r="G52">
        <f>CE37</f>
        <v>51.59513333333333</v>
      </c>
      <c r="I52" s="84">
        <f t="shared" si="51"/>
        <v>367.20000000000016</v>
      </c>
      <c r="J52" s="84">
        <f t="shared" si="52"/>
        <v>309.57080000000008</v>
      </c>
      <c r="DM52" s="49">
        <v>0</v>
      </c>
      <c r="DQ52" s="51">
        <v>0</v>
      </c>
      <c r="DR52" s="130">
        <v>7</v>
      </c>
      <c r="DS52" s="130">
        <v>25</v>
      </c>
      <c r="EI52" s="130">
        <v>0</v>
      </c>
      <c r="EJ52" s="130">
        <f t="shared" si="34"/>
        <v>365</v>
      </c>
      <c r="EK52" s="130">
        <v>27</v>
      </c>
      <c r="EL52" s="89">
        <v>55</v>
      </c>
      <c r="EM52" s="92">
        <f t="shared" si="53"/>
        <v>10.448749999999993</v>
      </c>
      <c r="EN52" s="92">
        <f t="shared" si="54"/>
        <v>2.6462500000000007</v>
      </c>
      <c r="EO52" s="92">
        <f t="shared" si="38"/>
        <v>3.948512045347186</v>
      </c>
      <c r="EP52" s="85">
        <f t="shared" si="29"/>
        <v>0</v>
      </c>
      <c r="EQ52" s="85">
        <f t="shared" si="30"/>
        <v>0</v>
      </c>
      <c r="ER52" s="92">
        <f>'Energia 221.A29'!V49</f>
        <v>4.0342205323193916</v>
      </c>
    </row>
    <row r="53" spans="2:164">
      <c r="B53" t="s">
        <v>250</v>
      </c>
      <c r="D53">
        <f>CK37</f>
        <v>1728</v>
      </c>
      <c r="E53">
        <f>CL37</f>
        <v>0</v>
      </c>
      <c r="F53">
        <f>CO37</f>
        <v>278.61372000000011</v>
      </c>
      <c r="G53">
        <f>CP37</f>
        <v>41.276106666666664</v>
      </c>
      <c r="I53" s="84">
        <f t="shared" si="51"/>
        <v>1728</v>
      </c>
      <c r="J53" s="84">
        <f t="shared" si="52"/>
        <v>319.88982666666675</v>
      </c>
      <c r="DM53" s="49">
        <v>0</v>
      </c>
      <c r="DQ53" s="51">
        <v>0</v>
      </c>
      <c r="DR53" s="130">
        <v>3</v>
      </c>
      <c r="DS53" s="130">
        <v>26</v>
      </c>
      <c r="EI53" s="130">
        <v>1</v>
      </c>
      <c r="EJ53" s="130">
        <f t="shared" si="34"/>
        <v>366</v>
      </c>
      <c r="EK53" s="130">
        <v>28</v>
      </c>
      <c r="EL53" s="89">
        <v>55</v>
      </c>
      <c r="EM53" s="117">
        <v>10.61</v>
      </c>
      <c r="EN53" s="117">
        <v>2.63</v>
      </c>
      <c r="EO53" s="92">
        <f t="shared" si="38"/>
        <v>4.0342205323193916</v>
      </c>
      <c r="EP53" s="85">
        <f t="shared" si="29"/>
        <v>1</v>
      </c>
      <c r="EQ53" s="85">
        <f t="shared" si="30"/>
        <v>1.7929869032530629E-2</v>
      </c>
      <c r="ER53" s="92">
        <f>'Energia 221.A29'!V50</f>
        <v>4.0342205323193916</v>
      </c>
    </row>
    <row r="54" spans="2:164">
      <c r="B54" t="s">
        <v>251</v>
      </c>
      <c r="D54">
        <f>CV37</f>
        <v>2397.6000000000013</v>
      </c>
      <c r="E54">
        <f>CW37</f>
        <v>0</v>
      </c>
      <c r="F54">
        <f>CZ37</f>
        <v>257.97566666666677</v>
      </c>
      <c r="G54">
        <f>DA37</f>
        <v>51.59513333333333</v>
      </c>
      <c r="I54" s="84">
        <f t="shared" si="51"/>
        <v>2397.6000000000013</v>
      </c>
      <c r="J54" s="84">
        <f t="shared" si="52"/>
        <v>309.57080000000008</v>
      </c>
      <c r="DM54" s="49">
        <v>0</v>
      </c>
      <c r="DQ54" s="51">
        <v>0</v>
      </c>
      <c r="DR54" s="130">
        <v>0</v>
      </c>
      <c r="DS54" s="130">
        <v>27</v>
      </c>
      <c r="EL54" s="95">
        <f>SUM(EI5:EI53)</f>
        <v>366</v>
      </c>
    </row>
    <row r="55" spans="2:164">
      <c r="B55" t="s">
        <v>252</v>
      </c>
      <c r="D55">
        <f>DG37</f>
        <v>3549.6</v>
      </c>
      <c r="E55">
        <f>DH37</f>
        <v>381.60000000000008</v>
      </c>
      <c r="F55">
        <f>DK37</f>
        <v>30.957079999999998</v>
      </c>
      <c r="G55">
        <f>DL37</f>
        <v>288.93274666666679</v>
      </c>
      <c r="I55" s="84">
        <f t="shared" si="51"/>
        <v>3931.2</v>
      </c>
      <c r="J55" s="84">
        <f t="shared" si="52"/>
        <v>319.88982666666681</v>
      </c>
      <c r="DM55" s="49">
        <v>0</v>
      </c>
      <c r="DQ55" s="51">
        <v>0</v>
      </c>
      <c r="DR55" s="130">
        <v>1</v>
      </c>
      <c r="DS55" s="130">
        <v>28</v>
      </c>
      <c r="DT55" s="95">
        <f>SUM(DR43:DR55)</f>
        <v>99</v>
      </c>
      <c r="EL55" s="101"/>
    </row>
    <row r="56" spans="2:164">
      <c r="D56" s="138">
        <f>(D44+D45+D46+D47+D52+D53+D54+D55)/(I44+I45+I46+I47+I48+I49+I50+I51+I52+I53+I54+I55)</f>
        <v>0.80491382471580475</v>
      </c>
      <c r="F56" s="138">
        <f>(F44+F45+F46+F47+F52+F53+F54+F55+F48+F49+F50+F51)/(J44+J45+J46+J47+J48+J49+J50+J51+J52+J53+J54+J55)</f>
        <v>0.76294277929155307</v>
      </c>
      <c r="DM56" s="49">
        <v>0</v>
      </c>
      <c r="DQ56" s="51">
        <v>0</v>
      </c>
      <c r="EI56" s="130">
        <v>0</v>
      </c>
      <c r="EJ56" s="130">
        <f>EI56</f>
        <v>0</v>
      </c>
      <c r="EK56" s="130">
        <v>-20</v>
      </c>
      <c r="EL56" s="130">
        <v>-20</v>
      </c>
      <c r="ER56">
        <f>IF(Dobór!$M$18="Ogrzewanie podłogowe 35/28",EG5,IF(Dobór!$M$18="Grzejniki niskotemperaturowe 55/45",ED5,Error))</f>
        <v>3.151060305964636</v>
      </c>
      <c r="ES56">
        <f>IF(Dobór!$M$18="Ogrzewanie podłogowe 35/28",EA5,DX5)</f>
        <v>1.4285714285714286</v>
      </c>
      <c r="FB56" t="s">
        <v>179</v>
      </c>
      <c r="FC56" t="s">
        <v>277</v>
      </c>
    </row>
    <row r="57" spans="2:164">
      <c r="E57" s="84">
        <f>SUM(I44:I55)</f>
        <v>19634.400000000005</v>
      </c>
      <c r="DM57" s="49">
        <v>0</v>
      </c>
      <c r="DQ57" s="51">
        <v>0</v>
      </c>
      <c r="EI57" s="130">
        <v>0</v>
      </c>
      <c r="EJ57" s="130">
        <f>EJ56+EI57</f>
        <v>0</v>
      </c>
      <c r="EK57" s="130">
        <v>-19</v>
      </c>
      <c r="EL57" s="130">
        <v>-19</v>
      </c>
      <c r="ER57">
        <f>IF(Dobór!$M$18="Ogrzewanie podłogowe 35/28",EG6,IF(Dobór!$M$18="Grzejniki niskotemperaturowe 55/45",ED6,Error))</f>
        <v>3.151060305964636</v>
      </c>
      <c r="ES57">
        <f>IF(Dobór!$M$18="Ogrzewanie podłogowe 35/28",EA6,DX6)</f>
        <v>1.4853857211308097</v>
      </c>
      <c r="EZ57" s="84">
        <f>EZ3</f>
        <v>-10</v>
      </c>
      <c r="FA57" s="84">
        <f>EZ57</f>
        <v>-10</v>
      </c>
      <c r="FB57" s="84">
        <f>IF(EZ57=EK56,ER56,IF(EZ57=EK57,ER57,IF(EZ57=EK58,ER58,IF(EZ57=EK59,ER59,IF(EZ57=EK60,ER60,IF(EZ57=EK61,ER61,IF(EZ57=EK62,ER62,IF(EZ57=EK63,ER63,IF(EZ57=EK64,ER64,IF(EZ57=EK65,ER65,IF(EZ57=EK66,ER66,IF(EZ57=EK67,ER67,IF(EZ57=EK68,ER68,IF(EZ57=EK69,ER69,IF(EZ57=EK70,ER70,IF(EZ57=EK71,ER71,IF(EZ57=EK72,ER72,IF(EZ57=EK73,ER73,IF(EZ57=EK74,ER74,IF(EZ57=EK75,ER75,IF(EZ57=EK76,ER76,IF(EZ57=EK77,ER77,IF(EZ57=EK78,ER78,IF(EZ57=EK79,ER79,IF(EZ57=EK80,ER80,IF(EZ57=EK81,ER81,IF(EZ57=EK82,ER82,IF(EZ57=EK83,ER83,IF(EZ57=EK84,ER84,IF(EZ57=EK85,ER85,IF(EZ57=EK86,ER86,IF(EZ57=EK87,ER87,IF(EZ57=EK88,ER88,IF(EZ57=EK89,ER89,IF(EZ57=EK90,ER90,IF(EZ57=EK91,ER91,IF(EZ57=EK92,ER92,IF(EZ57=EK93,ER93,IF(EZ57=EK94,ER94,IF(EZ57=EK95,ER95,IF(EZ57=EK96,ER96,IF(EZ57=EK97,ER97,IF(EZ57=EK98,ER98,IF(EZ57=EK99,ER99,IF(EZ57=EK100,ER100,IF(EZ57=EK101,ER101,IF(EZ57=EK102,ER102,ER103)))))))))))))))))))))))))))))))))))))))))))))))</f>
        <v>3.3092039618009972</v>
      </c>
      <c r="FC57" s="84">
        <f>IF(FA57=EL56,ES56,IF(FA57=EL57,ES57,IF(FA57=EL58,ES58,IF(FA57=EL59,ES59,IF(FA57=EL60,ES60,IF(FA57=EL61,ES61,IF(FA57=EL62,ES62,IF(FA57=EL63,ES63,IF(FA57=EL64,ES64,IF(FA57=EL65,ES65,IF(FA57=EL66,ES66,IF(FA57=EL67,ES67,IF(FA57=EL68,ES68,IF(FA57=EL69,ES69,IF(FA57=EL70,ES70,IF(FA57=EL71,ES71,IF(FA57=EL72,ES72,IF(FA57=EL73,ES73,IF(FA57=EL74,ES74,IF(FA57=EL75,ES75,IF(FA57=EL76,ES76,IF(FA57=EL77,ES77,IF(FA57=EL78,ES78,IF(FA57=EL79,ES79,IF(FA57=EL80,ES80,IF(FA57=EL81,ES81,IF(FA57=EL82,ES82,IF(FA57=EL83,ES83,IF(FA57=EL84,ES84,IF(FA57=EL85,ES85,IF(FA57=EL86,ES86,IF(FA57=EL87,ES87,IF(FA57=EL88,ES88,IF(FA57=EL89,ES89,IF(FA57=EL90,ES90,IF(FA57=EL91,ES91,IF(FA57=EL92,ES92,IF(FA57=EL93,ES93,IF(FA57=EL94,ES94,IF(FA57=EL95,ES95,IF(FA57=EL96,ES96,IF(FA57=EL97,ES97,IF(FA57=EL98,ES98,IF(FA57=EL99,ES99,IF(FA57=EL100,ES100,IF(FA57=EL101,ES101,IF(FA57=EL102,ES102,ES103)))))))))))))))))))))))))))))))))))))))))))))))</f>
        <v>1.6734693877551017</v>
      </c>
      <c r="FD57">
        <f>IF(EZ57=EK56,DX6,IF(EZ57=EK57,DX7,IF(EZ57=EK58,DX8,IF(EZ57=EK59,DX9,IF(EZ57=EK60,DX10,IF(EZ57=EK61,DX11,IF(EZ57=EK62,DX12,IF(EZ57=EK63,DX13,IF(EZ57=EK64,DX14,IF(EZ57=EK65,DX15,IF(EZ57=EK66,DX16,IF(EZ57=EK67,DX17,IF(EZ57=EK68,DX18,IF(EZ57=EK69,DX19,IF(EZ57=EK70,DX20,IF(EZ57=EK71,DX21,IF(EZ57=EK72,DX22,IF(EZ57=EK73,DX23,IF(EZ57=EK74,DX24,IF(EZ57=EK75,DX25,IF(EZ57=EK76,DX26,IF(EZ57=EK77,DX27,IF(EZ57=EK78,DX28,IF(EZ57=EK79,DX29,IF(EZ57=EK80,DX30,IF(EZ57=EK81,DX31,IF(EZ57=EK82,DX32,IF(EZ57=EK83,DX33,IF(EZ57=EK84,DX34,IF(EZ57=EK85,DX35,IF(EZ57=EK86,DX36,IF(EZ57=EK87,DX37,IF(EZ57=EK88,DX38,IF(EZ57=EK89,DX39,IF(EZ57=EK90,DX40,IF(EZ57=EK91,DX41,IF(EZ57=EK92,DX42,IF(EZ57=EK93,DX43,IF(EZ57=EK94,DX44,IF(EZ57=EK95,DX45,IF(EZ57=EK96,DX46,IF(EZ57=EK97,DX47,IF(EZ57=EK98,ER988,IF(EZ57=EK99,DX49,IF(EZ57=EK100,DX50,IF(EZ57=EK101,DX51,IF(EZ57=EK102,DX52,DX53)))))))))))))))))))))))))))))))))))))))))))))))</f>
        <v>2.2445799457994577</v>
      </c>
      <c r="FH57">
        <f>IF(EZ57=EK60,EJ60,IF(EZ57=EK61,EJ61,IF(EZ57=EK62,EJ62,IF(EZ57=EK63,EJ63,IF(EZ57=EK64,EJ64,IF(EZ57=EK65,EJ65,IF(EZ57=EK66,EJ66,IF(EZ57=EK67,EJ67,IF(EZ57=EK68,EJ68,IF(EZ57=EK69,EJ69,IF(EZ57=EK70,EJ70,IF(EZ57=EK71,EJ71,IF(EZ57=EK72,EJ72,IF(EZ57=EK73,EJ73,IF(EZ57=EK74,EJ74,IF(EZ57=EK75,EJ75,IF(EZ57=EK76,EJ76,IF(EZ57=EK77,EJ77,IF(EZ57=EK78,EJ78,IF(EZ57=EK79,EJ79,IF(EZ57=EK80,EJ80,IF(EZ57=EK81,EJ81,IF(EZ57=EK82,EJ82,IF(EZ57=EK83,EJ83,IF(EZ57=EK84,EJ84,IF(EZ57=EK85,EJ85,IF(EZ57=EK86,EJ86,IF(EZ57=EK87,EJ87,IF(EZ57=EK88,EJ88,IF(EZ57=EK89,EJ89,IF(EZ57=EK90,EJ90,IF(EZ57=EK91,EJ91,IF(EZ57=EK92,EJ92,IF(EZ57=EK93,EJ93,IF(EZ57=EK94,EJ94,IF(EZ57=EK95,EJ95,IF(EZ57=EK96,EJ96,IF(EZ57=EK97,EJ97,IF(EZ57=EK98,EJ98,IF(EZ57=EK99,EJ99,IF(EZ57=EK100,EJ100,IF(EZ57=EK101,EJ101,IF(EZ57=EK102,BSO52,EJ103)))))))))))))))))))))))))))))))))))))))))))</f>
        <v>18</v>
      </c>
    </row>
    <row r="58" spans="2:164">
      <c r="DM58" s="49">
        <v>0</v>
      </c>
      <c r="DQ58" s="51">
        <v>0</v>
      </c>
      <c r="EI58" s="130">
        <v>1</v>
      </c>
      <c r="EJ58" s="130">
        <f t="shared" ref="EJ58:EJ106" si="55">EJ57+EI58</f>
        <v>1</v>
      </c>
      <c r="EK58" s="130">
        <v>-18</v>
      </c>
      <c r="EL58" s="130">
        <v>-18</v>
      </c>
      <c r="ER58">
        <f>IF(Dobór!$M$18="Ogrzewanie podłogowe 35/28",EG7,IF(Dobór!$M$18="Grzejniki niskotemperaturowe 55/45",ED7,Error))</f>
        <v>3.151060305964636</v>
      </c>
      <c r="ES58">
        <f>IF(Dobór!$M$18="Ogrzewanie podłogowe 35/28",EA7,DX7)</f>
        <v>1.5429122468659593</v>
      </c>
      <c r="EZ58" s="84">
        <f>EZ4</f>
        <v>-7</v>
      </c>
      <c r="FA58" s="84"/>
      <c r="FB58" s="84">
        <f>IF(EZ58=EK56,ER56,IF(EZ58=EK57,ER57,IF(EZ58=EK58,ER58,IF(EZ58=EK59,ER59,IF(EZ58=EK60,ER60,IF(EZ58=EK61,ER61,IF(EZ58=EK62,ER62,IF(EZ58=EK63,ER63,IF(EZ58=EK64,ER64,IF(EZ58=EK65,ER65,IF(EZ58=EK66,ER66,IF(EZ58=EK67,ER67,IF(EZ58=EK68,ER68,IF(EZ58=EK69,ER69,IF(EZ58=EK70,ER70,IF(EZ58=EK71,ER71,IF(EZ58=EK72,ER72,IF(EZ58=EK73,ER73,IF(EZ58=EK74,ER74,IF(EZ58=EK75,ER75,IF(EZ58=EK76,ER76,IF(EZ58=EK77,ER77,IF(EZ58=EK78,ER78,IF(EZ58=EK79,ER79,IF(EZ58=EK80,ER80,IF(EZ58=EK81,ER81,IF(EZ58=EK82,ER82,IF(EZ58=EK83,ER83,IF(EZ58=EK84,ER84,IF(EZ58=EK85,ER85,IF(EZ58=EK86,ER86,IF(EZ58=EK87,ER87,IF(EZ58=EK88,ER88,IF(EZ58=EK89,ER89,IF(EZ58=EK90,ER90,IF(EZ58=EK91,ER91,IF(EZ58=EK92,ER92,IF(EZ58=EK93,ER93,IF(EZ58=EK94,ER94,IF(EZ58=EK95,ER95,IF(EZ58=EK96,ER96,IF(EZ58=EK97,ER97,IF(EZ58=EK98,ER98,IF(EZ58=EK99,ER99,IF(EZ58=EK100,ER100,IF(EZ58=EK101,ER101,IF(EZ58=EK102,ER102,IF(EZ58=EK103,ER103,ER104))))))))))))))))))))))))))))))))))))))))))))))))</f>
        <v>3.414558913375636</v>
      </c>
      <c r="FH58">
        <f>IF(EZ58=EK61,EJ61,IF(EZ58=EK62,EJ62,IF(EZ58=EK63,EJ63,IF(EZ58=EK64,EJ64,IF(EZ58=EK65,EJ65,IF(EZ58=EK66,EJ66,IF(EZ58=EK67,EJ67,IF(EZ58=EK68,EJ68,IF(EZ58=EK69,EJ69,IF(EZ58=EK70,EJ70,IF(EZ58=EK71,EJ71,IF(EZ58=EK72,EJ72,IF(EZ58=EK73,EJ73,IF(EZ58=EK74,EJ74,IF(EZ58=EK75,EJ75,IF(EZ58=EK76,EJ76,IF(EZ58=EK77,EJ77,IF(EZ58=EK78,EJ78,IF(EZ58=EK79,EJ79,IF(EZ58=EK80,EJ80,IF(EZ58=EK81,EJ81,IF(EZ58=EK82,EJ82,IF(EZ58=EK83,EJ83,IF(EZ58=EK84,EJ84,IF(EZ58=EK85,EJ85,IF(EZ58=EK86,EJ86,IF(EZ58=EK87,EJ87,IF(EZ58=EK88,EJ88,IF(EZ58=EK89,EJ89,IF(EZ58=EK90,EJ90,IF(EZ58=EK91,EJ91,IF(EZ58=EK92,EJ92,IF(EZ58=EK93,EJ93,IF(EZ58=EK94,EJ94,IF(EZ58=EK95,EJ95,IF(EZ58=EK96,EJ96,IF(EZ58=EK97,EJ97,IF(EZ58=EK98,EJ98,IF(EZ58=EK99,EJ99,IF(EZ58=EK100,EJ100,IF(EZ58=EK101,EJ101,IF(EZ58=EK102,EJ102,IF(EZ58=EK103,BSO53,EJ104)))))))))))))))))))))))))))))))))))))))))))</f>
        <v>20</v>
      </c>
    </row>
    <row r="59" spans="2:164">
      <c r="DM59" s="49">
        <v>0</v>
      </c>
      <c r="DQ59" s="51">
        <v>0</v>
      </c>
      <c r="EI59" s="130">
        <v>0</v>
      </c>
      <c r="EJ59" s="130">
        <f t="shared" si="55"/>
        <v>1</v>
      </c>
      <c r="EK59" s="130">
        <v>-17</v>
      </c>
      <c r="EL59" s="130">
        <v>-17</v>
      </c>
      <c r="ER59">
        <f>IF(Dobór!$M$18="Ogrzewanie podłogowe 35/28",EG8,IF(Dobór!$M$18="Grzejniki niskotemperaturowe 55/45",ED8,Error))</f>
        <v>3.1708064359788488</v>
      </c>
      <c r="ES59">
        <f>IF(Dobór!$M$18="Ogrzewanie podłogowe 35/28",EA8,DX8)</f>
        <v>1.6011644832605532</v>
      </c>
    </row>
    <row r="60" spans="2:164">
      <c r="DM60" s="49">
        <v>0</v>
      </c>
      <c r="DQ60" s="51">
        <v>0</v>
      </c>
      <c r="EI60" s="130">
        <v>1</v>
      </c>
      <c r="EJ60" s="130">
        <f t="shared" si="55"/>
        <v>2</v>
      </c>
      <c r="EK60" s="130">
        <v>-16</v>
      </c>
      <c r="EL60" s="130">
        <v>-16</v>
      </c>
      <c r="ER60">
        <f>IF(Dobór!$M$18="Ogrzewanie podłogowe 35/28",EG9,IF(Dobór!$M$18="Grzejniki niskotemperaturowe 55/45",ED9,Error))</f>
        <v>3.1708064359788488</v>
      </c>
      <c r="ES60">
        <f>IF(Dobór!$M$18="Ogrzewanie podłogowe 35/28",EA9,DX9)</f>
        <v>1.66015625</v>
      </c>
    </row>
    <row r="61" spans="2:164">
      <c r="DM61" s="49">
        <v>0</v>
      </c>
      <c r="DQ61" s="51">
        <v>0</v>
      </c>
      <c r="EI61" s="130">
        <v>0</v>
      </c>
      <c r="EJ61" s="130">
        <f t="shared" si="55"/>
        <v>2</v>
      </c>
      <c r="EK61" s="130">
        <v>-15</v>
      </c>
      <c r="EL61" s="130">
        <v>-15</v>
      </c>
      <c r="ER61">
        <f>IF(Dobór!$M$18="Ogrzewanie podłogowe 35/28",EG10,IF(Dobór!$M$18="Grzejniki niskotemperaturowe 55/45",ED10,Error))</f>
        <v>3.1884684038090727</v>
      </c>
      <c r="ES61">
        <f>IF(Dobór!$M$18="Ogrzewanie podłogowe 35/28",EA10,DX10)</f>
        <v>1.7199017199017197</v>
      </c>
    </row>
    <row r="62" spans="2:164">
      <c r="DM62" s="49">
        <v>0</v>
      </c>
      <c r="DQ62" s="51">
        <v>0</v>
      </c>
      <c r="EI62" s="130">
        <v>3</v>
      </c>
      <c r="EJ62" s="130">
        <f t="shared" si="55"/>
        <v>5</v>
      </c>
      <c r="EK62" s="130">
        <v>-14</v>
      </c>
      <c r="EL62" s="130">
        <v>-14</v>
      </c>
      <c r="ER62">
        <f>IF(Dobór!$M$18="Ogrzewanie podłogowe 35/28",EG11,IF(Dobór!$M$18="Grzejniki niskotemperaturowe 55/45",ED11,Error))</f>
        <v>3.1884684038090727</v>
      </c>
      <c r="ES62">
        <f>IF(Dobór!$M$18="Ogrzewanie podłogowe 35/28",EA11,DX11)</f>
        <v>2.6639004149377592</v>
      </c>
    </row>
    <row r="63" spans="2:164">
      <c r="DM63" s="49">
        <v>1</v>
      </c>
      <c r="DQ63" s="51">
        <v>1</v>
      </c>
      <c r="EI63" s="130">
        <v>1</v>
      </c>
      <c r="EJ63" s="130">
        <f t="shared" si="55"/>
        <v>6</v>
      </c>
      <c r="EK63" s="130">
        <v>-13</v>
      </c>
      <c r="EL63" s="130">
        <v>-13</v>
      </c>
      <c r="ER63">
        <f>IF(Dobór!$M$18="Ogrzewanie podłogowe 35/28",EG12,IF(Dobór!$M$18="Grzejniki niskotemperaturowe 55/45",ED12,Error))</f>
        <v>3.2063041117797639</v>
      </c>
      <c r="ES63">
        <f>IF(Dobór!$M$18="Ogrzewanie podłogowe 35/28",EA12,DX12)</f>
        <v>2.4132231404958677</v>
      </c>
    </row>
    <row r="64" spans="2:164">
      <c r="DM64" s="49">
        <v>1</v>
      </c>
      <c r="DQ64" s="51">
        <v>1</v>
      </c>
      <c r="EI64" s="130">
        <v>3</v>
      </c>
      <c r="EJ64" s="130">
        <f t="shared" si="55"/>
        <v>9</v>
      </c>
      <c r="EK64" s="130">
        <v>-12</v>
      </c>
      <c r="EL64" s="130">
        <v>-12</v>
      </c>
      <c r="ER64">
        <f>IF(Dobór!$M$18="Ogrzewanie podłogowe 35/28",EG13,IF(Dobór!$M$18="Grzejniki niskotemperaturowe 55/45",ED13,Error))</f>
        <v>3.2150891951133134</v>
      </c>
      <c r="ES64">
        <f>IF(Dobór!$M$18="Ogrzewanie podłogowe 35/28",EA13,DX13)</f>
        <v>2.1646090534979421</v>
      </c>
    </row>
    <row r="65" spans="117:149">
      <c r="DM65" s="49">
        <v>1</v>
      </c>
      <c r="DQ65" s="51">
        <v>1</v>
      </c>
      <c r="EI65" s="130">
        <v>4</v>
      </c>
      <c r="EJ65" s="130">
        <f t="shared" si="55"/>
        <v>13</v>
      </c>
      <c r="EK65" s="130">
        <v>-11</v>
      </c>
      <c r="EL65" s="130">
        <v>-11</v>
      </c>
      <c r="ER65">
        <f>IF(Dobór!$M$18="Ogrzewanie podłogowe 35/28",EG14,IF(Dobór!$M$18="Grzejniki niskotemperaturowe 55/45",ED14,Error))</f>
        <v>3.2499117412442096</v>
      </c>
      <c r="ES65">
        <f>IF(Dobór!$M$18="Ogrzewanie podłogowe 35/28",EA14,DX14)</f>
        <v>1.9180327868852458</v>
      </c>
    </row>
    <row r="66" spans="117:149">
      <c r="DM66" s="49">
        <v>1</v>
      </c>
      <c r="DQ66" s="51">
        <v>1</v>
      </c>
      <c r="EI66" s="130">
        <v>5</v>
      </c>
      <c r="EJ66" s="130">
        <f t="shared" si="55"/>
        <v>18</v>
      </c>
      <c r="EK66" s="130">
        <v>-10</v>
      </c>
      <c r="EL66" s="130">
        <v>-10</v>
      </c>
      <c r="ER66">
        <f>IF(Dobór!$M$18="Ogrzewanie podłogowe 35/28",EG15,IF(Dobór!$M$18="Grzejniki niskotemperaturowe 55/45",ED15,Error))</f>
        <v>3.3092039618009972</v>
      </c>
      <c r="ES66">
        <f>IF(Dobór!$M$18="Ogrzewanie podłogowe 35/28",EA15,DX15)</f>
        <v>1.6734693877551017</v>
      </c>
    </row>
    <row r="67" spans="117:149">
      <c r="DM67" s="49">
        <v>1</v>
      </c>
      <c r="DQ67" s="51">
        <v>1</v>
      </c>
      <c r="EI67" s="130">
        <v>1</v>
      </c>
      <c r="EJ67" s="130">
        <f t="shared" si="55"/>
        <v>19</v>
      </c>
      <c r="EK67" s="130">
        <v>-9</v>
      </c>
      <c r="EL67" s="130">
        <v>-9</v>
      </c>
      <c r="ER67">
        <f>IF(Dobór!$M$18="Ogrzewanie podłogowe 35/28",EG16,IF(Dobór!$M$18="Grzejniki niskotemperaturowe 55/45",ED16,Error))</f>
        <v>3.4018195953488921</v>
      </c>
      <c r="ES67">
        <f>IF(Dobór!$M$18="Ogrzewanie podłogowe 35/28",EA16,DX16)</f>
        <v>2.2445799457994577</v>
      </c>
    </row>
    <row r="68" spans="117:149">
      <c r="DM68" s="49">
        <v>1</v>
      </c>
      <c r="DQ68" s="51">
        <v>1</v>
      </c>
      <c r="EI68" s="130">
        <v>0</v>
      </c>
      <c r="EJ68" s="130">
        <f t="shared" si="55"/>
        <v>19</v>
      </c>
      <c r="EK68" s="130">
        <v>-8</v>
      </c>
      <c r="EL68" s="130">
        <v>-8</v>
      </c>
      <c r="ER68">
        <f>IF(Dobór!$M$18="Ogrzewanie podłogowe 35/28",EG17,IF(Dobór!$M$18="Grzejniki niskotemperaturowe 55/45",ED17,Error))</f>
        <v>3.414558913375636</v>
      </c>
      <c r="ES68">
        <f>IF(Dobór!$M$18="Ogrzewanie podłogowe 35/28",EA17,DX17)</f>
        <v>2.8110661268556005</v>
      </c>
    </row>
    <row r="69" spans="117:149">
      <c r="DM69" s="49">
        <v>1</v>
      </c>
      <c r="DQ69" s="51">
        <v>1</v>
      </c>
      <c r="EI69" s="130">
        <v>1</v>
      </c>
      <c r="EJ69" s="130">
        <f t="shared" si="55"/>
        <v>20</v>
      </c>
      <c r="EK69" s="130">
        <v>-7</v>
      </c>
      <c r="EL69" s="130">
        <v>-7</v>
      </c>
      <c r="ER69">
        <f>IF(Dobór!$M$18="Ogrzewanie podłogowe 35/28",EG18,IF(Dobór!$M$18="Grzejniki niskotemperaturowe 55/45",ED18,Error))</f>
        <v>3.414558913375636</v>
      </c>
      <c r="ES69">
        <f>IF(Dobór!$M$18="Ogrzewanie podłogowe 35/28",EA18,DX18)</f>
        <v>2.2042160737812915</v>
      </c>
    </row>
    <row r="70" spans="117:149">
      <c r="DM70" s="49">
        <v>2</v>
      </c>
      <c r="DQ70" s="51">
        <v>2</v>
      </c>
      <c r="EI70" s="130">
        <v>2</v>
      </c>
      <c r="EJ70" s="130">
        <f t="shared" si="55"/>
        <v>22</v>
      </c>
      <c r="EK70" s="130">
        <v>-6</v>
      </c>
      <c r="EL70" s="130">
        <v>-6</v>
      </c>
      <c r="ER70">
        <f>IF(Dobór!$M$18="Ogrzewanie podłogowe 35/28",EG19,IF(Dobór!$M$18="Grzejniki niskotemperaturowe 55/45",ED19,Error))</f>
        <v>3.4269423143145463</v>
      </c>
      <c r="ES70">
        <f>IF(Dobór!$M$18="Ogrzewanie podłogowe 35/28",EA19,DX19)</f>
        <v>2.247714808043876</v>
      </c>
    </row>
    <row r="71" spans="117:149">
      <c r="DM71" s="49">
        <v>2</v>
      </c>
      <c r="DQ71" s="51">
        <v>2</v>
      </c>
      <c r="EI71" s="130">
        <v>3</v>
      </c>
      <c r="EJ71" s="130">
        <f t="shared" si="55"/>
        <v>25</v>
      </c>
      <c r="EK71" s="130">
        <v>-5</v>
      </c>
      <c r="EL71" s="130">
        <v>-5</v>
      </c>
      <c r="ER71">
        <f>IF(Dobór!$M$18="Ogrzewanie podłogowe 35/28",EG20,IF(Dobór!$M$18="Grzejniki niskotemperaturowe 55/45",ED20,Error))</f>
        <v>3.4504840612636882</v>
      </c>
      <c r="ES71">
        <f>IF(Dobór!$M$18="Ogrzewanie podłogowe 35/28",EA20,DX20)</f>
        <v>2.2949023344449744</v>
      </c>
    </row>
    <row r="72" spans="117:149">
      <c r="DM72" s="49">
        <v>2</v>
      </c>
      <c r="DQ72" s="51">
        <v>2</v>
      </c>
      <c r="EI72" s="130">
        <v>3</v>
      </c>
      <c r="EJ72" s="130">
        <f t="shared" si="55"/>
        <v>28</v>
      </c>
      <c r="EK72" s="130">
        <v>-4</v>
      </c>
      <c r="EL72" s="130">
        <v>-4</v>
      </c>
      <c r="ER72">
        <f>IF(Dobór!$M$18="Ogrzewanie podłogowe 35/28",EG21,IF(Dobór!$M$18="Grzejniki niskotemperaturowe 55/45",ED21,Error))</f>
        <v>3.4844876337950188</v>
      </c>
      <c r="ES72">
        <f>IF(Dobór!$M$18="Ogrzewanie podłogowe 35/28",EA21,DX21)</f>
        <v>2.3462686567164179</v>
      </c>
    </row>
    <row r="73" spans="117:149">
      <c r="DM73" s="49">
        <v>2</v>
      </c>
      <c r="DQ73" s="51">
        <v>2</v>
      </c>
      <c r="EI73" s="130">
        <v>4</v>
      </c>
      <c r="EJ73" s="130">
        <f t="shared" si="55"/>
        <v>32</v>
      </c>
      <c r="EK73" s="130">
        <v>-3</v>
      </c>
      <c r="EL73" s="130">
        <v>-3</v>
      </c>
      <c r="ER73">
        <f>IF(Dobór!$M$18="Ogrzewanie podłogowe 35/28",EG22,IF(Dobór!$M$18="Grzejniki niskotemperaturowe 55/45",ED22,Error))</f>
        <v>3.5173050958924321</v>
      </c>
      <c r="ES73">
        <f>IF(Dobór!$M$18="Ogrzewanie podłogowe 35/28",EA22,DX22)</f>
        <v>2.4023945861530454</v>
      </c>
    </row>
    <row r="74" spans="117:149">
      <c r="DM74" s="49">
        <v>2</v>
      </c>
      <c r="DQ74" s="51">
        <v>2</v>
      </c>
      <c r="EI74" s="130">
        <v>4</v>
      </c>
      <c r="EJ74" s="130">
        <f t="shared" si="55"/>
        <v>36</v>
      </c>
      <c r="EK74" s="130">
        <v>-2</v>
      </c>
      <c r="EL74" s="130">
        <v>-2</v>
      </c>
      <c r="ER74">
        <f>IF(Dobór!$M$18="Ogrzewanie podłogowe 35/28",EG23,IF(Dobór!$M$18="Grzejniki niskotemperaturowe 55/45",ED23,Error))</f>
        <v>3.559566042895022</v>
      </c>
      <c r="ES74">
        <f>IF(Dobór!$M$18="Ogrzewanie podłogowe 35/28",EA23,DX23)</f>
        <v>2.4639737991266375</v>
      </c>
    </row>
    <row r="75" spans="117:149">
      <c r="DM75" s="49">
        <v>2</v>
      </c>
      <c r="DQ75" s="51">
        <v>2</v>
      </c>
      <c r="EI75" s="130">
        <v>8</v>
      </c>
      <c r="EJ75" s="130">
        <f t="shared" si="55"/>
        <v>44</v>
      </c>
      <c r="EK75" s="130">
        <v>-1</v>
      </c>
      <c r="EL75" s="130">
        <v>-1</v>
      </c>
      <c r="ER75">
        <f>IF(Dobór!$M$18="Ogrzewanie podłogowe 35/28",EG24,IF(Dobór!$M$18="Grzejniki niskotemperaturowe 55/45",ED24,Error))</f>
        <v>3.6003744451460951</v>
      </c>
      <c r="ES75">
        <f>IF(Dobór!$M$18="Ogrzewanie podłogowe 35/28",EA24,DX24)</f>
        <v>2.53184165232358</v>
      </c>
    </row>
    <row r="76" spans="117:149">
      <c r="DM76" s="49">
        <v>2</v>
      </c>
      <c r="DQ76" s="51">
        <v>2</v>
      </c>
      <c r="EI76" s="130">
        <v>17</v>
      </c>
      <c r="EJ76" s="130">
        <f t="shared" si="55"/>
        <v>61</v>
      </c>
      <c r="EK76" s="130">
        <v>0</v>
      </c>
      <c r="EL76" s="130">
        <v>0</v>
      </c>
      <c r="ER76">
        <f>IF(Dobór!$M$18="Ogrzewanie podłogowe 35/28",EG25,IF(Dobór!$M$18="Grzejniki niskotemperaturowe 55/45",ED25,Error))</f>
        <v>3.6812428145528076</v>
      </c>
      <c r="ES76">
        <f>IF(Dobór!$M$18="Ogrzewanie podłogowe 35/28",EA25,DX25)</f>
        <v>2.6070133010882706</v>
      </c>
    </row>
    <row r="77" spans="117:149">
      <c r="DM77" s="49">
        <v>2</v>
      </c>
      <c r="DQ77" s="51">
        <v>2</v>
      </c>
      <c r="EI77" s="130">
        <v>7</v>
      </c>
      <c r="EJ77" s="130">
        <f t="shared" si="55"/>
        <v>68</v>
      </c>
      <c r="EK77" s="130">
        <v>1</v>
      </c>
      <c r="EL77" s="130">
        <v>1</v>
      </c>
      <c r="ER77">
        <f>IF(Dobór!$M$18="Ogrzewanie podłogowe 35/28",EG26,IF(Dobór!$M$18="Grzejniki niskotemperaturowe 55/45",ED26,Error))</f>
        <v>3.8728430949871386</v>
      </c>
      <c r="ES77">
        <f>IF(Dobór!$M$18="Ogrzewanie podłogowe 35/28",EA26,DX26)</f>
        <v>2.69073482428115</v>
      </c>
    </row>
    <row r="78" spans="117:149">
      <c r="DM78" s="49">
        <v>2</v>
      </c>
      <c r="DQ78" s="51">
        <v>2</v>
      </c>
      <c r="EI78" s="130">
        <v>13</v>
      </c>
      <c r="EJ78" s="130">
        <f t="shared" si="55"/>
        <v>81</v>
      </c>
      <c r="EK78" s="130">
        <v>2</v>
      </c>
      <c r="EL78" s="130">
        <v>2</v>
      </c>
      <c r="ER78">
        <f>IF(Dobór!$M$18="Ogrzewanie podłogowe 35/28",EG27,IF(Dobór!$M$18="Grzejniki niskotemperaturowe 55/45",ED27,Error))</f>
        <v>3.9602525093703274</v>
      </c>
      <c r="ES78">
        <f>IF(Dobór!$M$18="Ogrzewanie podłogowe 35/28",EA27,DX27)</f>
        <v>2.7845528455284554</v>
      </c>
    </row>
    <row r="79" spans="117:149">
      <c r="DM79" s="49">
        <v>2</v>
      </c>
      <c r="DQ79" s="51">
        <v>2</v>
      </c>
      <c r="EI79" s="130">
        <v>15</v>
      </c>
      <c r="EJ79" s="130">
        <f t="shared" si="55"/>
        <v>96</v>
      </c>
      <c r="EK79" s="130">
        <v>3</v>
      </c>
      <c r="EL79" s="130">
        <v>3</v>
      </c>
      <c r="ER79">
        <f>IF(Dobór!$M$18="Ogrzewanie podłogowe 35/28",EG28,IF(Dobór!$M$18="Grzejniki niskotemperaturowe 55/45",ED28,Error))</f>
        <v>4.1330936554278557</v>
      </c>
      <c r="ES79">
        <f>IF(Dobór!$M$18="Ogrzewanie podłogowe 35/28",EA28,DX28)</f>
        <v>3.0525662251655632</v>
      </c>
    </row>
    <row r="80" spans="117:149">
      <c r="DM80" s="49">
        <v>2</v>
      </c>
      <c r="DQ80" s="51">
        <v>2</v>
      </c>
      <c r="EI80" s="130">
        <v>13</v>
      </c>
      <c r="EJ80" s="130">
        <f t="shared" si="55"/>
        <v>109</v>
      </c>
      <c r="EK80" s="130">
        <v>4</v>
      </c>
      <c r="EL80" s="130">
        <v>4</v>
      </c>
      <c r="ER80">
        <f>IF(Dobór!$M$18="Ogrzewanie podłogowe 35/28",EG29,IF(Dobór!$M$18="Grzejniki niskotemperaturowe 55/45",ED29,Error))</f>
        <v>4.3351098096954948</v>
      </c>
      <c r="ES80">
        <f>IF(Dobór!$M$18="Ogrzewanie podłogowe 35/28",EA29,DX29)</f>
        <v>3.3305227655986509</v>
      </c>
    </row>
    <row r="81" spans="117:149">
      <c r="DM81" s="49">
        <v>2</v>
      </c>
      <c r="DQ81" s="51">
        <v>2</v>
      </c>
      <c r="EI81" s="130">
        <v>11</v>
      </c>
      <c r="EJ81" s="130">
        <f t="shared" si="55"/>
        <v>120</v>
      </c>
      <c r="EK81" s="130">
        <v>5</v>
      </c>
      <c r="EL81" s="130">
        <v>5</v>
      </c>
      <c r="ER81">
        <f>IF(Dobór!$M$18="Ogrzewanie podłogowe 35/28",EG30,IF(Dobór!$M$18="Grzejniki niskotemperaturowe 55/45",ED30,Error))</f>
        <v>4.5117902819380058</v>
      </c>
      <c r="ES81">
        <f>IF(Dobór!$M$18="Ogrzewanie podłogowe 35/28",EA30,DX30)</f>
        <v>3.6189862542955327</v>
      </c>
    </row>
    <row r="82" spans="117:149">
      <c r="DM82" s="49">
        <v>2</v>
      </c>
      <c r="DQ82" s="51">
        <v>2</v>
      </c>
      <c r="EI82" s="130">
        <v>20</v>
      </c>
      <c r="EJ82" s="130">
        <f t="shared" si="55"/>
        <v>140</v>
      </c>
      <c r="EK82" s="130">
        <v>6</v>
      </c>
      <c r="EL82" s="130">
        <v>6</v>
      </c>
      <c r="ER82">
        <f>IF(Dobór!$M$18="Ogrzewanie podłogowe 35/28",EG31,IF(Dobór!$M$18="Grzejniki niskotemperaturowe 55/45",ED31,Error))</f>
        <v>4.6528206831713472</v>
      </c>
      <c r="ES82">
        <f>IF(Dobór!$M$18="Ogrzewanie podłogowe 35/28",EA31,DX31)</f>
        <v>3.918563922942206</v>
      </c>
    </row>
    <row r="83" spans="117:149">
      <c r="DM83" s="49">
        <v>3</v>
      </c>
      <c r="DQ83" s="51">
        <v>3</v>
      </c>
      <c r="EI83" s="130">
        <v>13</v>
      </c>
      <c r="EJ83" s="130">
        <f t="shared" si="55"/>
        <v>153</v>
      </c>
      <c r="EK83" s="130">
        <v>7</v>
      </c>
      <c r="EL83" s="130">
        <v>7</v>
      </c>
      <c r="ER83">
        <f>IF(Dobór!$M$18="Ogrzewanie podłogowe 35/28",EG32,IF(Dobór!$M$18="Grzejniki niskotemperaturowe 55/45",ED32,Error))</f>
        <v>4.912275368764683</v>
      </c>
      <c r="ES83">
        <f>IF(Dobór!$M$18="Ogrzewanie podłogowe 35/28",EA32,DX32)</f>
        <v>4.2299107142857135</v>
      </c>
    </row>
    <row r="84" spans="117:149">
      <c r="DM84" s="49">
        <v>3</v>
      </c>
      <c r="DQ84" s="51">
        <v>3</v>
      </c>
      <c r="EI84" s="130">
        <v>17</v>
      </c>
      <c r="EJ84" s="130">
        <f t="shared" si="55"/>
        <v>170</v>
      </c>
      <c r="EK84" s="130">
        <v>8</v>
      </c>
      <c r="EL84" s="130">
        <v>8</v>
      </c>
      <c r="ER84">
        <f>IF(Dobór!$M$18="Ogrzewanie podłogowe 35/28",EG33,IF(Dobór!$M$18="Grzejniki niskotemperaturowe 55/45",ED33,Error))</f>
        <v>5.0900853121367078</v>
      </c>
      <c r="ES84">
        <f>IF(Dobór!$M$18="Ogrzewanie podłogowe 35/28",EA33,DX33)</f>
        <v>4.560371517027864</v>
      </c>
    </row>
    <row r="85" spans="117:149">
      <c r="DM85" s="49">
        <v>3</v>
      </c>
      <c r="DQ85" s="51">
        <v>3</v>
      </c>
      <c r="EI85" s="130">
        <v>9</v>
      </c>
      <c r="EJ85" s="130">
        <f t="shared" si="55"/>
        <v>179</v>
      </c>
      <c r="EK85" s="130">
        <v>9</v>
      </c>
      <c r="EL85" s="130">
        <v>9</v>
      </c>
      <c r="ER85">
        <f>IF(Dobór!$M$18="Ogrzewanie podłogowe 35/28",EG34,IF(Dobór!$M$18="Grzejniki niskotemperaturowe 55/45",ED34,Error))</f>
        <v>5.3202484946760142</v>
      </c>
      <c r="ES85">
        <f>IF(Dobór!$M$18="Ogrzewanie podłogowe 35/28",EA34,DX34)</f>
        <v>4.9185483870967737</v>
      </c>
    </row>
    <row r="86" spans="117:149">
      <c r="DM86" s="49">
        <v>3</v>
      </c>
      <c r="DQ86" s="51">
        <v>3</v>
      </c>
      <c r="EI86" s="130">
        <v>11</v>
      </c>
      <c r="EJ86" s="130">
        <f t="shared" si="55"/>
        <v>190</v>
      </c>
      <c r="EK86" s="130">
        <v>10</v>
      </c>
      <c r="EL86" s="130">
        <v>10</v>
      </c>
      <c r="ER86">
        <f>IF(Dobór!$M$18="Ogrzewanie podłogowe 35/28",EG35,IF(Dobór!$M$18="Grzejniki niskotemperaturowe 55/45",ED35,Error))</f>
        <v>5.421476921785982</v>
      </c>
      <c r="ES86">
        <f>IF(Dobór!$M$18="Ogrzewanie podłogowe 35/28",EA35,DX35)</f>
        <v>5.308080808080808</v>
      </c>
    </row>
    <row r="87" spans="117:149">
      <c r="DM87" s="49">
        <v>3</v>
      </c>
      <c r="DQ87" s="51">
        <v>3</v>
      </c>
      <c r="EI87" s="130">
        <v>9</v>
      </c>
      <c r="EJ87" s="130">
        <f t="shared" si="55"/>
        <v>199</v>
      </c>
      <c r="EK87" s="130">
        <v>11</v>
      </c>
      <c r="EL87" s="130">
        <v>11</v>
      </c>
      <c r="ER87">
        <f>IF(Dobór!$M$18="Ogrzewanie podłogowe 35/28",EG36,IF(Dobór!$M$18="Grzejniki niskotemperaturowe 55/45",ED36,Error))</f>
        <v>5.4996282974476562</v>
      </c>
      <c r="ES87">
        <f>IF(Dobór!$M$18="Ogrzewanie podłogowe 35/28",EA36,DX36)</f>
        <v>5.3884381338742395</v>
      </c>
    </row>
    <row r="88" spans="117:149">
      <c r="DM88" s="49">
        <v>3</v>
      </c>
      <c r="DQ88" s="51">
        <v>3</v>
      </c>
      <c r="EI88" s="130">
        <v>4</v>
      </c>
      <c r="EJ88" s="130">
        <f t="shared" si="55"/>
        <v>203</v>
      </c>
      <c r="EK88" s="130">
        <v>12</v>
      </c>
      <c r="EL88" s="130">
        <v>12</v>
      </c>
      <c r="ER88">
        <f>IF(Dobór!$M$18="Ogrzewanie podłogowe 35/28",EG37,IF(Dobór!$M$18="Grzejniki niskotemperaturowe 55/45",ED37,Error))</f>
        <v>5.5563579727402166</v>
      </c>
      <c r="ES88">
        <f>IF(Dobór!$M$18="Ogrzewanie podłogowe 35/28",EA37,DX37)</f>
        <v>5.4694501018329937</v>
      </c>
    </row>
    <row r="89" spans="117:149">
      <c r="DM89" s="49">
        <v>3</v>
      </c>
      <c r="DQ89" s="51">
        <v>3</v>
      </c>
      <c r="EI89" s="130">
        <v>9</v>
      </c>
      <c r="EJ89" s="130">
        <f t="shared" si="55"/>
        <v>212</v>
      </c>
      <c r="EK89" s="130">
        <v>13</v>
      </c>
      <c r="EL89" s="130">
        <v>13</v>
      </c>
      <c r="ER89">
        <f>IF(Dobór!$M$18="Ogrzewanie podłogowe 35/28",EG38,IF(Dobór!$M$18="Grzejniki niskotemperaturowe 55/45",ED38,Error))</f>
        <v>5.5911211211031064</v>
      </c>
      <c r="ES89">
        <f>IF(Dobór!$M$18="Ogrzewanie podłogowe 35/28",EA38,DX38)</f>
        <v>5.5511247443762786</v>
      </c>
    </row>
    <row r="90" spans="117:149">
      <c r="DM90" s="49">
        <v>3</v>
      </c>
      <c r="DQ90" s="51">
        <v>3</v>
      </c>
      <c r="EI90" s="130">
        <v>9</v>
      </c>
      <c r="EJ90" s="130">
        <f t="shared" si="55"/>
        <v>221</v>
      </c>
      <c r="EK90" s="130">
        <v>14</v>
      </c>
      <c r="EL90" s="130">
        <v>14</v>
      </c>
      <c r="ER90">
        <f>IF(Dobór!$M$18="Ogrzewanie podłogowe 35/28",EG39,IF(Dobór!$M$18="Grzejniki niskotemperaturowe 55/45",ED39,Error))</f>
        <v>5.6334702258726903</v>
      </c>
      <c r="ES90">
        <f>IF(Dobór!$M$18="Ogrzewanie podłogowe 35/28",EA39,DX39)</f>
        <v>5.6334702258726903</v>
      </c>
    </row>
    <row r="91" spans="117:149">
      <c r="DM91" s="49">
        <v>3</v>
      </c>
      <c r="DQ91" s="51">
        <v>3</v>
      </c>
      <c r="EI91" s="130">
        <v>4</v>
      </c>
      <c r="EJ91" s="130">
        <f t="shared" si="55"/>
        <v>225</v>
      </c>
      <c r="EK91" s="130">
        <v>15</v>
      </c>
      <c r="EL91" s="130">
        <v>15</v>
      </c>
      <c r="ER91">
        <f>IF(Dobór!$M$18="Ogrzewanie podłogowe 35/28",EG40,IF(Dobór!$M$18="Grzejniki niskotemperaturowe 55/45",ED40,Error))</f>
        <v>5.6334702258726903</v>
      </c>
      <c r="ES91">
        <f>IF(Dobór!$M$18="Ogrzewanie podłogowe 35/28",EA40,DX40)</f>
        <v>5.7164948453608249</v>
      </c>
    </row>
    <row r="92" spans="117:149">
      <c r="DM92" s="49">
        <v>3</v>
      </c>
      <c r="DQ92" s="51">
        <v>3</v>
      </c>
      <c r="EI92" s="130"/>
      <c r="EJ92" s="130">
        <f t="shared" si="55"/>
        <v>225</v>
      </c>
      <c r="EK92" s="130"/>
    </row>
    <row r="93" spans="117:149">
      <c r="DM93" s="49">
        <v>3</v>
      </c>
      <c r="DQ93" s="51">
        <v>3</v>
      </c>
      <c r="EI93" s="130"/>
      <c r="EJ93" s="130">
        <f t="shared" si="55"/>
        <v>225</v>
      </c>
      <c r="EK93" s="130"/>
    </row>
    <row r="94" spans="117:149">
      <c r="DM94" s="49">
        <v>3</v>
      </c>
      <c r="DQ94" s="51">
        <v>3</v>
      </c>
      <c r="EI94" s="130">
        <v>13</v>
      </c>
      <c r="EJ94" s="130">
        <f t="shared" si="55"/>
        <v>238</v>
      </c>
      <c r="EK94" s="130">
        <v>16</v>
      </c>
    </row>
    <row r="95" spans="117:149">
      <c r="DM95" s="49">
        <v>3</v>
      </c>
      <c r="DQ95" s="51">
        <v>3</v>
      </c>
      <c r="EI95" s="130">
        <v>10</v>
      </c>
      <c r="EJ95" s="130">
        <f t="shared" si="55"/>
        <v>248</v>
      </c>
      <c r="EK95" s="130">
        <v>17</v>
      </c>
    </row>
    <row r="96" spans="117:149">
      <c r="DM96" s="49">
        <v>3</v>
      </c>
      <c r="DQ96" s="51">
        <v>3</v>
      </c>
      <c r="EI96" s="130">
        <v>12</v>
      </c>
      <c r="EJ96" s="130">
        <f t="shared" si="55"/>
        <v>260</v>
      </c>
      <c r="EK96" s="130">
        <v>18</v>
      </c>
    </row>
    <row r="97" spans="117:141">
      <c r="DM97" s="49">
        <v>3</v>
      </c>
      <c r="DQ97" s="51">
        <v>3</v>
      </c>
      <c r="EI97" s="130">
        <v>9</v>
      </c>
      <c r="EJ97" s="130">
        <f t="shared" si="55"/>
        <v>269</v>
      </c>
      <c r="EK97" s="130">
        <v>19</v>
      </c>
    </row>
    <row r="98" spans="117:141">
      <c r="DM98" s="49">
        <v>4</v>
      </c>
      <c r="DQ98" s="51">
        <v>4</v>
      </c>
      <c r="EI98" s="130">
        <v>10</v>
      </c>
      <c r="EJ98" s="130">
        <f t="shared" si="55"/>
        <v>279</v>
      </c>
      <c r="EK98" s="130">
        <v>20</v>
      </c>
    </row>
    <row r="99" spans="117:141">
      <c r="DM99" s="49">
        <v>4</v>
      </c>
      <c r="DQ99" s="51">
        <v>4</v>
      </c>
      <c r="EI99" s="130">
        <v>14</v>
      </c>
      <c r="EJ99" s="130">
        <f t="shared" si="55"/>
        <v>293</v>
      </c>
      <c r="EK99" s="130">
        <v>21</v>
      </c>
    </row>
    <row r="100" spans="117:141">
      <c r="DM100" s="49">
        <v>4</v>
      </c>
      <c r="DQ100" s="51">
        <v>4</v>
      </c>
      <c r="EI100" s="130">
        <v>8</v>
      </c>
      <c r="EJ100" s="130">
        <f t="shared" si="55"/>
        <v>301</v>
      </c>
      <c r="EK100" s="130">
        <v>22</v>
      </c>
    </row>
    <row r="101" spans="117:141">
      <c r="DM101" s="49">
        <v>4</v>
      </c>
      <c r="DQ101" s="51">
        <v>4</v>
      </c>
      <c r="EI101" s="130">
        <v>9</v>
      </c>
      <c r="EJ101" s="130">
        <f t="shared" si="55"/>
        <v>310</v>
      </c>
      <c r="EK101" s="130">
        <v>23</v>
      </c>
    </row>
    <row r="102" spans="117:141">
      <c r="DM102" s="49">
        <v>4</v>
      </c>
      <c r="DQ102" s="51">
        <v>4</v>
      </c>
      <c r="EI102" s="130">
        <v>3</v>
      </c>
      <c r="EJ102" s="130">
        <f t="shared" si="55"/>
        <v>313</v>
      </c>
      <c r="EK102" s="130">
        <v>24</v>
      </c>
    </row>
    <row r="103" spans="117:141">
      <c r="DM103" s="49">
        <v>4</v>
      </c>
      <c r="DQ103" s="51">
        <v>4</v>
      </c>
      <c r="EI103" s="130">
        <v>7</v>
      </c>
      <c r="EJ103" s="130">
        <f t="shared" si="55"/>
        <v>320</v>
      </c>
      <c r="EK103" s="130">
        <v>25</v>
      </c>
    </row>
    <row r="104" spans="117:141">
      <c r="DM104" s="49">
        <v>4</v>
      </c>
      <c r="DQ104" s="51">
        <v>4</v>
      </c>
      <c r="EI104" s="130">
        <v>3</v>
      </c>
      <c r="EJ104" s="130">
        <f t="shared" si="55"/>
        <v>323</v>
      </c>
      <c r="EK104" s="130">
        <v>26</v>
      </c>
    </row>
    <row r="105" spans="117:141">
      <c r="DM105" s="49">
        <v>4</v>
      </c>
      <c r="DQ105" s="51">
        <v>4</v>
      </c>
      <c r="EI105" s="130">
        <v>0</v>
      </c>
      <c r="EJ105" s="130">
        <f t="shared" si="55"/>
        <v>323</v>
      </c>
      <c r="EK105" s="130">
        <v>27</v>
      </c>
    </row>
    <row r="106" spans="117:141">
      <c r="DM106" s="49">
        <v>4</v>
      </c>
      <c r="DQ106" s="51">
        <v>4</v>
      </c>
      <c r="EI106" s="130">
        <v>1</v>
      </c>
      <c r="EJ106" s="130">
        <f t="shared" si="55"/>
        <v>324</v>
      </c>
      <c r="EK106" s="130">
        <v>28</v>
      </c>
    </row>
    <row r="107" spans="117:141">
      <c r="DM107" s="49">
        <v>4</v>
      </c>
      <c r="DQ107" s="51">
        <v>4</v>
      </c>
    </row>
    <row r="108" spans="117:141">
      <c r="DM108" s="49">
        <v>4</v>
      </c>
      <c r="DQ108" s="51">
        <v>4</v>
      </c>
    </row>
    <row r="109" spans="117:141">
      <c r="DM109" s="49">
        <v>4</v>
      </c>
      <c r="DQ109" s="51">
        <v>4</v>
      </c>
    </row>
    <row r="110" spans="117:141">
      <c r="DM110" s="49">
        <v>4</v>
      </c>
      <c r="DQ110" s="51">
        <v>4</v>
      </c>
    </row>
    <row r="111" spans="117:141">
      <c r="DM111" s="49">
        <v>5</v>
      </c>
      <c r="DQ111" s="51">
        <v>5</v>
      </c>
    </row>
    <row r="112" spans="117:141">
      <c r="DM112" s="49">
        <v>5</v>
      </c>
      <c r="DQ112" s="51">
        <v>5</v>
      </c>
    </row>
    <row r="113" spans="117:121">
      <c r="DM113" s="49">
        <v>5</v>
      </c>
      <c r="DQ113" s="51">
        <v>5</v>
      </c>
    </row>
    <row r="114" spans="117:121">
      <c r="DM114" s="49">
        <v>5</v>
      </c>
      <c r="DQ114" s="51">
        <v>5</v>
      </c>
    </row>
    <row r="115" spans="117:121">
      <c r="DM115" s="49">
        <v>5</v>
      </c>
      <c r="DQ115" s="51">
        <v>5</v>
      </c>
    </row>
    <row r="116" spans="117:121">
      <c r="DM116" s="49">
        <v>5</v>
      </c>
      <c r="DQ116" s="51">
        <v>5</v>
      </c>
    </row>
    <row r="117" spans="117:121">
      <c r="DM117" s="49">
        <v>5</v>
      </c>
      <c r="DQ117" s="51">
        <v>5</v>
      </c>
    </row>
    <row r="118" spans="117:121">
      <c r="DM118" s="49">
        <v>5</v>
      </c>
      <c r="DQ118" s="51">
        <v>5</v>
      </c>
    </row>
    <row r="119" spans="117:121">
      <c r="DM119" s="49">
        <v>5</v>
      </c>
      <c r="DQ119" s="51">
        <v>5</v>
      </c>
    </row>
    <row r="120" spans="117:121">
      <c r="DM120" s="49">
        <v>5</v>
      </c>
      <c r="DQ120" s="51">
        <v>5</v>
      </c>
    </row>
    <row r="121" spans="117:121">
      <c r="DM121" s="49">
        <v>5</v>
      </c>
      <c r="DQ121" s="51">
        <v>5</v>
      </c>
    </row>
    <row r="122" spans="117:121">
      <c r="DM122" s="49">
        <v>6</v>
      </c>
      <c r="DQ122" s="51">
        <v>6</v>
      </c>
    </row>
    <row r="123" spans="117:121">
      <c r="DM123" s="49">
        <v>6</v>
      </c>
      <c r="DQ123" s="51">
        <v>6</v>
      </c>
    </row>
    <row r="124" spans="117:121">
      <c r="DM124" s="49">
        <v>6</v>
      </c>
      <c r="DQ124" s="51">
        <v>6</v>
      </c>
    </row>
    <row r="125" spans="117:121">
      <c r="DM125" s="49">
        <v>6</v>
      </c>
      <c r="DQ125" s="51">
        <v>6</v>
      </c>
    </row>
    <row r="126" spans="117:121">
      <c r="DM126" s="49">
        <v>6</v>
      </c>
      <c r="DQ126" s="51">
        <v>6</v>
      </c>
    </row>
    <row r="127" spans="117:121">
      <c r="DM127" s="49">
        <v>6</v>
      </c>
      <c r="DQ127" s="51">
        <v>6</v>
      </c>
    </row>
    <row r="128" spans="117:121">
      <c r="DM128" s="49">
        <v>6</v>
      </c>
      <c r="DQ128" s="51">
        <v>6</v>
      </c>
    </row>
    <row r="129" spans="117:121">
      <c r="DM129" s="49">
        <v>6</v>
      </c>
      <c r="DQ129" s="51">
        <v>6</v>
      </c>
    </row>
    <row r="130" spans="117:121">
      <c r="DM130" s="49">
        <v>6</v>
      </c>
      <c r="DQ130" s="51">
        <v>6</v>
      </c>
    </row>
    <row r="131" spans="117:121">
      <c r="DM131" s="49">
        <v>6</v>
      </c>
      <c r="DQ131" s="51">
        <v>6</v>
      </c>
    </row>
    <row r="132" spans="117:121">
      <c r="DM132" s="49">
        <v>6</v>
      </c>
      <c r="DQ132" s="51">
        <v>6</v>
      </c>
    </row>
    <row r="133" spans="117:121">
      <c r="DM133" s="49">
        <v>6</v>
      </c>
      <c r="DQ133" s="51">
        <v>6</v>
      </c>
    </row>
    <row r="134" spans="117:121">
      <c r="DM134" s="49">
        <v>6</v>
      </c>
      <c r="DQ134" s="51">
        <v>6</v>
      </c>
    </row>
    <row r="135" spans="117:121">
      <c r="DM135" s="49">
        <v>6</v>
      </c>
      <c r="DQ135" s="51">
        <v>6</v>
      </c>
    </row>
    <row r="136" spans="117:121">
      <c r="DM136" s="49">
        <v>6</v>
      </c>
      <c r="DQ136" s="51">
        <v>6</v>
      </c>
    </row>
    <row r="137" spans="117:121">
      <c r="DM137" s="49">
        <v>6</v>
      </c>
      <c r="DQ137" s="51">
        <v>6</v>
      </c>
    </row>
    <row r="138" spans="117:121">
      <c r="DM138" s="49">
        <v>6</v>
      </c>
      <c r="DQ138" s="51">
        <v>6</v>
      </c>
    </row>
    <row r="139" spans="117:121">
      <c r="DM139" s="49">
        <v>6</v>
      </c>
      <c r="DQ139" s="51">
        <v>6</v>
      </c>
    </row>
    <row r="140" spans="117:121">
      <c r="DM140" s="49">
        <v>6</v>
      </c>
      <c r="DQ140" s="51">
        <v>6</v>
      </c>
    </row>
    <row r="141" spans="117:121">
      <c r="DM141" s="49">
        <v>6</v>
      </c>
      <c r="DQ141" s="51">
        <v>6</v>
      </c>
    </row>
    <row r="142" spans="117:121">
      <c r="DM142" s="49">
        <v>7</v>
      </c>
      <c r="DQ142" s="51">
        <v>7</v>
      </c>
    </row>
    <row r="143" spans="117:121">
      <c r="DM143" s="49">
        <v>7</v>
      </c>
      <c r="DQ143" s="51">
        <v>7</v>
      </c>
    </row>
    <row r="144" spans="117:121">
      <c r="DM144" s="49">
        <v>7</v>
      </c>
      <c r="DQ144" s="51">
        <v>7</v>
      </c>
    </row>
    <row r="145" spans="117:121">
      <c r="DM145" s="49">
        <v>7</v>
      </c>
      <c r="DQ145" s="51">
        <v>7</v>
      </c>
    </row>
    <row r="146" spans="117:121">
      <c r="DM146" s="49">
        <v>7</v>
      </c>
      <c r="DQ146" s="51">
        <v>7</v>
      </c>
    </row>
    <row r="147" spans="117:121">
      <c r="DM147" s="49">
        <v>7</v>
      </c>
      <c r="DQ147" s="51">
        <v>7</v>
      </c>
    </row>
    <row r="148" spans="117:121">
      <c r="DM148" s="49">
        <v>7</v>
      </c>
      <c r="DQ148" s="51">
        <v>7</v>
      </c>
    </row>
    <row r="149" spans="117:121">
      <c r="DM149" s="49">
        <v>7</v>
      </c>
      <c r="DQ149" s="51">
        <v>7</v>
      </c>
    </row>
    <row r="150" spans="117:121">
      <c r="DM150" s="49">
        <v>7</v>
      </c>
      <c r="DQ150" s="51">
        <v>7</v>
      </c>
    </row>
    <row r="151" spans="117:121">
      <c r="DM151" s="49">
        <v>7</v>
      </c>
      <c r="DQ151" s="51">
        <v>7</v>
      </c>
    </row>
    <row r="152" spans="117:121">
      <c r="DM152" s="49">
        <v>7</v>
      </c>
      <c r="DQ152" s="51">
        <v>7</v>
      </c>
    </row>
    <row r="153" spans="117:121">
      <c r="DM153" s="49">
        <v>7</v>
      </c>
      <c r="DQ153" s="51">
        <v>7</v>
      </c>
    </row>
    <row r="154" spans="117:121">
      <c r="DM154" s="49">
        <v>7</v>
      </c>
      <c r="DQ154" s="51">
        <v>7</v>
      </c>
    </row>
    <row r="155" spans="117:121">
      <c r="DM155" s="49">
        <v>8</v>
      </c>
      <c r="DQ155" s="51">
        <v>8</v>
      </c>
    </row>
    <row r="156" spans="117:121">
      <c r="DM156" s="49">
        <v>8</v>
      </c>
      <c r="DQ156" s="51">
        <v>8</v>
      </c>
    </row>
    <row r="157" spans="117:121">
      <c r="DM157" s="49">
        <v>8</v>
      </c>
      <c r="DQ157" s="51">
        <v>8</v>
      </c>
    </row>
    <row r="158" spans="117:121">
      <c r="DM158" s="49">
        <v>8</v>
      </c>
      <c r="DQ158" s="51">
        <v>8</v>
      </c>
    </row>
    <row r="159" spans="117:121">
      <c r="DM159" s="49">
        <v>8</v>
      </c>
      <c r="DQ159" s="51">
        <v>8</v>
      </c>
    </row>
    <row r="160" spans="117:121">
      <c r="DM160" s="49">
        <v>8</v>
      </c>
      <c r="DQ160" s="51">
        <v>8</v>
      </c>
    </row>
    <row r="161" spans="117:121">
      <c r="DM161" s="49">
        <v>8</v>
      </c>
      <c r="DQ161" s="51">
        <v>8</v>
      </c>
    </row>
    <row r="162" spans="117:121">
      <c r="DM162" s="49">
        <v>8</v>
      </c>
      <c r="DQ162" s="51">
        <v>8</v>
      </c>
    </row>
    <row r="163" spans="117:121">
      <c r="DM163" s="49">
        <v>8</v>
      </c>
      <c r="DQ163" s="51">
        <v>8</v>
      </c>
    </row>
    <row r="164" spans="117:121">
      <c r="DM164" s="49">
        <v>8</v>
      </c>
      <c r="DQ164" s="51">
        <v>8</v>
      </c>
    </row>
    <row r="165" spans="117:121">
      <c r="DM165" s="49">
        <v>8</v>
      </c>
      <c r="DQ165" s="51">
        <v>8</v>
      </c>
    </row>
    <row r="166" spans="117:121">
      <c r="DM166" s="49">
        <v>8</v>
      </c>
      <c r="DQ166" s="51">
        <v>8</v>
      </c>
    </row>
    <row r="167" spans="117:121">
      <c r="DM167" s="49">
        <v>8</v>
      </c>
      <c r="DQ167" s="51">
        <v>8</v>
      </c>
    </row>
    <row r="168" spans="117:121">
      <c r="DM168" s="49">
        <v>8</v>
      </c>
      <c r="DQ168" s="51">
        <v>8</v>
      </c>
    </row>
    <row r="169" spans="117:121">
      <c r="DM169" s="49">
        <v>8</v>
      </c>
      <c r="DQ169" s="51">
        <v>8</v>
      </c>
    </row>
    <row r="170" spans="117:121">
      <c r="DM170" s="49">
        <v>8</v>
      </c>
      <c r="DQ170" s="51">
        <v>8</v>
      </c>
    </row>
    <row r="171" spans="117:121">
      <c r="DM171" s="49">
        <v>8</v>
      </c>
      <c r="DQ171" s="51">
        <v>8</v>
      </c>
    </row>
    <row r="172" spans="117:121">
      <c r="DM172" s="49">
        <v>9</v>
      </c>
      <c r="DQ172" s="51">
        <v>9</v>
      </c>
    </row>
    <row r="173" spans="117:121">
      <c r="DM173" s="49">
        <v>9</v>
      </c>
      <c r="DQ173" s="51">
        <v>9</v>
      </c>
    </row>
    <row r="174" spans="117:121">
      <c r="DM174" s="49">
        <v>9</v>
      </c>
      <c r="DQ174" s="51">
        <v>9</v>
      </c>
    </row>
    <row r="175" spans="117:121">
      <c r="DM175" s="49">
        <v>9</v>
      </c>
      <c r="DQ175" s="51">
        <v>9</v>
      </c>
    </row>
    <row r="176" spans="117:121">
      <c r="DM176" s="49">
        <v>9</v>
      </c>
      <c r="DQ176" s="51">
        <v>9</v>
      </c>
    </row>
    <row r="177" spans="117:121">
      <c r="DM177" s="49">
        <v>9</v>
      </c>
      <c r="DQ177" s="51">
        <v>9</v>
      </c>
    </row>
    <row r="178" spans="117:121">
      <c r="DM178" s="49">
        <v>9</v>
      </c>
      <c r="DQ178" s="51">
        <v>9</v>
      </c>
    </row>
    <row r="179" spans="117:121">
      <c r="DM179" s="49">
        <v>9</v>
      </c>
      <c r="DQ179" s="51">
        <v>9</v>
      </c>
    </row>
    <row r="180" spans="117:121">
      <c r="DM180" s="49">
        <v>9</v>
      </c>
      <c r="DQ180" s="51">
        <v>9</v>
      </c>
    </row>
    <row r="181" spans="117:121">
      <c r="DM181" s="49">
        <v>10</v>
      </c>
      <c r="DQ181" s="51">
        <v>10</v>
      </c>
    </row>
    <row r="182" spans="117:121">
      <c r="DM182" s="49">
        <v>10</v>
      </c>
      <c r="DQ182" s="51">
        <v>10</v>
      </c>
    </row>
    <row r="183" spans="117:121">
      <c r="DM183" s="49">
        <v>10</v>
      </c>
      <c r="DQ183" s="51">
        <v>10</v>
      </c>
    </row>
    <row r="184" spans="117:121">
      <c r="DM184" s="49">
        <v>10</v>
      </c>
      <c r="DQ184" s="51">
        <v>10</v>
      </c>
    </row>
    <row r="185" spans="117:121">
      <c r="DM185" s="49">
        <v>10</v>
      </c>
      <c r="DQ185" s="51">
        <v>10</v>
      </c>
    </row>
    <row r="186" spans="117:121">
      <c r="DM186" s="49">
        <v>10</v>
      </c>
      <c r="DQ186" s="51">
        <v>10</v>
      </c>
    </row>
    <row r="187" spans="117:121">
      <c r="DM187" s="49">
        <v>10</v>
      </c>
      <c r="DQ187" s="51">
        <v>10</v>
      </c>
    </row>
    <row r="188" spans="117:121">
      <c r="DM188" s="49">
        <v>10</v>
      </c>
      <c r="DQ188" s="51">
        <v>10</v>
      </c>
    </row>
    <row r="189" spans="117:121">
      <c r="DM189" s="49">
        <v>10</v>
      </c>
      <c r="DQ189" s="51">
        <v>10</v>
      </c>
    </row>
    <row r="190" spans="117:121">
      <c r="DM190" s="49">
        <v>10</v>
      </c>
      <c r="DQ190" s="51">
        <v>10</v>
      </c>
    </row>
    <row r="191" spans="117:121">
      <c r="DM191" s="49">
        <v>10</v>
      </c>
      <c r="DQ191" s="51">
        <v>10</v>
      </c>
    </row>
    <row r="192" spans="117:121">
      <c r="DM192" s="49">
        <v>10</v>
      </c>
      <c r="DQ192" s="51">
        <v>11</v>
      </c>
    </row>
    <row r="193" spans="117:121">
      <c r="DM193" s="49">
        <v>10</v>
      </c>
      <c r="DQ193" s="51">
        <v>11</v>
      </c>
    </row>
    <row r="194" spans="117:121">
      <c r="DM194" s="49">
        <v>10</v>
      </c>
      <c r="DQ194" s="51">
        <v>11</v>
      </c>
    </row>
    <row r="195" spans="117:121">
      <c r="DM195" s="49">
        <v>10</v>
      </c>
      <c r="DQ195" s="51">
        <v>11</v>
      </c>
    </row>
    <row r="196" spans="117:121">
      <c r="DM196" s="49">
        <v>10</v>
      </c>
      <c r="DQ196" s="51">
        <v>11</v>
      </c>
    </row>
    <row r="197" spans="117:121">
      <c r="DM197" s="49">
        <v>10</v>
      </c>
      <c r="DQ197" s="51">
        <v>11</v>
      </c>
    </row>
    <row r="198" spans="117:121">
      <c r="DM198" s="49">
        <v>11</v>
      </c>
      <c r="DQ198" s="51">
        <v>11</v>
      </c>
    </row>
    <row r="199" spans="117:121">
      <c r="DM199" s="49">
        <v>11</v>
      </c>
      <c r="DQ199" s="51">
        <v>11</v>
      </c>
    </row>
    <row r="200" spans="117:121">
      <c r="DM200" s="49">
        <v>11</v>
      </c>
      <c r="DQ200" s="51">
        <v>11</v>
      </c>
    </row>
    <row r="201" spans="117:121">
      <c r="DM201" s="49">
        <v>11</v>
      </c>
      <c r="DQ201" s="51">
        <v>12</v>
      </c>
    </row>
    <row r="202" spans="117:121">
      <c r="DM202" s="49">
        <v>11</v>
      </c>
      <c r="DQ202" s="51">
        <v>12</v>
      </c>
    </row>
    <row r="203" spans="117:121">
      <c r="DM203" s="49">
        <v>11</v>
      </c>
      <c r="DQ203" s="51">
        <v>12</v>
      </c>
    </row>
    <row r="204" spans="117:121">
      <c r="DM204" s="49">
        <v>11</v>
      </c>
      <c r="DQ204" s="51">
        <v>12</v>
      </c>
    </row>
    <row r="205" spans="117:121">
      <c r="DM205" s="49">
        <v>11</v>
      </c>
      <c r="DQ205" s="51">
        <v>12</v>
      </c>
    </row>
    <row r="206" spans="117:121">
      <c r="DM206" s="49">
        <v>11</v>
      </c>
      <c r="DQ206" s="51">
        <v>13</v>
      </c>
    </row>
    <row r="207" spans="117:121">
      <c r="DM207" s="49">
        <v>11</v>
      </c>
      <c r="DQ207" s="51">
        <v>13</v>
      </c>
    </row>
    <row r="208" spans="117:121">
      <c r="DM208" s="49">
        <v>12</v>
      </c>
      <c r="DQ208" s="51">
        <v>13</v>
      </c>
    </row>
    <row r="209" spans="117:121">
      <c r="DM209" s="49">
        <v>12</v>
      </c>
      <c r="DQ209" s="51">
        <v>13</v>
      </c>
    </row>
    <row r="210" spans="117:121">
      <c r="DM210" s="49">
        <v>12</v>
      </c>
      <c r="DQ210" s="51">
        <v>13</v>
      </c>
    </row>
    <row r="211" spans="117:121">
      <c r="DM211" s="49">
        <v>12</v>
      </c>
      <c r="DQ211" s="51">
        <v>13</v>
      </c>
    </row>
    <row r="212" spans="117:121">
      <c r="DM212" s="49">
        <v>12</v>
      </c>
      <c r="DQ212" s="51">
        <v>13</v>
      </c>
    </row>
    <row r="213" spans="117:121">
      <c r="DM213" s="49">
        <v>12</v>
      </c>
      <c r="DQ213" s="51">
        <v>13</v>
      </c>
    </row>
    <row r="214" spans="117:121">
      <c r="DM214" s="49">
        <v>12</v>
      </c>
      <c r="DQ214" s="51">
        <v>13</v>
      </c>
    </row>
    <row r="215" spans="117:121">
      <c r="DM215" s="49">
        <v>13</v>
      </c>
      <c r="DQ215" s="51">
        <v>14</v>
      </c>
    </row>
    <row r="216" spans="117:121">
      <c r="DM216" s="49">
        <v>13</v>
      </c>
      <c r="DQ216" s="51">
        <v>14</v>
      </c>
    </row>
    <row r="217" spans="117:121">
      <c r="DM217" s="49">
        <v>13</v>
      </c>
      <c r="DQ217" s="51">
        <v>14</v>
      </c>
    </row>
    <row r="218" spans="117:121">
      <c r="DM218" s="49">
        <v>13</v>
      </c>
      <c r="DQ218" s="51">
        <v>14</v>
      </c>
    </row>
    <row r="219" spans="117:121">
      <c r="DM219" s="49">
        <v>13</v>
      </c>
      <c r="DQ219" s="51">
        <v>14</v>
      </c>
    </row>
    <row r="220" spans="117:121">
      <c r="DM220" s="49">
        <v>13</v>
      </c>
      <c r="DQ220" s="51">
        <v>14</v>
      </c>
    </row>
    <row r="221" spans="117:121">
      <c r="DM221" s="49">
        <v>13</v>
      </c>
      <c r="DQ221" s="51">
        <v>14</v>
      </c>
    </row>
    <row r="222" spans="117:121">
      <c r="DM222" s="49">
        <v>13</v>
      </c>
      <c r="DQ222" s="51">
        <v>14</v>
      </c>
    </row>
    <row r="223" spans="117:121">
      <c r="DM223" s="49">
        <v>13</v>
      </c>
      <c r="DQ223" s="51">
        <v>14</v>
      </c>
    </row>
    <row r="224" spans="117:121">
      <c r="DM224" s="49">
        <v>13</v>
      </c>
      <c r="DQ224" s="51">
        <v>15</v>
      </c>
    </row>
    <row r="225" spans="117:121">
      <c r="DM225" s="49">
        <v>13</v>
      </c>
      <c r="DQ225" s="51">
        <v>15</v>
      </c>
    </row>
    <row r="226" spans="117:121">
      <c r="DM226" s="49">
        <v>13</v>
      </c>
      <c r="DQ226" s="51">
        <v>15</v>
      </c>
    </row>
    <row r="227" spans="117:121">
      <c r="DM227" s="49">
        <v>14</v>
      </c>
      <c r="DQ227" s="51">
        <v>15</v>
      </c>
    </row>
    <row r="228" spans="117:121">
      <c r="DM228" s="49">
        <v>14</v>
      </c>
      <c r="DQ228" s="51">
        <v>16</v>
      </c>
    </row>
    <row r="229" spans="117:121">
      <c r="DM229" s="49">
        <v>14</v>
      </c>
      <c r="DQ229" s="51">
        <v>16</v>
      </c>
    </row>
    <row r="230" spans="117:121">
      <c r="DM230" s="49">
        <v>14</v>
      </c>
      <c r="DQ230" s="51">
        <v>17</v>
      </c>
    </row>
    <row r="231" spans="117:121">
      <c r="DM231" s="49">
        <v>14</v>
      </c>
      <c r="DQ231" s="51">
        <v>17</v>
      </c>
    </row>
    <row r="232" spans="117:121">
      <c r="DM232" s="49">
        <v>14</v>
      </c>
      <c r="DQ232" s="51">
        <v>17</v>
      </c>
    </row>
    <row r="233" spans="117:121">
      <c r="DM233" s="49">
        <v>14</v>
      </c>
      <c r="DQ233" s="51">
        <v>17</v>
      </c>
    </row>
    <row r="234" spans="117:121">
      <c r="DM234" s="49">
        <v>14</v>
      </c>
      <c r="DQ234" s="51">
        <v>17</v>
      </c>
    </row>
    <row r="235" spans="117:121">
      <c r="DM235" s="49">
        <v>14</v>
      </c>
      <c r="DQ235" s="51">
        <v>17</v>
      </c>
    </row>
    <row r="236" spans="117:121">
      <c r="DM236" s="49">
        <v>14</v>
      </c>
      <c r="DQ236" s="51">
        <v>17</v>
      </c>
    </row>
    <row r="237" spans="117:121">
      <c r="DM237" s="49">
        <v>14</v>
      </c>
      <c r="DQ237" s="51">
        <v>17</v>
      </c>
    </row>
    <row r="238" spans="117:121">
      <c r="DM238" s="49">
        <v>14</v>
      </c>
      <c r="DQ238" s="51">
        <v>17</v>
      </c>
    </row>
    <row r="239" spans="117:121">
      <c r="DM239" s="49">
        <v>14</v>
      </c>
    </row>
    <row r="240" spans="117:121">
      <c r="DM240" s="49">
        <v>14</v>
      </c>
    </row>
    <row r="241" spans="117:117">
      <c r="DM241" s="49">
        <v>14</v>
      </c>
    </row>
    <row r="242" spans="117:117">
      <c r="DM242" s="49">
        <v>14</v>
      </c>
    </row>
    <row r="243" spans="117:117">
      <c r="DM243" s="49">
        <v>14</v>
      </c>
    </row>
    <row r="244" spans="117:117">
      <c r="DM244" s="49">
        <v>15</v>
      </c>
    </row>
    <row r="245" spans="117:117">
      <c r="DM245" s="49">
        <v>15</v>
      </c>
    </row>
    <row r="246" spans="117:117">
      <c r="DM246" s="49">
        <v>15</v>
      </c>
    </row>
    <row r="247" spans="117:117">
      <c r="DM247" s="49">
        <v>15</v>
      </c>
    </row>
    <row r="248" spans="117:117">
      <c r="DM248" s="49">
        <v>15</v>
      </c>
    </row>
    <row r="249" spans="117:117">
      <c r="DM249" s="49">
        <v>15</v>
      </c>
    </row>
    <row r="250" spans="117:117">
      <c r="DM250" s="49">
        <v>15</v>
      </c>
    </row>
    <row r="251" spans="117:117">
      <c r="DM251" s="49">
        <v>15</v>
      </c>
    </row>
    <row r="252" spans="117:117">
      <c r="DM252" s="49">
        <v>16</v>
      </c>
    </row>
    <row r="253" spans="117:117">
      <c r="DM253" s="49">
        <v>16</v>
      </c>
    </row>
    <row r="254" spans="117:117">
      <c r="DM254" s="49">
        <v>16</v>
      </c>
    </row>
    <row r="255" spans="117:117">
      <c r="DM255" s="49">
        <v>16</v>
      </c>
    </row>
    <row r="256" spans="117:117">
      <c r="DM256" s="49">
        <v>16</v>
      </c>
    </row>
    <row r="257" spans="117:117">
      <c r="DM257" s="49">
        <v>16</v>
      </c>
    </row>
    <row r="258" spans="117:117">
      <c r="DM258" s="49">
        <v>16</v>
      </c>
    </row>
    <row r="259" spans="117:117">
      <c r="DM259" s="49">
        <v>16</v>
      </c>
    </row>
    <row r="260" spans="117:117">
      <c r="DM260" s="49">
        <v>16</v>
      </c>
    </row>
    <row r="261" spans="117:117">
      <c r="DM261" s="49">
        <v>16</v>
      </c>
    </row>
    <row r="262" spans="117:117">
      <c r="DM262" s="49">
        <v>16</v>
      </c>
    </row>
    <row r="263" spans="117:117">
      <c r="DM263" s="49">
        <v>16</v>
      </c>
    </row>
    <row r="264" spans="117:117">
      <c r="DM264" s="49">
        <v>16</v>
      </c>
    </row>
    <row r="265" spans="117:117">
      <c r="DM265" s="49">
        <v>16</v>
      </c>
    </row>
    <row r="266" spans="117:117">
      <c r="DM266" s="49">
        <v>16</v>
      </c>
    </row>
    <row r="267" spans="117:117">
      <c r="DM267" s="49">
        <v>17</v>
      </c>
    </row>
    <row r="268" spans="117:117">
      <c r="DM268" s="49">
        <v>17</v>
      </c>
    </row>
    <row r="269" spans="117:117">
      <c r="DM269" s="49">
        <v>17</v>
      </c>
    </row>
    <row r="270" spans="117:117">
      <c r="DM270" s="49">
        <v>17</v>
      </c>
    </row>
    <row r="271" spans="117:117">
      <c r="DM271" s="49">
        <v>17</v>
      </c>
    </row>
    <row r="272" spans="117:117">
      <c r="DM272" s="49">
        <v>17</v>
      </c>
    </row>
    <row r="273" spans="117:117">
      <c r="DM273" s="49">
        <v>17</v>
      </c>
    </row>
    <row r="274" spans="117:117">
      <c r="DM274" s="49">
        <v>17</v>
      </c>
    </row>
    <row r="275" spans="117:117">
      <c r="DM275" s="49">
        <v>17</v>
      </c>
    </row>
    <row r="276" spans="117:117">
      <c r="DM276" s="49">
        <v>17</v>
      </c>
    </row>
    <row r="277" spans="117:117">
      <c r="DM277" s="49">
        <v>17</v>
      </c>
    </row>
    <row r="278" spans="117:117">
      <c r="DM278" s="49">
        <v>17</v>
      </c>
    </row>
    <row r="279" spans="117:117">
      <c r="DM279" s="49">
        <v>17</v>
      </c>
    </row>
    <row r="280" spans="117:117">
      <c r="DM280" s="49">
        <v>17</v>
      </c>
    </row>
    <row r="281" spans="117:117">
      <c r="DM281" s="49">
        <v>17</v>
      </c>
    </row>
    <row r="282" spans="117:117">
      <c r="DM282" s="49">
        <v>17</v>
      </c>
    </row>
    <row r="283" spans="117:117">
      <c r="DM283" s="49">
        <v>17</v>
      </c>
    </row>
    <row r="284" spans="117:117">
      <c r="DM284" s="49">
        <v>17</v>
      </c>
    </row>
    <row r="285" spans="117:117">
      <c r="DM285" s="49">
        <v>17</v>
      </c>
    </row>
    <row r="286" spans="117:117">
      <c r="DM286" s="49">
        <v>18</v>
      </c>
    </row>
    <row r="287" spans="117:117">
      <c r="DM287" s="49">
        <v>18</v>
      </c>
    </row>
    <row r="288" spans="117:117">
      <c r="DM288" s="49">
        <v>18</v>
      </c>
    </row>
    <row r="289" spans="117:117">
      <c r="DM289" s="49">
        <v>18</v>
      </c>
    </row>
    <row r="290" spans="117:117">
      <c r="DM290" s="49">
        <v>18</v>
      </c>
    </row>
    <row r="291" spans="117:117">
      <c r="DM291" s="49">
        <v>18</v>
      </c>
    </row>
    <row r="292" spans="117:117">
      <c r="DM292" s="49">
        <v>18</v>
      </c>
    </row>
    <row r="293" spans="117:117">
      <c r="DM293" s="49">
        <v>18</v>
      </c>
    </row>
    <row r="294" spans="117:117">
      <c r="DM294" s="49">
        <v>18</v>
      </c>
    </row>
    <row r="295" spans="117:117">
      <c r="DM295" s="49">
        <v>18</v>
      </c>
    </row>
    <row r="296" spans="117:117">
      <c r="DM296" s="49">
        <v>18</v>
      </c>
    </row>
    <row r="297" spans="117:117">
      <c r="DM297" s="49">
        <v>18</v>
      </c>
    </row>
    <row r="298" spans="117:117">
      <c r="DM298" s="49">
        <v>19</v>
      </c>
    </row>
    <row r="299" spans="117:117">
      <c r="DM299" s="49">
        <v>19</v>
      </c>
    </row>
    <row r="300" spans="117:117">
      <c r="DM300" s="49">
        <v>19</v>
      </c>
    </row>
    <row r="301" spans="117:117">
      <c r="DM301" s="49">
        <v>19</v>
      </c>
    </row>
    <row r="302" spans="117:117">
      <c r="DM302" s="49">
        <v>19</v>
      </c>
    </row>
    <row r="303" spans="117:117">
      <c r="DM303" s="49">
        <v>19</v>
      </c>
    </row>
    <row r="304" spans="117:117">
      <c r="DM304" s="49">
        <v>19</v>
      </c>
    </row>
    <row r="305" spans="117:117">
      <c r="DM305" s="49">
        <v>19</v>
      </c>
    </row>
    <row r="306" spans="117:117">
      <c r="DM306" s="49">
        <v>19</v>
      </c>
    </row>
    <row r="307" spans="117:117">
      <c r="DM307" s="49">
        <v>19</v>
      </c>
    </row>
    <row r="308" spans="117:117">
      <c r="DM308" s="49">
        <v>19</v>
      </c>
    </row>
    <row r="309" spans="117:117">
      <c r="DM309" s="49">
        <v>19</v>
      </c>
    </row>
    <row r="310" spans="117:117">
      <c r="DM310" s="49">
        <v>19</v>
      </c>
    </row>
    <row r="311" spans="117:117">
      <c r="DM311" s="49">
        <v>20</v>
      </c>
    </row>
    <row r="312" spans="117:117">
      <c r="DM312" s="49">
        <v>20</v>
      </c>
    </row>
    <row r="313" spans="117:117">
      <c r="DM313" s="49">
        <v>20</v>
      </c>
    </row>
    <row r="314" spans="117:117">
      <c r="DM314" s="49">
        <v>20</v>
      </c>
    </row>
    <row r="315" spans="117:117">
      <c r="DM315" s="49">
        <v>20</v>
      </c>
    </row>
    <row r="316" spans="117:117">
      <c r="DM316" s="49">
        <v>20</v>
      </c>
    </row>
    <row r="317" spans="117:117">
      <c r="DM317" s="49">
        <v>20</v>
      </c>
    </row>
    <row r="318" spans="117:117">
      <c r="DM318" s="49">
        <v>20</v>
      </c>
    </row>
    <row r="319" spans="117:117">
      <c r="DM319" s="49">
        <v>20</v>
      </c>
    </row>
    <row r="320" spans="117:117">
      <c r="DM320" s="49">
        <v>20</v>
      </c>
    </row>
    <row r="321" spans="117:117">
      <c r="DM321" s="49">
        <v>21</v>
      </c>
    </row>
    <row r="322" spans="117:117">
      <c r="DM322" s="49">
        <v>21</v>
      </c>
    </row>
    <row r="323" spans="117:117">
      <c r="DM323" s="49">
        <v>21</v>
      </c>
    </row>
    <row r="324" spans="117:117">
      <c r="DM324" s="49">
        <v>21</v>
      </c>
    </row>
    <row r="325" spans="117:117">
      <c r="DM325" s="49">
        <v>21</v>
      </c>
    </row>
    <row r="326" spans="117:117">
      <c r="DM326" s="49">
        <v>21</v>
      </c>
    </row>
    <row r="327" spans="117:117">
      <c r="DM327" s="49">
        <v>21</v>
      </c>
    </row>
    <row r="328" spans="117:117">
      <c r="DM328" s="49">
        <v>21</v>
      </c>
    </row>
    <row r="329" spans="117:117">
      <c r="DM329" s="49">
        <v>21</v>
      </c>
    </row>
    <row r="330" spans="117:117">
      <c r="DM330" s="49">
        <v>21</v>
      </c>
    </row>
    <row r="331" spans="117:117">
      <c r="DM331" s="49">
        <v>21</v>
      </c>
    </row>
    <row r="332" spans="117:117">
      <c r="DM332" s="49">
        <v>21</v>
      </c>
    </row>
    <row r="333" spans="117:117">
      <c r="DM333" s="49">
        <v>21</v>
      </c>
    </row>
    <row r="334" spans="117:117">
      <c r="DM334" s="49">
        <v>21</v>
      </c>
    </row>
    <row r="335" spans="117:117">
      <c r="DM335" s="49">
        <v>21</v>
      </c>
    </row>
    <row r="336" spans="117:117">
      <c r="DM336" s="49">
        <v>22</v>
      </c>
    </row>
    <row r="337" spans="117:117">
      <c r="DM337" s="49">
        <v>22</v>
      </c>
    </row>
    <row r="338" spans="117:117">
      <c r="DM338" s="49">
        <v>22</v>
      </c>
    </row>
    <row r="339" spans="117:117">
      <c r="DM339" s="49">
        <v>22</v>
      </c>
    </row>
    <row r="340" spans="117:117">
      <c r="DM340" s="49">
        <v>22</v>
      </c>
    </row>
    <row r="341" spans="117:117">
      <c r="DM341" s="49">
        <v>22</v>
      </c>
    </row>
    <row r="342" spans="117:117">
      <c r="DM342" s="49">
        <v>22</v>
      </c>
    </row>
    <row r="343" spans="117:117">
      <c r="DM343" s="49">
        <v>22</v>
      </c>
    </row>
    <row r="344" spans="117:117">
      <c r="DM344" s="49">
        <v>22</v>
      </c>
    </row>
    <row r="345" spans="117:117">
      <c r="DM345" s="49">
        <v>23</v>
      </c>
    </row>
    <row r="346" spans="117:117">
      <c r="DM346" s="49">
        <v>23</v>
      </c>
    </row>
    <row r="347" spans="117:117">
      <c r="DM347" s="49">
        <v>23</v>
      </c>
    </row>
    <row r="348" spans="117:117">
      <c r="DM348" s="49">
        <v>23</v>
      </c>
    </row>
    <row r="349" spans="117:117">
      <c r="DM349" s="49">
        <v>23</v>
      </c>
    </row>
    <row r="350" spans="117:117">
      <c r="DM350" s="49">
        <v>23</v>
      </c>
    </row>
    <row r="351" spans="117:117">
      <c r="DM351" s="49">
        <v>23</v>
      </c>
    </row>
    <row r="352" spans="117:117">
      <c r="DM352" s="49">
        <v>23</v>
      </c>
    </row>
    <row r="353" spans="117:117">
      <c r="DM353" s="49">
        <v>23</v>
      </c>
    </row>
    <row r="354" spans="117:117">
      <c r="DM354" s="49">
        <v>24</v>
      </c>
    </row>
    <row r="355" spans="117:117">
      <c r="DM355" s="49">
        <v>24</v>
      </c>
    </row>
    <row r="356" spans="117:117">
      <c r="DM356" s="49">
        <v>24</v>
      </c>
    </row>
    <row r="357" spans="117:117">
      <c r="DM357" s="49">
        <v>25</v>
      </c>
    </row>
    <row r="358" spans="117:117">
      <c r="DM358" s="49">
        <v>25</v>
      </c>
    </row>
    <row r="359" spans="117:117">
      <c r="DM359" s="49">
        <v>25</v>
      </c>
    </row>
    <row r="360" spans="117:117">
      <c r="DM360" s="49">
        <v>25</v>
      </c>
    </row>
    <row r="361" spans="117:117">
      <c r="DM361" s="49">
        <v>25</v>
      </c>
    </row>
    <row r="362" spans="117:117">
      <c r="DM362" s="49">
        <v>25</v>
      </c>
    </row>
    <row r="363" spans="117:117">
      <c r="DM363" s="49">
        <v>25</v>
      </c>
    </row>
    <row r="364" spans="117:117">
      <c r="DM364" s="49">
        <v>26</v>
      </c>
    </row>
    <row r="365" spans="117:117">
      <c r="DM365" s="49">
        <v>26</v>
      </c>
    </row>
    <row r="366" spans="117:117">
      <c r="DM366" s="49">
        <v>26</v>
      </c>
    </row>
    <row r="367" spans="117:117">
      <c r="DM367" s="49">
        <v>28</v>
      </c>
    </row>
  </sheetData>
  <sheetProtection selectLockedCells="1"/>
  <mergeCells count="8">
    <mergeCell ref="A2:A33"/>
    <mergeCell ref="DT3:DU3"/>
    <mergeCell ref="EV3:EV4"/>
    <mergeCell ref="EV6:EV7"/>
    <mergeCell ref="DR1:DU1"/>
    <mergeCell ref="DV1:EG1"/>
    <mergeCell ref="EI1:EM1"/>
    <mergeCell ref="EN1:ER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B1:V51"/>
  <sheetViews>
    <sheetView zoomScale="55" zoomScaleNormal="55" workbookViewId="0">
      <selection activeCell="H2" sqref="H2"/>
    </sheetView>
  </sheetViews>
  <sheetFormatPr defaultRowHeight="13.8"/>
  <cols>
    <col min="2" max="2" width="6.234375" bestFit="1" customWidth="1"/>
    <col min="3" max="3" width="10" bestFit="1" customWidth="1"/>
    <col min="4" max="4" width="6" bestFit="1" customWidth="1"/>
    <col min="5" max="5" width="8.37890625" bestFit="1" customWidth="1"/>
    <col min="6" max="6" width="20" bestFit="1" customWidth="1"/>
    <col min="7" max="7" width="15.234375" bestFit="1" customWidth="1"/>
    <col min="8" max="8" width="16.85546875" bestFit="1" customWidth="1"/>
    <col min="9" max="9" width="19.140625" bestFit="1" customWidth="1"/>
    <col min="10" max="10" width="15.140625" customWidth="1"/>
    <col min="11" max="12" width="15.6171875" bestFit="1" customWidth="1"/>
    <col min="13" max="13" width="17.6171875" bestFit="1" customWidth="1"/>
    <col min="14" max="14" width="9.140625" bestFit="1" customWidth="1"/>
    <col min="15" max="15" width="9.234375" bestFit="1" customWidth="1"/>
    <col min="16" max="16" width="9.140625" bestFit="1" customWidth="1"/>
    <col min="17" max="17" width="8.140625" bestFit="1" customWidth="1"/>
    <col min="18" max="18" width="10.234375" customWidth="1"/>
    <col min="19" max="19" width="9.140625" bestFit="1" customWidth="1"/>
    <col min="20" max="20" width="8.140625" bestFit="1" customWidth="1"/>
    <col min="21" max="21" width="9.234375" bestFit="1" customWidth="1"/>
    <col min="22" max="22" width="11.234375" bestFit="1" customWidth="1"/>
  </cols>
  <sheetData>
    <row r="1" spans="2:22">
      <c r="B1" t="s">
        <v>258</v>
      </c>
      <c r="C1" t="s">
        <v>259</v>
      </c>
      <c r="D1" t="s">
        <v>260</v>
      </c>
      <c r="E1" t="s">
        <v>261</v>
      </c>
      <c r="F1" t="s">
        <v>262</v>
      </c>
      <c r="G1" t="s">
        <v>269</v>
      </c>
      <c r="H1" t="s">
        <v>270</v>
      </c>
      <c r="I1" t="s">
        <v>262</v>
      </c>
      <c r="J1" t="s">
        <v>271</v>
      </c>
      <c r="K1" t="s">
        <v>263</v>
      </c>
      <c r="L1" t="s">
        <v>264</v>
      </c>
      <c r="M1" t="s">
        <v>265</v>
      </c>
      <c r="P1" s="132" t="s">
        <v>266</v>
      </c>
      <c r="S1" s="132" t="s">
        <v>267</v>
      </c>
      <c r="V1" s="132" t="s">
        <v>268</v>
      </c>
    </row>
    <row r="2" spans="2:22">
      <c r="B2" s="118">
        <v>-20</v>
      </c>
      <c r="C2" s="84">
        <f t="shared" ref="C2:C26" si="0">C3+D3</f>
        <v>259.19999999999982</v>
      </c>
      <c r="D2" s="84">
        <f t="shared" ref="D2:D35" si="1">C2-C3</f>
        <v>7.1999999999999886</v>
      </c>
      <c r="E2" s="130">
        <v>0</v>
      </c>
      <c r="F2" s="131">
        <f t="shared" ref="F2:F37" si="2">C2*E2</f>
        <v>0</v>
      </c>
      <c r="G2" s="134">
        <f>'Dane dla CWU'!$H$43/365</f>
        <v>10.319026666666666</v>
      </c>
      <c r="H2" s="84">
        <f t="shared" ref="H2:H35" si="3">F2+H3</f>
        <v>20181.599999999999</v>
      </c>
      <c r="I2" s="84">
        <f t="shared" ref="I2:I49" si="4">E2*G2</f>
        <v>0</v>
      </c>
      <c r="J2" s="84">
        <f t="shared" ref="J2:J48" si="5">I2+J3</f>
        <v>3776.7637599999998</v>
      </c>
      <c r="K2" s="84">
        <f>'SCOP 221.A29'!DX5</f>
        <v>1.4285714285714286</v>
      </c>
      <c r="L2" s="84">
        <f>'SCOP 221.A29'!EA5</f>
        <v>2.2783171521035599</v>
      </c>
      <c r="M2" s="84">
        <f>'SCOP 221.A29'!EO5</f>
        <v>1.4285714285714286</v>
      </c>
      <c r="N2" s="84">
        <f t="shared" ref="N2:N37" si="6">F2*K2</f>
        <v>0</v>
      </c>
      <c r="O2" s="84">
        <f t="shared" ref="O2:O35" si="7">O3+N2</f>
        <v>63593.438670855896</v>
      </c>
      <c r="P2" s="133">
        <f t="shared" ref="P2:P6" si="8">O2/H2</f>
        <v>3.151060305964636</v>
      </c>
      <c r="Q2" s="84">
        <f t="shared" ref="Q2:Q36" si="9">F2*L2</f>
        <v>0</v>
      </c>
      <c r="R2" s="84">
        <f t="shared" ref="R2:R35" si="10">R3+Q2</f>
        <v>84344.374785183376</v>
      </c>
      <c r="S2" s="133">
        <f t="shared" ref="S2:S6" si="11">R2/H2</f>
        <v>4.1792709589518857</v>
      </c>
      <c r="T2" s="84">
        <f t="shared" ref="T2:T35" si="12">I2*M2</f>
        <v>0</v>
      </c>
      <c r="U2" s="84">
        <f t="shared" ref="U2:U35" si="13">U3+T2</f>
        <v>10376.447154467962</v>
      </c>
      <c r="V2" s="133">
        <f t="shared" ref="V2:V6" si="14">U2/J2</f>
        <v>2.7474440589495495</v>
      </c>
    </row>
    <row r="3" spans="2:22">
      <c r="B3" s="118">
        <v>-19</v>
      </c>
      <c r="C3" s="84">
        <f t="shared" si="0"/>
        <v>251.99999999999983</v>
      </c>
      <c r="D3" s="84">
        <f t="shared" si="1"/>
        <v>7.1999999999999886</v>
      </c>
      <c r="E3" s="130">
        <v>0</v>
      </c>
      <c r="F3" s="131">
        <f t="shared" si="2"/>
        <v>0</v>
      </c>
      <c r="G3" s="134">
        <f>'Dane dla CWU'!$H$43/365</f>
        <v>10.319026666666666</v>
      </c>
      <c r="H3" s="84">
        <f t="shared" si="3"/>
        <v>20181.599999999999</v>
      </c>
      <c r="I3" s="84">
        <f t="shared" si="4"/>
        <v>0</v>
      </c>
      <c r="J3" s="84">
        <f t="shared" si="5"/>
        <v>3776.7637599999998</v>
      </c>
      <c r="K3" s="84">
        <f>'SCOP 221.A29'!DX6</f>
        <v>1.4853857211308097</v>
      </c>
      <c r="L3" s="84">
        <f>'SCOP 221.A29'!EA6</f>
        <v>2.3395860284605434</v>
      </c>
      <c r="M3" s="84">
        <f>'SCOP 221.A29'!EO6</f>
        <v>1.4523239099185432</v>
      </c>
      <c r="N3" s="84">
        <f t="shared" si="6"/>
        <v>0</v>
      </c>
      <c r="O3" s="84">
        <f t="shared" si="7"/>
        <v>63593.438670855896</v>
      </c>
      <c r="P3" s="133">
        <f t="shared" si="8"/>
        <v>3.151060305964636</v>
      </c>
      <c r="Q3" s="84">
        <f t="shared" si="9"/>
        <v>0</v>
      </c>
      <c r="R3" s="84">
        <f t="shared" si="10"/>
        <v>84344.374785183376</v>
      </c>
      <c r="S3" s="133">
        <f t="shared" si="11"/>
        <v>4.1792709589518857</v>
      </c>
      <c r="T3" s="84">
        <f t="shared" si="12"/>
        <v>0</v>
      </c>
      <c r="U3" s="84">
        <f t="shared" si="13"/>
        <v>10376.447154467962</v>
      </c>
      <c r="V3" s="133">
        <f t="shared" si="14"/>
        <v>2.7474440589495495</v>
      </c>
    </row>
    <row r="4" spans="2:22">
      <c r="B4" s="118">
        <v>-18</v>
      </c>
      <c r="C4" s="84">
        <f t="shared" si="0"/>
        <v>244.79999999999984</v>
      </c>
      <c r="D4" s="84">
        <f t="shared" si="1"/>
        <v>7.1999999999999886</v>
      </c>
      <c r="E4" s="130">
        <v>1</v>
      </c>
      <c r="F4" s="131">
        <f t="shared" si="2"/>
        <v>244.79999999999984</v>
      </c>
      <c r="G4" s="134">
        <f>'Dane dla CWU'!$H$43/365</f>
        <v>10.319026666666666</v>
      </c>
      <c r="H4" s="84">
        <f t="shared" si="3"/>
        <v>20181.599999999999</v>
      </c>
      <c r="I4" s="84">
        <f t="shared" si="4"/>
        <v>10.319026666666666</v>
      </c>
      <c r="J4" s="84">
        <f t="shared" si="5"/>
        <v>3776.7637599999998</v>
      </c>
      <c r="K4" s="84">
        <f>'SCOP 221.A29'!DX7</f>
        <v>1.5429122468659593</v>
      </c>
      <c r="L4" s="84">
        <f>'SCOP 221.A29'!EA7</f>
        <v>2.4007756948933419</v>
      </c>
      <c r="M4" s="84">
        <f>'SCOP 221.A29'!EO7</f>
        <v>1.4763741562198649</v>
      </c>
      <c r="N4" s="84">
        <f t="shared" si="6"/>
        <v>377.70491803278657</v>
      </c>
      <c r="O4" s="84">
        <f t="shared" si="7"/>
        <v>63593.438670855896</v>
      </c>
      <c r="P4" s="133">
        <f t="shared" si="8"/>
        <v>3.151060305964636</v>
      </c>
      <c r="Q4" s="84">
        <f t="shared" si="9"/>
        <v>587.70989010988967</v>
      </c>
      <c r="R4" s="84">
        <f t="shared" si="10"/>
        <v>84344.374785183376</v>
      </c>
      <c r="S4" s="133">
        <f t="shared" si="11"/>
        <v>4.1792709589518857</v>
      </c>
      <c r="T4" s="84">
        <f t="shared" si="12"/>
        <v>15.234744288010283</v>
      </c>
      <c r="U4" s="84">
        <f t="shared" si="13"/>
        <v>10376.447154467962</v>
      </c>
      <c r="V4" s="133">
        <f t="shared" si="14"/>
        <v>2.7474440589495495</v>
      </c>
    </row>
    <row r="5" spans="2:22">
      <c r="B5" s="118">
        <v>-17</v>
      </c>
      <c r="C5" s="84">
        <f t="shared" si="0"/>
        <v>237.59999999999985</v>
      </c>
      <c r="D5" s="84">
        <f t="shared" si="1"/>
        <v>7.1999999999999886</v>
      </c>
      <c r="E5" s="130">
        <v>0</v>
      </c>
      <c r="F5" s="131">
        <f t="shared" si="2"/>
        <v>0</v>
      </c>
      <c r="G5" s="134">
        <f>'Dane dla CWU'!$H$43/365</f>
        <v>10.319026666666666</v>
      </c>
      <c r="H5" s="84">
        <f t="shared" si="3"/>
        <v>19936.8</v>
      </c>
      <c r="I5" s="84">
        <f t="shared" si="4"/>
        <v>0</v>
      </c>
      <c r="J5" s="84">
        <f t="shared" si="5"/>
        <v>3766.4447333333333</v>
      </c>
      <c r="K5" s="84">
        <f>'SCOP 221.A29'!DX8</f>
        <v>1.6011644832605532</v>
      </c>
      <c r="L5" s="84">
        <f>'SCOP 221.A29'!EA8</f>
        <v>2.4618863049095605</v>
      </c>
      <c r="M5" s="84">
        <f>'SCOP 221.A29'!EO8</f>
        <v>1.5007278020378456</v>
      </c>
      <c r="N5" s="84">
        <f t="shared" si="6"/>
        <v>0</v>
      </c>
      <c r="O5" s="84">
        <f t="shared" si="7"/>
        <v>63215.733752823107</v>
      </c>
      <c r="P5" s="133">
        <f t="shared" si="8"/>
        <v>3.1708064359788488</v>
      </c>
      <c r="Q5" s="84">
        <f t="shared" si="9"/>
        <v>0</v>
      </c>
      <c r="R5" s="84">
        <f t="shared" si="10"/>
        <v>83756.664895073482</v>
      </c>
      <c r="S5" s="133">
        <f t="shared" si="11"/>
        <v>4.2011087483986138</v>
      </c>
      <c r="T5" s="84">
        <f t="shared" si="12"/>
        <v>0</v>
      </c>
      <c r="U5" s="84">
        <f t="shared" si="13"/>
        <v>10361.212410179951</v>
      </c>
      <c r="V5" s="133">
        <f t="shared" si="14"/>
        <v>2.7509264422446993</v>
      </c>
    </row>
    <row r="6" spans="2:22">
      <c r="B6" s="118">
        <v>-16</v>
      </c>
      <c r="C6" s="84">
        <f t="shared" si="0"/>
        <v>230.39999999999986</v>
      </c>
      <c r="D6" s="84">
        <f t="shared" si="1"/>
        <v>7.1999999999999886</v>
      </c>
      <c r="E6" s="130">
        <v>1</v>
      </c>
      <c r="F6" s="131">
        <f t="shared" si="2"/>
        <v>230.39999999999986</v>
      </c>
      <c r="G6" s="134">
        <f>'Dane dla CWU'!$H$43/365</f>
        <v>10.319026666666666</v>
      </c>
      <c r="H6" s="84">
        <f t="shared" si="3"/>
        <v>19936.8</v>
      </c>
      <c r="I6" s="84">
        <f t="shared" si="4"/>
        <v>10.319026666666666</v>
      </c>
      <c r="J6" s="84">
        <f t="shared" si="5"/>
        <v>3766.4447333333333</v>
      </c>
      <c r="K6" s="84">
        <f>'SCOP 221.A29'!DX9</f>
        <v>1.66015625</v>
      </c>
      <c r="L6" s="84">
        <f>'SCOP 221.A29'!EA9</f>
        <v>2.5229180116204004</v>
      </c>
      <c r="M6" s="84">
        <f>'SCOP 221.A29'!EO9</f>
        <v>1.525390625</v>
      </c>
      <c r="N6" s="84">
        <f t="shared" si="6"/>
        <v>382.49999999999977</v>
      </c>
      <c r="O6" s="84">
        <f t="shared" si="7"/>
        <v>63215.733752823107</v>
      </c>
      <c r="P6" s="133">
        <f t="shared" si="8"/>
        <v>3.1708064359788488</v>
      </c>
      <c r="Q6" s="84">
        <f t="shared" si="9"/>
        <v>581.28030987733996</v>
      </c>
      <c r="R6" s="84">
        <f t="shared" si="10"/>
        <v>83756.664895073482</v>
      </c>
      <c r="S6" s="133">
        <f t="shared" si="11"/>
        <v>4.2011087483986138</v>
      </c>
      <c r="T6" s="84">
        <f t="shared" si="12"/>
        <v>15.740546536458332</v>
      </c>
      <c r="U6" s="84">
        <f t="shared" si="13"/>
        <v>10361.212410179951</v>
      </c>
      <c r="V6" s="133">
        <f t="shared" si="14"/>
        <v>2.7509264422446993</v>
      </c>
    </row>
    <row r="7" spans="2:22">
      <c r="B7" s="118">
        <v>-15</v>
      </c>
      <c r="C7" s="84">
        <f t="shared" si="0"/>
        <v>223.19999999999987</v>
      </c>
      <c r="D7" s="84">
        <f t="shared" si="1"/>
        <v>7.1999999999999886</v>
      </c>
      <c r="E7" s="130">
        <v>0</v>
      </c>
      <c r="F7" s="131">
        <f t="shared" si="2"/>
        <v>0</v>
      </c>
      <c r="G7" s="134">
        <f>'Dane dla CWU'!$H$43/365</f>
        <v>10.319026666666666</v>
      </c>
      <c r="H7" s="84">
        <f t="shared" si="3"/>
        <v>19706.399999999998</v>
      </c>
      <c r="I7" s="84">
        <f t="shared" si="4"/>
        <v>0</v>
      </c>
      <c r="J7" s="84">
        <f t="shared" si="5"/>
        <v>3756.1257066666667</v>
      </c>
      <c r="K7" s="84">
        <f>'SCOP 221.A29'!DX10</f>
        <v>1.7199017199017197</v>
      </c>
      <c r="L7" s="84">
        <f>'SCOP 221.A29'!EA10</f>
        <v>2.5838709677419351</v>
      </c>
      <c r="M7" s="84">
        <f>'SCOP 221.A29'!EO10</f>
        <v>1.5503685503685503</v>
      </c>
      <c r="N7" s="84">
        <f t="shared" si="6"/>
        <v>0</v>
      </c>
      <c r="O7" s="84">
        <f t="shared" si="7"/>
        <v>62833.233752823107</v>
      </c>
      <c r="P7" s="133">
        <f t="shared" ref="P7:P36" si="15">O7/H7</f>
        <v>3.1884684038090727</v>
      </c>
      <c r="Q7" s="84">
        <f t="shared" si="9"/>
        <v>0</v>
      </c>
      <c r="R7" s="84">
        <f t="shared" si="10"/>
        <v>83175.384585196138</v>
      </c>
      <c r="S7" s="133">
        <f t="shared" ref="S7:S36" si="16">R7/H7</f>
        <v>4.2207295388907236</v>
      </c>
      <c r="T7" s="84">
        <f t="shared" si="12"/>
        <v>0</v>
      </c>
      <c r="U7" s="84">
        <f t="shared" si="13"/>
        <v>10345.471863643492</v>
      </c>
      <c r="V7" s="133">
        <f>U7/J7</f>
        <v>2.7542932988854809</v>
      </c>
    </row>
    <row r="8" spans="2:22">
      <c r="B8" s="118">
        <v>-14</v>
      </c>
      <c r="C8" s="84">
        <f t="shared" si="0"/>
        <v>215.99999999999989</v>
      </c>
      <c r="D8" s="84">
        <f t="shared" si="1"/>
        <v>7.1999999999999886</v>
      </c>
      <c r="E8" s="130">
        <v>3</v>
      </c>
      <c r="F8" s="131">
        <f t="shared" si="2"/>
        <v>647.99999999999966</v>
      </c>
      <c r="G8" s="134">
        <f>'Dane dla CWU'!$H$43/365</f>
        <v>10.319026666666666</v>
      </c>
      <c r="H8" s="84">
        <f t="shared" si="3"/>
        <v>19706.399999999998</v>
      </c>
      <c r="I8" s="84">
        <f t="shared" si="4"/>
        <v>30.957079999999998</v>
      </c>
      <c r="J8" s="84">
        <f t="shared" si="5"/>
        <v>3756.1257066666667</v>
      </c>
      <c r="K8" s="84">
        <f>'SCOP 221.A29'!DX11</f>
        <v>2.6639004149377592</v>
      </c>
      <c r="L8" s="84">
        <f>'SCOP 221.A29'!EA11</f>
        <v>3.0071146245059288</v>
      </c>
      <c r="M8" s="84">
        <f>'SCOP 221.A29'!EO11</f>
        <v>1.6044936903662663</v>
      </c>
      <c r="N8" s="84">
        <f t="shared" si="6"/>
        <v>1726.207468879667</v>
      </c>
      <c r="O8" s="84">
        <f t="shared" si="7"/>
        <v>62833.233752823107</v>
      </c>
      <c r="P8" s="133">
        <f t="shared" si="15"/>
        <v>3.1884684038090727</v>
      </c>
      <c r="Q8" s="84">
        <f t="shared" si="9"/>
        <v>1948.6102766798408</v>
      </c>
      <c r="R8" s="84">
        <f t="shared" si="10"/>
        <v>83175.384585196138</v>
      </c>
      <c r="S8" s="133">
        <f t="shared" si="16"/>
        <v>4.2207295388907236</v>
      </c>
      <c r="T8" s="84">
        <f t="shared" si="12"/>
        <v>49.670439532163734</v>
      </c>
      <c r="U8" s="84">
        <f t="shared" si="13"/>
        <v>10345.471863643492</v>
      </c>
      <c r="V8" s="133">
        <f t="shared" ref="V8:V50" si="17">U8/J8</f>
        <v>2.7542932988854809</v>
      </c>
    </row>
    <row r="9" spans="2:22">
      <c r="B9" s="118">
        <v>-13</v>
      </c>
      <c r="C9" s="84">
        <f t="shared" si="0"/>
        <v>208.7999999999999</v>
      </c>
      <c r="D9" s="84">
        <f t="shared" si="1"/>
        <v>7.1999999999999886</v>
      </c>
      <c r="E9" s="130">
        <v>1</v>
      </c>
      <c r="F9" s="131">
        <f t="shared" si="2"/>
        <v>208.7999999999999</v>
      </c>
      <c r="G9" s="134">
        <f>'Dane dla CWU'!$H$43/365</f>
        <v>10.319026666666666</v>
      </c>
      <c r="H9" s="84">
        <f t="shared" si="3"/>
        <v>19058.399999999998</v>
      </c>
      <c r="I9" s="84">
        <f t="shared" si="4"/>
        <v>10.319026666666666</v>
      </c>
      <c r="J9" s="84">
        <f t="shared" si="5"/>
        <v>3725.1686266666666</v>
      </c>
      <c r="K9" s="84">
        <f>'SCOP 221.A29'!DX12</f>
        <v>2.4132231404958677</v>
      </c>
      <c r="L9" s="84">
        <f>'SCOP 221.A29'!EA12</f>
        <v>2.8482213438735178</v>
      </c>
      <c r="M9" s="84">
        <f>'SCOP 221.A29'!EO12</f>
        <v>1.6588525601480564</v>
      </c>
      <c r="N9" s="84">
        <f t="shared" si="6"/>
        <v>503.88099173553695</v>
      </c>
      <c r="O9" s="84">
        <f t="shared" si="7"/>
        <v>61107.026283943444</v>
      </c>
      <c r="P9" s="133">
        <f t="shared" si="15"/>
        <v>3.2063041117797639</v>
      </c>
      <c r="Q9" s="84">
        <f t="shared" si="9"/>
        <v>594.70861660079026</v>
      </c>
      <c r="R9" s="84">
        <f t="shared" si="10"/>
        <v>81226.774308516295</v>
      </c>
      <c r="S9" s="133">
        <f t="shared" si="16"/>
        <v>4.2619933629536746</v>
      </c>
      <c r="T9" s="84">
        <f t="shared" si="12"/>
        <v>17.117743804236063</v>
      </c>
      <c r="U9" s="84">
        <f t="shared" si="13"/>
        <v>10295.801424111329</v>
      </c>
      <c r="V9" s="133">
        <f t="shared" si="17"/>
        <v>2.7638484202859179</v>
      </c>
    </row>
    <row r="10" spans="2:22">
      <c r="B10" s="118">
        <v>-12</v>
      </c>
      <c r="C10" s="84">
        <f t="shared" si="0"/>
        <v>201.59999999999991</v>
      </c>
      <c r="D10" s="84">
        <f t="shared" si="1"/>
        <v>7.1999999999999886</v>
      </c>
      <c r="E10" s="130">
        <v>3</v>
      </c>
      <c r="F10" s="131">
        <f t="shared" si="2"/>
        <v>604.79999999999973</v>
      </c>
      <c r="G10" s="134">
        <f>'Dane dla CWU'!$H$43/365</f>
        <v>10.319026666666666</v>
      </c>
      <c r="H10" s="84">
        <f t="shared" si="3"/>
        <v>18849.599999999999</v>
      </c>
      <c r="I10" s="84">
        <f t="shared" si="4"/>
        <v>30.957079999999998</v>
      </c>
      <c r="J10" s="84">
        <f t="shared" si="5"/>
        <v>3714.8496</v>
      </c>
      <c r="K10" s="84">
        <f>'SCOP 221.A29'!DX13</f>
        <v>2.1646090534979421</v>
      </c>
      <c r="L10" s="84">
        <f>'SCOP 221.A29'!EA13</f>
        <v>2.6893280632411072</v>
      </c>
      <c r="M10" s="84">
        <f>'SCOP 221.A29'!EO13</f>
        <v>1.7134466769706334</v>
      </c>
      <c r="N10" s="84">
        <f t="shared" si="6"/>
        <v>1309.1555555555549</v>
      </c>
      <c r="O10" s="84">
        <f t="shared" si="7"/>
        <v>60603.145292207904</v>
      </c>
      <c r="P10" s="133">
        <f t="shared" si="15"/>
        <v>3.2150891951133134</v>
      </c>
      <c r="Q10" s="84">
        <f t="shared" si="9"/>
        <v>1626.5056126482209</v>
      </c>
      <c r="R10" s="84">
        <f t="shared" si="10"/>
        <v>80632.065691915501</v>
      </c>
      <c r="S10" s="133">
        <f t="shared" si="16"/>
        <v>4.2776539391772506</v>
      </c>
      <c r="T10" s="84">
        <f t="shared" si="12"/>
        <v>53.043305854714049</v>
      </c>
      <c r="U10" s="84">
        <f t="shared" si="13"/>
        <v>10278.683680307093</v>
      </c>
      <c r="V10" s="133">
        <f t="shared" si="17"/>
        <v>2.7669178532307455</v>
      </c>
    </row>
    <row r="11" spans="2:22">
      <c r="B11" s="118">
        <v>-11</v>
      </c>
      <c r="C11" s="84">
        <f t="shared" si="0"/>
        <v>194.39999999999992</v>
      </c>
      <c r="D11" s="84">
        <f t="shared" si="1"/>
        <v>7.1999999999999886</v>
      </c>
      <c r="E11" s="130">
        <v>4</v>
      </c>
      <c r="F11" s="131">
        <f t="shared" si="2"/>
        <v>777.59999999999968</v>
      </c>
      <c r="G11" s="134">
        <f>'Dane dla CWU'!$H$43/365</f>
        <v>10.319026666666666</v>
      </c>
      <c r="H11" s="84">
        <f t="shared" si="3"/>
        <v>18244.8</v>
      </c>
      <c r="I11" s="84">
        <f t="shared" si="4"/>
        <v>41.276106666666664</v>
      </c>
      <c r="J11" s="84">
        <f t="shared" si="5"/>
        <v>3683.8925199999999</v>
      </c>
      <c r="K11" s="84">
        <f>'SCOP 221.A29'!DX14</f>
        <v>1.9180327868852458</v>
      </c>
      <c r="L11" s="84">
        <f>'SCOP 221.A29'!EA14</f>
        <v>2.5304347826086957</v>
      </c>
      <c r="M11" s="84">
        <f>'SCOP 221.A29'!EO14</f>
        <v>1.7682775712515486</v>
      </c>
      <c r="N11" s="84">
        <f t="shared" si="6"/>
        <v>1491.4622950819664</v>
      </c>
      <c r="O11" s="84">
        <f t="shared" si="7"/>
        <v>59293.989736652351</v>
      </c>
      <c r="P11" s="133">
        <f t="shared" si="15"/>
        <v>3.2499117412442096</v>
      </c>
      <c r="Q11" s="84">
        <f t="shared" si="9"/>
        <v>1967.666086956521</v>
      </c>
      <c r="R11" s="84">
        <f t="shared" si="10"/>
        <v>79005.560079267278</v>
      </c>
      <c r="S11" s="133">
        <f t="shared" si="16"/>
        <v>4.3303056256723718</v>
      </c>
      <c r="T11" s="84">
        <f t="shared" si="12"/>
        <v>72.987613647253184</v>
      </c>
      <c r="U11" s="84">
        <f t="shared" si="13"/>
        <v>10225.64037445238</v>
      </c>
      <c r="V11" s="133">
        <f t="shared" si="17"/>
        <v>2.7757705521909144</v>
      </c>
    </row>
    <row r="12" spans="2:22">
      <c r="B12" s="118">
        <v>-10</v>
      </c>
      <c r="C12" s="84">
        <f t="shared" si="0"/>
        <v>187.19999999999993</v>
      </c>
      <c r="D12" s="84">
        <f t="shared" si="1"/>
        <v>7.1999999999999886</v>
      </c>
      <c r="E12" s="130">
        <v>5</v>
      </c>
      <c r="F12" s="131">
        <f t="shared" si="2"/>
        <v>935.99999999999966</v>
      </c>
      <c r="G12" s="134">
        <f>'Dane dla CWU'!$H$43/365</f>
        <v>10.319026666666666</v>
      </c>
      <c r="H12" s="84">
        <f t="shared" si="3"/>
        <v>17467.2</v>
      </c>
      <c r="I12" s="84">
        <f t="shared" si="4"/>
        <v>51.59513333333333</v>
      </c>
      <c r="J12" s="84">
        <f t="shared" si="5"/>
        <v>3642.6164133333332</v>
      </c>
      <c r="K12" s="84">
        <f>'SCOP 221.A29'!DX15</f>
        <v>1.6734693877551017</v>
      </c>
      <c r="L12" s="84">
        <f>'SCOP 221.A29'!EA15</f>
        <v>2.3715415019762847</v>
      </c>
      <c r="M12" s="84">
        <f>'SCOP 221.A29'!EO15</f>
        <v>1.8233467867122009</v>
      </c>
      <c r="N12" s="84">
        <f t="shared" si="6"/>
        <v>1566.3673469387745</v>
      </c>
      <c r="O12" s="84">
        <f t="shared" si="7"/>
        <v>57802.527441570383</v>
      </c>
      <c r="P12" s="133">
        <f t="shared" si="15"/>
        <v>3.3092039618009972</v>
      </c>
      <c r="Q12" s="84">
        <f t="shared" si="9"/>
        <v>2219.7628458498016</v>
      </c>
      <c r="R12" s="84">
        <f t="shared" si="10"/>
        <v>77037.893992310754</v>
      </c>
      <c r="S12" s="133">
        <f t="shared" si="16"/>
        <v>4.4104317802687749</v>
      </c>
      <c r="T12" s="84">
        <f t="shared" si="12"/>
        <v>94.075820573320897</v>
      </c>
      <c r="U12" s="84">
        <f t="shared" si="13"/>
        <v>10152.652760805126</v>
      </c>
      <c r="V12" s="133">
        <f t="shared" si="17"/>
        <v>2.7871869032497174</v>
      </c>
    </row>
    <row r="13" spans="2:22">
      <c r="B13" s="118">
        <v>-9</v>
      </c>
      <c r="C13" s="84">
        <f t="shared" si="0"/>
        <v>179.99999999999994</v>
      </c>
      <c r="D13" s="84">
        <f t="shared" si="1"/>
        <v>7.1999999999999886</v>
      </c>
      <c r="E13" s="130">
        <v>1</v>
      </c>
      <c r="F13" s="131">
        <f t="shared" si="2"/>
        <v>179.99999999999994</v>
      </c>
      <c r="G13" s="134">
        <f>'Dane dla CWU'!$H$43/365</f>
        <v>10.319026666666666</v>
      </c>
      <c r="H13" s="84">
        <f t="shared" si="3"/>
        <v>16531.2</v>
      </c>
      <c r="I13" s="84">
        <f t="shared" si="4"/>
        <v>10.319026666666666</v>
      </c>
      <c r="J13" s="84">
        <f t="shared" si="5"/>
        <v>3591.0212799999999</v>
      </c>
      <c r="K13" s="84">
        <f>'SCOP 221.A29'!DX16</f>
        <v>2.2445799457994577</v>
      </c>
      <c r="L13" s="84">
        <f>'SCOP 221.A29'!EA16</f>
        <v>2.8985507246376812</v>
      </c>
      <c r="M13" s="84">
        <f>'SCOP 221.A29'!EO16</f>
        <v>1.8786558805227127</v>
      </c>
      <c r="N13" s="84">
        <f t="shared" si="6"/>
        <v>404.02439024390225</v>
      </c>
      <c r="O13" s="84">
        <f t="shared" si="7"/>
        <v>56236.16009463161</v>
      </c>
      <c r="P13" s="133">
        <f t="shared" si="15"/>
        <v>3.4018195953488921</v>
      </c>
      <c r="Q13" s="84">
        <f t="shared" si="9"/>
        <v>521.7391304347824</v>
      </c>
      <c r="R13" s="84">
        <f t="shared" si="10"/>
        <v>74818.131146460946</v>
      </c>
      <c r="S13" s="133">
        <f t="shared" si="16"/>
        <v>4.5258741740745343</v>
      </c>
      <c r="T13" s="84">
        <f t="shared" si="12"/>
        <v>19.385900128604018</v>
      </c>
      <c r="U13" s="84">
        <f t="shared" si="13"/>
        <v>10058.576940231806</v>
      </c>
      <c r="V13" s="133">
        <f t="shared" si="17"/>
        <v>2.801035180786176</v>
      </c>
    </row>
    <row r="14" spans="2:22">
      <c r="B14" s="118">
        <v>-8</v>
      </c>
      <c r="C14" s="84">
        <f t="shared" si="0"/>
        <v>172.79999999999995</v>
      </c>
      <c r="D14" s="84">
        <f t="shared" si="1"/>
        <v>7.1999999999999886</v>
      </c>
      <c r="E14" s="130">
        <v>0</v>
      </c>
      <c r="F14" s="131">
        <f t="shared" si="2"/>
        <v>0</v>
      </c>
      <c r="G14" s="134">
        <f>'Dane dla CWU'!$H$43/365</f>
        <v>10.319026666666666</v>
      </c>
      <c r="H14" s="84">
        <f t="shared" si="3"/>
        <v>16351.200000000003</v>
      </c>
      <c r="I14" s="84">
        <f t="shared" si="4"/>
        <v>0</v>
      </c>
      <c r="J14" s="84">
        <f>I14+J15</f>
        <v>3580.7022533333334</v>
      </c>
      <c r="K14" s="84">
        <f>'SCOP 221.A29'!DX17</f>
        <v>2.8110661268556005</v>
      </c>
      <c r="L14" s="84">
        <f>'SCOP 221.A29'!EA17</f>
        <v>3.4255599472990776</v>
      </c>
      <c r="M14" s="84">
        <f>'SCOP 221.A29'!EO17</f>
        <v>1.9342064234487055</v>
      </c>
      <c r="N14" s="84">
        <f t="shared" si="6"/>
        <v>0</v>
      </c>
      <c r="O14" s="84">
        <f t="shared" si="7"/>
        <v>55832.135704387707</v>
      </c>
      <c r="P14" s="133">
        <f t="shared" si="15"/>
        <v>3.414558913375636</v>
      </c>
      <c r="Q14" s="84">
        <f t="shared" si="9"/>
        <v>0</v>
      </c>
      <c r="R14" s="84">
        <f t="shared" si="10"/>
        <v>74296.392016026162</v>
      </c>
      <c r="S14" s="133">
        <f t="shared" si="16"/>
        <v>4.5437883467896025</v>
      </c>
      <c r="T14" s="84">
        <f t="shared" si="12"/>
        <v>0</v>
      </c>
      <c r="U14" s="84">
        <f t="shared" si="13"/>
        <v>10039.191040103202</v>
      </c>
      <c r="V14" s="133">
        <f t="shared" si="17"/>
        <v>2.8036933343892407</v>
      </c>
    </row>
    <row r="15" spans="2:22">
      <c r="B15" s="118">
        <v>-7</v>
      </c>
      <c r="C15" s="84">
        <f t="shared" si="0"/>
        <v>165.59999999999997</v>
      </c>
      <c r="D15" s="84">
        <f t="shared" si="1"/>
        <v>7.1999999999999886</v>
      </c>
      <c r="E15" s="130">
        <v>1</v>
      </c>
      <c r="F15" s="131">
        <f t="shared" si="2"/>
        <v>165.59999999999997</v>
      </c>
      <c r="G15" s="134">
        <f>'Dane dla CWU'!$H$43/365</f>
        <v>10.319026666666666</v>
      </c>
      <c r="H15" s="84">
        <f t="shared" si="3"/>
        <v>16351.200000000003</v>
      </c>
      <c r="I15" s="84">
        <f t="shared" si="4"/>
        <v>10.319026666666666</v>
      </c>
      <c r="J15" s="84">
        <f t="shared" si="5"/>
        <v>3580.7022533333334</v>
      </c>
      <c r="K15" s="84">
        <f>'SCOP 221.A29'!DX18</f>
        <v>2.2042160737812915</v>
      </c>
      <c r="L15" s="84">
        <f>'SCOP 221.A29'!EA18</f>
        <v>3.225806451612903</v>
      </c>
      <c r="M15" s="84">
        <f>'SCOP 221.A29'!EO18</f>
        <v>1.99</v>
      </c>
      <c r="N15" s="84">
        <f t="shared" si="6"/>
        <v>365.0181818181818</v>
      </c>
      <c r="O15" s="84">
        <f t="shared" si="7"/>
        <v>55832.135704387707</v>
      </c>
      <c r="P15" s="133">
        <f t="shared" si="15"/>
        <v>3.414558913375636</v>
      </c>
      <c r="Q15" s="84">
        <f t="shared" si="9"/>
        <v>534.1935483870966</v>
      </c>
      <c r="R15" s="84">
        <f t="shared" si="10"/>
        <v>74296.392016026162</v>
      </c>
      <c r="S15" s="133">
        <f t="shared" si="16"/>
        <v>4.5437883467896025</v>
      </c>
      <c r="T15" s="84">
        <f t="shared" si="12"/>
        <v>20.534863066666666</v>
      </c>
      <c r="U15" s="84">
        <f t="shared" si="13"/>
        <v>10039.191040103202</v>
      </c>
      <c r="V15" s="133">
        <f t="shared" si="17"/>
        <v>2.8036933343892407</v>
      </c>
    </row>
    <row r="16" spans="2:22">
      <c r="B16" s="118">
        <v>-6</v>
      </c>
      <c r="C16" s="84">
        <f t="shared" si="0"/>
        <v>158.39999999999998</v>
      </c>
      <c r="D16" s="84">
        <f t="shared" si="1"/>
        <v>7.1999999999999886</v>
      </c>
      <c r="E16" s="130">
        <v>2</v>
      </c>
      <c r="F16" s="131">
        <f t="shared" si="2"/>
        <v>316.79999999999995</v>
      </c>
      <c r="G16" s="134">
        <f>'Dane dla CWU'!$H$43/365</f>
        <v>10.319026666666666</v>
      </c>
      <c r="H16" s="84">
        <f t="shared" si="3"/>
        <v>16185.600000000002</v>
      </c>
      <c r="I16" s="84">
        <f t="shared" si="4"/>
        <v>20.638053333333332</v>
      </c>
      <c r="J16" s="84">
        <f t="shared" si="5"/>
        <v>3570.3832266666668</v>
      </c>
      <c r="K16" s="84">
        <f>'SCOP 221.A29'!DX19</f>
        <v>2.247714808043876</v>
      </c>
      <c r="L16" s="84">
        <f>'SCOP 221.A29'!EA19</f>
        <v>3.283582089552239</v>
      </c>
      <c r="M16" s="84">
        <f>'SCOP 221.A29'!EO19</f>
        <v>2.0017191977077364</v>
      </c>
      <c r="N16" s="84">
        <f t="shared" si="6"/>
        <v>712.07605118829986</v>
      </c>
      <c r="O16" s="84">
        <f t="shared" si="7"/>
        <v>55467.117522569526</v>
      </c>
      <c r="P16" s="133">
        <f t="shared" si="15"/>
        <v>3.4269423143145463</v>
      </c>
      <c r="Q16" s="84">
        <f t="shared" si="9"/>
        <v>1040.2388059701491</v>
      </c>
      <c r="R16" s="84">
        <f t="shared" si="10"/>
        <v>73762.198467639071</v>
      </c>
      <c r="S16" s="133">
        <f t="shared" si="16"/>
        <v>4.5572730369982617</v>
      </c>
      <c r="T16" s="84">
        <f t="shared" si="12"/>
        <v>41.311587560649471</v>
      </c>
      <c r="U16" s="84">
        <f t="shared" si="13"/>
        <v>10018.656177036535</v>
      </c>
      <c r="V16" s="133">
        <f t="shared" si="17"/>
        <v>2.8060450492285161</v>
      </c>
    </row>
    <row r="17" spans="2:22">
      <c r="B17" s="118">
        <v>-5</v>
      </c>
      <c r="C17" s="84">
        <f t="shared" si="0"/>
        <v>151.19999999999999</v>
      </c>
      <c r="D17" s="84">
        <f t="shared" si="1"/>
        <v>7.1999999999999886</v>
      </c>
      <c r="E17" s="130">
        <v>3</v>
      </c>
      <c r="F17" s="131">
        <f t="shared" si="2"/>
        <v>453.59999999999997</v>
      </c>
      <c r="G17" s="134">
        <f>'Dane dla CWU'!$H$43/365</f>
        <v>10.319026666666666</v>
      </c>
      <c r="H17" s="84">
        <f t="shared" si="3"/>
        <v>15868.800000000003</v>
      </c>
      <c r="I17" s="84">
        <f t="shared" si="4"/>
        <v>30.957079999999998</v>
      </c>
      <c r="J17" s="84">
        <f t="shared" si="5"/>
        <v>3549.7451733333337</v>
      </c>
      <c r="K17" s="84">
        <f>'SCOP 221.A29'!DX20</f>
        <v>2.2949023344449744</v>
      </c>
      <c r="L17" s="84">
        <f>'SCOP 221.A29'!EA20</f>
        <v>3.3463035019455249</v>
      </c>
      <c r="M17" s="84">
        <f>'SCOP 221.A29'!EO20</f>
        <v>2.0142011834319526</v>
      </c>
      <c r="N17" s="84">
        <f t="shared" si="6"/>
        <v>1040.9676989042403</v>
      </c>
      <c r="O17" s="84">
        <f t="shared" si="7"/>
        <v>54755.041471381228</v>
      </c>
      <c r="P17" s="133">
        <f t="shared" si="15"/>
        <v>3.4504840612636882</v>
      </c>
      <c r="Q17" s="84">
        <f t="shared" si="9"/>
        <v>1517.8832684824899</v>
      </c>
      <c r="R17" s="84">
        <f t="shared" si="10"/>
        <v>72721.959661668923</v>
      </c>
      <c r="S17" s="133">
        <f t="shared" si="16"/>
        <v>4.5827006239708679</v>
      </c>
      <c r="T17" s="84">
        <f t="shared" si="12"/>
        <v>62.353787171597631</v>
      </c>
      <c r="U17" s="84">
        <f t="shared" si="13"/>
        <v>9977.3445894758861</v>
      </c>
      <c r="V17" s="133">
        <f t="shared" si="17"/>
        <v>2.8107213623187532</v>
      </c>
    </row>
    <row r="18" spans="2:22">
      <c r="B18" s="118">
        <v>-4</v>
      </c>
      <c r="C18" s="84">
        <f t="shared" si="0"/>
        <v>144</v>
      </c>
      <c r="D18" s="84">
        <f t="shared" si="1"/>
        <v>7.1999999999999886</v>
      </c>
      <c r="E18" s="130">
        <v>3</v>
      </c>
      <c r="F18" s="131">
        <f t="shared" si="2"/>
        <v>432</v>
      </c>
      <c r="G18" s="134">
        <f>'Dane dla CWU'!$H$43/365</f>
        <v>10.319026666666666</v>
      </c>
      <c r="H18" s="84">
        <f t="shared" si="3"/>
        <v>15415.200000000003</v>
      </c>
      <c r="I18" s="84">
        <f t="shared" si="4"/>
        <v>30.957079999999998</v>
      </c>
      <c r="J18" s="84">
        <f t="shared" si="5"/>
        <v>3518.7880933333336</v>
      </c>
      <c r="K18" s="84">
        <f>'SCOP 221.A29'!DX21</f>
        <v>2.3462686567164179</v>
      </c>
      <c r="L18" s="84">
        <f>'SCOP 221.A29'!EA21</f>
        <v>3.4146341463414633</v>
      </c>
      <c r="M18" s="84">
        <f>'SCOP 221.A29'!EO21</f>
        <v>2.0275229357798166</v>
      </c>
      <c r="N18" s="84">
        <f t="shared" si="6"/>
        <v>1013.5880597014925</v>
      </c>
      <c r="O18" s="84">
        <f t="shared" si="7"/>
        <v>53714.073772476986</v>
      </c>
      <c r="P18" s="133">
        <f t="shared" si="15"/>
        <v>3.4844876337950188</v>
      </c>
      <c r="Q18" s="84">
        <f t="shared" si="9"/>
        <v>1475.1219512195121</v>
      </c>
      <c r="R18" s="84">
        <f t="shared" si="10"/>
        <v>71204.076393186435</v>
      </c>
      <c r="S18" s="133">
        <f t="shared" si="16"/>
        <v>4.6190822300837109</v>
      </c>
      <c r="T18" s="84">
        <f t="shared" si="12"/>
        <v>62.766189724770641</v>
      </c>
      <c r="U18" s="84">
        <f t="shared" si="13"/>
        <v>9914.9908023042881</v>
      </c>
      <c r="V18" s="133">
        <f t="shared" si="17"/>
        <v>2.8177288712239155</v>
      </c>
    </row>
    <row r="19" spans="2:22">
      <c r="B19" s="118">
        <v>-3</v>
      </c>
      <c r="C19" s="84">
        <f t="shared" si="0"/>
        <v>136.80000000000001</v>
      </c>
      <c r="D19" s="84">
        <f t="shared" si="1"/>
        <v>7.1999999999999886</v>
      </c>
      <c r="E19" s="130">
        <v>4</v>
      </c>
      <c r="F19" s="131">
        <f t="shared" si="2"/>
        <v>547.20000000000005</v>
      </c>
      <c r="G19" s="134">
        <f>'Dane dla CWU'!$H$43/365</f>
        <v>10.319026666666666</v>
      </c>
      <c r="H19" s="84">
        <f t="shared" si="3"/>
        <v>14983.200000000003</v>
      </c>
      <c r="I19" s="84">
        <f t="shared" si="4"/>
        <v>41.276106666666664</v>
      </c>
      <c r="J19" s="84">
        <f t="shared" si="5"/>
        <v>3487.8310133333334</v>
      </c>
      <c r="K19" s="84">
        <f>'SCOP 221.A29'!DX22</f>
        <v>2.4023945861530454</v>
      </c>
      <c r="L19" s="84">
        <f>'SCOP 221.A29'!EA22</f>
        <v>3.4893617021276593</v>
      </c>
      <c r="M19" s="84">
        <f>'SCOP 221.A29'!EO22</f>
        <v>2.0417721518987344</v>
      </c>
      <c r="N19" s="84">
        <f t="shared" si="6"/>
        <v>1314.5903175429464</v>
      </c>
      <c r="O19" s="84">
        <f t="shared" si="7"/>
        <v>52700.485712775495</v>
      </c>
      <c r="P19" s="133">
        <f t="shared" si="15"/>
        <v>3.5173050958924321</v>
      </c>
      <c r="Q19" s="84">
        <f t="shared" si="9"/>
        <v>1909.3787234042554</v>
      </c>
      <c r="R19" s="84">
        <f t="shared" si="10"/>
        <v>69728.954441966926</v>
      </c>
      <c r="S19" s="133">
        <f t="shared" si="16"/>
        <v>4.6538092291344251</v>
      </c>
      <c r="T19" s="84">
        <f t="shared" si="12"/>
        <v>84.276405130801692</v>
      </c>
      <c r="U19" s="84">
        <f t="shared" si="13"/>
        <v>9852.2246125795173</v>
      </c>
      <c r="V19" s="133">
        <f t="shared" si="17"/>
        <v>2.8247425333728278</v>
      </c>
    </row>
    <row r="20" spans="2:22">
      <c r="B20" s="118">
        <v>-2</v>
      </c>
      <c r="C20" s="84">
        <f t="shared" si="0"/>
        <v>129.60000000000002</v>
      </c>
      <c r="D20" s="84">
        <f t="shared" si="1"/>
        <v>7.1999999999999886</v>
      </c>
      <c r="E20" s="130">
        <v>4</v>
      </c>
      <c r="F20" s="131">
        <f t="shared" si="2"/>
        <v>518.40000000000009</v>
      </c>
      <c r="G20" s="134">
        <f>'Dane dla CWU'!$H$43/365</f>
        <v>10.319026666666666</v>
      </c>
      <c r="H20" s="84">
        <f t="shared" si="3"/>
        <v>14436.000000000002</v>
      </c>
      <c r="I20" s="84">
        <f t="shared" si="4"/>
        <v>41.276106666666664</v>
      </c>
      <c r="J20" s="84">
        <f t="shared" si="5"/>
        <v>3446.5549066666667</v>
      </c>
      <c r="K20" s="84">
        <f>'SCOP 221.A29'!DX23</f>
        <v>2.4639737991266375</v>
      </c>
      <c r="L20" s="84">
        <f>'SCOP 221.A29'!EA23</f>
        <v>3.5714285714285716</v>
      </c>
      <c r="M20" s="84">
        <f>'SCOP 221.A29'!EO23</f>
        <v>2.0570491803278692</v>
      </c>
      <c r="N20" s="84">
        <f t="shared" si="6"/>
        <v>1277.3240174672492</v>
      </c>
      <c r="O20" s="84">
        <f t="shared" si="7"/>
        <v>51385.895395232546</v>
      </c>
      <c r="P20" s="133">
        <f t="shared" si="15"/>
        <v>3.559566042895022</v>
      </c>
      <c r="Q20" s="84">
        <f t="shared" si="9"/>
        <v>1851.4285714285718</v>
      </c>
      <c r="R20" s="84">
        <f t="shared" si="10"/>
        <v>67819.575718562672</v>
      </c>
      <c r="S20" s="133">
        <f t="shared" si="16"/>
        <v>4.6979478885122381</v>
      </c>
      <c r="T20" s="84">
        <f t="shared" si="12"/>
        <v>84.906981385792363</v>
      </c>
      <c r="U20" s="84">
        <f t="shared" si="13"/>
        <v>9767.948207448715</v>
      </c>
      <c r="V20" s="133">
        <f t="shared" si="17"/>
        <v>2.8341194241689247</v>
      </c>
    </row>
    <row r="21" spans="2:22">
      <c r="B21" s="118">
        <v>-1</v>
      </c>
      <c r="C21" s="84">
        <f t="shared" si="0"/>
        <v>122.40000000000003</v>
      </c>
      <c r="D21" s="84">
        <f t="shared" si="1"/>
        <v>7.2000000000000028</v>
      </c>
      <c r="E21" s="130">
        <v>8</v>
      </c>
      <c r="F21" s="131">
        <f t="shared" si="2"/>
        <v>979.20000000000027</v>
      </c>
      <c r="G21" s="134">
        <f>'Dane dla CWU'!$H$43/365</f>
        <v>10.319026666666666</v>
      </c>
      <c r="H21" s="84">
        <f t="shared" si="3"/>
        <v>13917.600000000002</v>
      </c>
      <c r="I21" s="84">
        <f t="shared" si="4"/>
        <v>82.552213333333327</v>
      </c>
      <c r="J21" s="84">
        <f t="shared" si="5"/>
        <v>3405.2788</v>
      </c>
      <c r="K21" s="84">
        <f>'SCOP 221.A29'!DX24</f>
        <v>2.53184165232358</v>
      </c>
      <c r="L21" s="84">
        <f>'SCOP 221.A29'!EA24</f>
        <v>3.6619718309859151</v>
      </c>
      <c r="M21" s="84">
        <f>'SCOP 221.A29'!EO24</f>
        <v>2.0734693877551025</v>
      </c>
      <c r="N21" s="84">
        <f t="shared" si="6"/>
        <v>2479.1793459552505</v>
      </c>
      <c r="O21" s="84">
        <f t="shared" si="7"/>
        <v>50108.5713777653</v>
      </c>
      <c r="P21" s="133">
        <f t="shared" si="15"/>
        <v>3.6003744451460951</v>
      </c>
      <c r="Q21" s="84">
        <f t="shared" si="9"/>
        <v>3585.8028169014092</v>
      </c>
      <c r="R21" s="84">
        <f t="shared" si="10"/>
        <v>65968.147147134106</v>
      </c>
      <c r="S21" s="133">
        <f t="shared" si="16"/>
        <v>4.7399082562463422</v>
      </c>
      <c r="T21" s="84">
        <f t="shared" si="12"/>
        <v>171.16948723809526</v>
      </c>
      <c r="U21" s="84">
        <f t="shared" si="13"/>
        <v>9683.0412260629219</v>
      </c>
      <c r="V21" s="133">
        <f t="shared" si="17"/>
        <v>2.8435384574276039</v>
      </c>
    </row>
    <row r="22" spans="2:22">
      <c r="B22" s="118">
        <v>0</v>
      </c>
      <c r="C22" s="84">
        <f t="shared" si="0"/>
        <v>115.20000000000003</v>
      </c>
      <c r="D22" s="84">
        <f t="shared" si="1"/>
        <v>7.2000000000000028</v>
      </c>
      <c r="E22" s="130">
        <v>17</v>
      </c>
      <c r="F22" s="131">
        <f t="shared" si="2"/>
        <v>1958.4000000000005</v>
      </c>
      <c r="G22" s="134">
        <f>'Dane dla CWU'!$H$43/365</f>
        <v>10.319026666666666</v>
      </c>
      <c r="H22" s="84">
        <f t="shared" si="3"/>
        <v>12938.400000000001</v>
      </c>
      <c r="I22" s="84">
        <f t="shared" si="4"/>
        <v>175.42345333333333</v>
      </c>
      <c r="J22" s="84">
        <f t="shared" si="5"/>
        <v>3322.7265866666667</v>
      </c>
      <c r="K22" s="84">
        <f>'SCOP 221.A29'!DX25</f>
        <v>2.6070133010882706</v>
      </c>
      <c r="L22" s="84">
        <f>'SCOP 221.A29'!EA25</f>
        <v>3.7623762376237626</v>
      </c>
      <c r="M22" s="84">
        <f>'SCOP 221.A29'!EO25</f>
        <v>2.0911660777385164</v>
      </c>
      <c r="N22" s="84">
        <f t="shared" si="6"/>
        <v>5105.5748488512709</v>
      </c>
      <c r="O22" s="84">
        <f t="shared" si="7"/>
        <v>47629.39203181005</v>
      </c>
      <c r="P22" s="133">
        <f t="shared" si="15"/>
        <v>3.6812428145528076</v>
      </c>
      <c r="Q22" s="84">
        <f t="shared" si="9"/>
        <v>7368.2376237623785</v>
      </c>
      <c r="R22" s="84">
        <f t="shared" si="10"/>
        <v>62382.344330232692</v>
      </c>
      <c r="S22" s="133">
        <f t="shared" si="16"/>
        <v>4.8214883084641595</v>
      </c>
      <c r="T22" s="84">
        <f t="shared" si="12"/>
        <v>366.8395748504123</v>
      </c>
      <c r="U22" s="84">
        <f t="shared" si="13"/>
        <v>9511.871738824826</v>
      </c>
      <c r="V22" s="133">
        <f t="shared" si="17"/>
        <v>2.8626706082269204</v>
      </c>
    </row>
    <row r="23" spans="2:22">
      <c r="B23" s="118">
        <v>1</v>
      </c>
      <c r="C23" s="84">
        <f t="shared" si="0"/>
        <v>108.00000000000003</v>
      </c>
      <c r="D23" s="84">
        <f t="shared" si="1"/>
        <v>7.2000000000000028</v>
      </c>
      <c r="E23" s="130">
        <v>7</v>
      </c>
      <c r="F23" s="131">
        <f t="shared" si="2"/>
        <v>756.00000000000023</v>
      </c>
      <c r="G23" s="134">
        <f>'Dane dla CWU'!$H$43/365</f>
        <v>10.319026666666666</v>
      </c>
      <c r="H23" s="84">
        <f t="shared" si="3"/>
        <v>10980</v>
      </c>
      <c r="I23" s="84">
        <f t="shared" si="4"/>
        <v>72.233186666666654</v>
      </c>
      <c r="J23" s="84">
        <f t="shared" si="5"/>
        <v>3147.3031333333333</v>
      </c>
      <c r="K23" s="84">
        <f>'SCOP 221.A29'!DX26</f>
        <v>2.69073482428115</v>
      </c>
      <c r="L23" s="84">
        <f>'SCOP 221.A29'!EA26</f>
        <v>3.8743455497382193</v>
      </c>
      <c r="M23" s="84">
        <f>'SCOP 221.A29'!EO26</f>
        <v>2.1102941176470593</v>
      </c>
      <c r="N23" s="84">
        <f t="shared" si="6"/>
        <v>2034.19552715655</v>
      </c>
      <c r="O23" s="84">
        <f t="shared" si="7"/>
        <v>42523.817182958781</v>
      </c>
      <c r="P23" s="133">
        <f t="shared" si="15"/>
        <v>3.8728430949871386</v>
      </c>
      <c r="Q23" s="84">
        <f t="shared" si="9"/>
        <v>2929.0052356020947</v>
      </c>
      <c r="R23" s="84">
        <f t="shared" si="10"/>
        <v>55014.106706470317</v>
      </c>
      <c r="S23" s="133">
        <f t="shared" si="16"/>
        <v>5.0103922319189724</v>
      </c>
      <c r="T23" s="84">
        <f t="shared" si="12"/>
        <v>152.43326892156864</v>
      </c>
      <c r="U23" s="84">
        <f t="shared" si="13"/>
        <v>9145.0321639744143</v>
      </c>
      <c r="V23" s="133">
        <f t="shared" si="17"/>
        <v>2.9056725000902088</v>
      </c>
    </row>
    <row r="24" spans="2:22">
      <c r="B24" s="118">
        <v>2</v>
      </c>
      <c r="C24" s="84">
        <f t="shared" si="0"/>
        <v>100.80000000000003</v>
      </c>
      <c r="D24" s="84">
        <f t="shared" si="1"/>
        <v>7.2000000000000028</v>
      </c>
      <c r="E24" s="130">
        <v>13</v>
      </c>
      <c r="F24" s="131">
        <f t="shared" si="2"/>
        <v>1310.4000000000003</v>
      </c>
      <c r="G24" s="134">
        <f>'Dane dla CWU'!$H$43/365</f>
        <v>10.319026666666666</v>
      </c>
      <c r="H24" s="84">
        <f t="shared" si="3"/>
        <v>10224</v>
      </c>
      <c r="I24" s="84">
        <f t="shared" si="4"/>
        <v>134.14734666666666</v>
      </c>
      <c r="J24" s="84">
        <f t="shared" si="5"/>
        <v>3075.0699466666665</v>
      </c>
      <c r="K24" s="84">
        <f>'SCOP 221.A29'!DX27</f>
        <v>2.7845528455284554</v>
      </c>
      <c r="L24" s="84">
        <f>'SCOP 221.A29'!EA27</f>
        <v>4</v>
      </c>
      <c r="M24" s="84">
        <f>'SCOP 221.A29'!EO27</f>
        <v>2.1310344827586207</v>
      </c>
      <c r="N24" s="84">
        <f t="shared" si="6"/>
        <v>3648.8780487804888</v>
      </c>
      <c r="O24" s="84">
        <f t="shared" si="7"/>
        <v>40489.621655802228</v>
      </c>
      <c r="P24" s="133">
        <f t="shared" si="15"/>
        <v>3.9602525093703274</v>
      </c>
      <c r="Q24" s="84">
        <f t="shared" si="9"/>
        <v>5241.6000000000013</v>
      </c>
      <c r="R24" s="84">
        <f t="shared" si="10"/>
        <v>52085.10147086822</v>
      </c>
      <c r="S24" s="133">
        <f t="shared" si="16"/>
        <v>5.0943956837703661</v>
      </c>
      <c r="T24" s="84">
        <f t="shared" si="12"/>
        <v>285.87262151724138</v>
      </c>
      <c r="U24" s="84">
        <f t="shared" si="13"/>
        <v>8992.5988950528463</v>
      </c>
      <c r="V24" s="133">
        <f t="shared" si="17"/>
        <v>2.9243558849126994</v>
      </c>
    </row>
    <row r="25" spans="2:22">
      <c r="B25" s="118">
        <v>3</v>
      </c>
      <c r="C25" s="84">
        <f t="shared" si="0"/>
        <v>93.600000000000023</v>
      </c>
      <c r="D25" s="84">
        <f t="shared" si="1"/>
        <v>7.2000000000000028</v>
      </c>
      <c r="E25" s="130">
        <v>15</v>
      </c>
      <c r="F25" s="131">
        <f t="shared" si="2"/>
        <v>1404.0000000000005</v>
      </c>
      <c r="G25" s="134">
        <f>'Dane dla CWU'!$H$43/365</f>
        <v>10.319026666666666</v>
      </c>
      <c r="H25" s="84">
        <f t="shared" si="3"/>
        <v>8913.6</v>
      </c>
      <c r="I25" s="84">
        <f t="shared" si="4"/>
        <v>154.78539999999998</v>
      </c>
      <c r="J25" s="84">
        <f t="shared" si="5"/>
        <v>2940.9225999999999</v>
      </c>
      <c r="K25" s="84">
        <f>'SCOP 221.A29'!DX28</f>
        <v>3.0525662251655632</v>
      </c>
      <c r="L25" s="84">
        <f>'SCOP 221.A29'!EA28</f>
        <v>4.5999999999999996</v>
      </c>
      <c r="M25" s="84">
        <f>'SCOP 221.A29'!EO28</f>
        <v>2.2271163110805228</v>
      </c>
      <c r="N25" s="84">
        <f t="shared" si="6"/>
        <v>4285.8029801324519</v>
      </c>
      <c r="O25" s="84">
        <f t="shared" si="7"/>
        <v>36840.743607021737</v>
      </c>
      <c r="P25" s="133">
        <f t="shared" si="15"/>
        <v>4.1330936554278557</v>
      </c>
      <c r="Q25" s="84">
        <f t="shared" si="9"/>
        <v>6458.4000000000015</v>
      </c>
      <c r="R25" s="84">
        <f t="shared" si="10"/>
        <v>46843.501470868221</v>
      </c>
      <c r="S25" s="133">
        <f t="shared" si="16"/>
        <v>5.2552842253262675</v>
      </c>
      <c r="T25" s="84">
        <f t="shared" si="12"/>
        <v>344.72508905712311</v>
      </c>
      <c r="U25" s="84">
        <f t="shared" si="13"/>
        <v>8706.7262735356053</v>
      </c>
      <c r="V25" s="133">
        <f t="shared" si="17"/>
        <v>2.960542475186394</v>
      </c>
    </row>
    <row r="26" spans="2:22">
      <c r="B26" s="118">
        <v>4</v>
      </c>
      <c r="C26" s="84">
        <f t="shared" si="0"/>
        <v>86.40000000000002</v>
      </c>
      <c r="D26" s="84">
        <f t="shared" si="1"/>
        <v>7.2000000000000028</v>
      </c>
      <c r="E26" s="130">
        <v>13</v>
      </c>
      <c r="F26" s="131">
        <f t="shared" si="2"/>
        <v>1123.2000000000003</v>
      </c>
      <c r="G26" s="134">
        <f>'Dane dla CWU'!$H$43/365</f>
        <v>10.319026666666666</v>
      </c>
      <c r="H26" s="84">
        <f t="shared" si="3"/>
        <v>7509.6</v>
      </c>
      <c r="I26" s="84">
        <f t="shared" si="4"/>
        <v>134.14734666666666</v>
      </c>
      <c r="J26" s="84">
        <f t="shared" si="5"/>
        <v>2786.1372000000001</v>
      </c>
      <c r="K26" s="84">
        <f>'SCOP 221.A29'!DX29</f>
        <v>3.3305227655986509</v>
      </c>
      <c r="L26" s="84">
        <f>'SCOP 221.A29'!EA29</f>
        <v>4.9000000000000004</v>
      </c>
      <c r="M26" s="84">
        <f>'SCOP 221.A29'!EO29</f>
        <v>2.3228021978021971</v>
      </c>
      <c r="N26" s="84">
        <f t="shared" si="6"/>
        <v>3740.8431703204055</v>
      </c>
      <c r="O26" s="84">
        <f t="shared" si="7"/>
        <v>32554.940626889289</v>
      </c>
      <c r="P26" s="133">
        <f t="shared" si="15"/>
        <v>4.3351098096954948</v>
      </c>
      <c r="Q26" s="84">
        <f t="shared" si="9"/>
        <v>5503.6800000000021</v>
      </c>
      <c r="R26" s="84">
        <f t="shared" si="10"/>
        <v>40385.10147086822</v>
      </c>
      <c r="S26" s="133">
        <f t="shared" si="16"/>
        <v>5.3777966164467106</v>
      </c>
      <c r="T26" s="84">
        <f t="shared" si="12"/>
        <v>311.59775166666657</v>
      </c>
      <c r="U26" s="84">
        <f t="shared" si="13"/>
        <v>8362.0011844784822</v>
      </c>
      <c r="V26" s="133">
        <f t="shared" si="17"/>
        <v>3.0012883731922755</v>
      </c>
    </row>
    <row r="27" spans="2:22">
      <c r="B27" s="118">
        <v>5</v>
      </c>
      <c r="C27" s="84">
        <f>C28+D28</f>
        <v>79.200000000000017</v>
      </c>
      <c r="D27" s="84">
        <f t="shared" si="1"/>
        <v>7.2000000000000028</v>
      </c>
      <c r="E27" s="130">
        <v>11</v>
      </c>
      <c r="F27" s="131">
        <f t="shared" si="2"/>
        <v>871.20000000000016</v>
      </c>
      <c r="G27" s="134">
        <f>'Dane dla CWU'!$H$43/365</f>
        <v>10.319026666666666</v>
      </c>
      <c r="H27" s="84">
        <f t="shared" si="3"/>
        <v>6386.4000000000005</v>
      </c>
      <c r="I27" s="84">
        <f t="shared" si="4"/>
        <v>113.50929333333332</v>
      </c>
      <c r="J27" s="84">
        <f t="shared" si="5"/>
        <v>2651.9898533333335</v>
      </c>
      <c r="K27" s="84">
        <f>'SCOP 221.A29'!DX30</f>
        <v>3.6189862542955327</v>
      </c>
      <c r="L27" s="84">
        <f>'SCOP 221.A29'!EA30</f>
        <v>5.2</v>
      </c>
      <c r="M27" s="84">
        <f>'SCOP 221.A29'!EO30</f>
        <v>2.4180945853324185</v>
      </c>
      <c r="N27" s="84">
        <f t="shared" si="6"/>
        <v>3152.8608247422685</v>
      </c>
      <c r="O27" s="84">
        <f t="shared" si="7"/>
        <v>28814.097456568885</v>
      </c>
      <c r="P27" s="133">
        <f t="shared" si="15"/>
        <v>4.5117902819380058</v>
      </c>
      <c r="Q27" s="84">
        <f t="shared" si="9"/>
        <v>4530.2400000000007</v>
      </c>
      <c r="R27" s="84">
        <f t="shared" si="10"/>
        <v>34881.421470868219</v>
      </c>
      <c r="S27" s="133">
        <f t="shared" si="16"/>
        <v>5.4618284903651846</v>
      </c>
      <c r="T27" s="84">
        <f t="shared" si="12"/>
        <v>274.47620759424251</v>
      </c>
      <c r="U27" s="84">
        <f t="shared" si="13"/>
        <v>8050.403432811815</v>
      </c>
      <c r="V27" s="133">
        <f t="shared" si="17"/>
        <v>3.0356086855660926</v>
      </c>
    </row>
    <row r="28" spans="2:22">
      <c r="B28" s="118">
        <v>6</v>
      </c>
      <c r="C28" s="84">
        <f>'SCOP 221.A26'!CJ28</f>
        <v>72.000000000000014</v>
      </c>
      <c r="D28" s="84">
        <f t="shared" si="1"/>
        <v>7.2000000000000028</v>
      </c>
      <c r="E28" s="130">
        <v>20</v>
      </c>
      <c r="F28" s="131">
        <f t="shared" si="2"/>
        <v>1440.0000000000002</v>
      </c>
      <c r="G28" s="134">
        <f>'Dane dla CWU'!$H$43/365</f>
        <v>10.319026666666666</v>
      </c>
      <c r="H28" s="84">
        <f t="shared" si="3"/>
        <v>5515.2000000000007</v>
      </c>
      <c r="I28" s="84">
        <f t="shared" si="4"/>
        <v>206.38053333333332</v>
      </c>
      <c r="J28" s="84">
        <f t="shared" si="5"/>
        <v>2538.48056</v>
      </c>
      <c r="K28" s="84">
        <f>'SCOP 221.A29'!DX31</f>
        <v>3.918563922942206</v>
      </c>
      <c r="L28" s="84">
        <f>'SCOP 221.A29'!EA31</f>
        <v>4.3</v>
      </c>
      <c r="M28" s="84">
        <f>'SCOP 221.A29'!EO31</f>
        <v>2.5129958960328307</v>
      </c>
      <c r="N28" s="84">
        <f t="shared" si="6"/>
        <v>5642.7320490367774</v>
      </c>
      <c r="O28" s="84">
        <f t="shared" si="7"/>
        <v>25661.236631826618</v>
      </c>
      <c r="P28" s="133">
        <f t="shared" si="15"/>
        <v>4.6528206831713472</v>
      </c>
      <c r="Q28" s="84">
        <f t="shared" si="9"/>
        <v>6192.0000000000009</v>
      </c>
      <c r="R28" s="84">
        <f t="shared" si="10"/>
        <v>30351.181470868221</v>
      </c>
      <c r="S28" s="133">
        <f t="shared" si="16"/>
        <v>5.5031878210886669</v>
      </c>
      <c r="T28" s="84">
        <f t="shared" si="12"/>
        <v>518.6334332877334</v>
      </c>
      <c r="U28" s="84">
        <f t="shared" si="13"/>
        <v>7775.9272252175724</v>
      </c>
      <c r="V28" s="133">
        <f t="shared" si="17"/>
        <v>3.0632211046822326</v>
      </c>
    </row>
    <row r="29" spans="2:22">
      <c r="B29" s="118">
        <v>7</v>
      </c>
      <c r="C29" s="84">
        <f>'SCOP 221.A26'!CJ13</f>
        <v>64.800000000000011</v>
      </c>
      <c r="D29" s="84">
        <f t="shared" si="1"/>
        <v>7.2000000000000028</v>
      </c>
      <c r="E29" s="130">
        <v>13</v>
      </c>
      <c r="F29" s="131">
        <f t="shared" si="2"/>
        <v>842.40000000000009</v>
      </c>
      <c r="G29" s="134">
        <f>'Dane dla CWU'!$H$43/365</f>
        <v>10.319026666666666</v>
      </c>
      <c r="H29" s="84">
        <f t="shared" si="3"/>
        <v>4075.2000000000007</v>
      </c>
      <c r="I29" s="84">
        <f t="shared" si="4"/>
        <v>134.14734666666666</v>
      </c>
      <c r="J29" s="84">
        <f t="shared" si="5"/>
        <v>2332.1000266666665</v>
      </c>
      <c r="K29" s="84">
        <f>'SCOP 221.A29'!DX32</f>
        <v>4.2299107142857135</v>
      </c>
      <c r="L29" s="84">
        <f>'SCOP 221.A29'!EA32</f>
        <v>5.5</v>
      </c>
      <c r="M29" s="84">
        <f>'SCOP 221.A29'!EO32</f>
        <v>2.6075085324232079</v>
      </c>
      <c r="N29" s="84">
        <f t="shared" si="6"/>
        <v>3563.2767857142853</v>
      </c>
      <c r="O29" s="84">
        <f t="shared" si="7"/>
        <v>20018.504582789839</v>
      </c>
      <c r="P29" s="133">
        <f t="shared" si="15"/>
        <v>4.912275368764683</v>
      </c>
      <c r="Q29" s="84">
        <f t="shared" si="9"/>
        <v>4633.2000000000007</v>
      </c>
      <c r="R29" s="84">
        <f t="shared" si="10"/>
        <v>24159.181470868221</v>
      </c>
      <c r="S29" s="133">
        <f t="shared" si="16"/>
        <v>5.9283425281871365</v>
      </c>
      <c r="T29" s="84">
        <f t="shared" si="12"/>
        <v>349.79035103526729</v>
      </c>
      <c r="U29" s="84">
        <f t="shared" si="13"/>
        <v>7257.2937919298392</v>
      </c>
      <c r="V29" s="133">
        <f t="shared" si="17"/>
        <v>3.1119136010228878</v>
      </c>
    </row>
    <row r="30" spans="2:22">
      <c r="B30" s="118">
        <v>8</v>
      </c>
      <c r="C30" s="84">
        <f>'SCOP 221.A26'!CJ15</f>
        <v>57.600000000000009</v>
      </c>
      <c r="D30" s="84">
        <f t="shared" si="1"/>
        <v>7.2000000000000028</v>
      </c>
      <c r="E30" s="130">
        <v>17</v>
      </c>
      <c r="F30" s="131">
        <f t="shared" si="2"/>
        <v>979.20000000000016</v>
      </c>
      <c r="G30" s="134">
        <f>'Dane dla CWU'!$H$43/365</f>
        <v>10.319026666666666</v>
      </c>
      <c r="H30" s="84">
        <f t="shared" si="3"/>
        <v>3232.8000000000006</v>
      </c>
      <c r="I30" s="84">
        <f t="shared" si="4"/>
        <v>175.42345333333333</v>
      </c>
      <c r="J30" s="84">
        <f t="shared" si="5"/>
        <v>2197.9526799999999</v>
      </c>
      <c r="K30" s="84">
        <f>'SCOP 221.A29'!DX33</f>
        <v>4.560371517027864</v>
      </c>
      <c r="L30" s="84">
        <f>'SCOP 221.A29'!EA33</f>
        <v>5.6856187290969897</v>
      </c>
      <c r="M30" s="84">
        <f>'SCOP 221.A29'!EO33</f>
        <v>2.6628571428571424</v>
      </c>
      <c r="N30" s="84">
        <f t="shared" si="6"/>
        <v>4465.5157894736849</v>
      </c>
      <c r="O30" s="84">
        <f t="shared" si="7"/>
        <v>16455.227797075553</v>
      </c>
      <c r="P30" s="133">
        <f t="shared" si="15"/>
        <v>5.0900853121367078</v>
      </c>
      <c r="Q30" s="84">
        <f t="shared" si="9"/>
        <v>5567.3578595317731</v>
      </c>
      <c r="R30" s="84">
        <f t="shared" si="10"/>
        <v>19525.981470868221</v>
      </c>
      <c r="S30" s="133">
        <f t="shared" si="16"/>
        <v>6.0399596235053874</v>
      </c>
      <c r="T30" s="84">
        <f t="shared" si="12"/>
        <v>467.12759573333324</v>
      </c>
      <c r="U30" s="84">
        <f t="shared" si="13"/>
        <v>6907.5034408945721</v>
      </c>
      <c r="V30" s="133">
        <f t="shared" si="17"/>
        <v>3.142698886899864</v>
      </c>
    </row>
    <row r="31" spans="2:22">
      <c r="B31" s="118">
        <v>9</v>
      </c>
      <c r="C31" s="84">
        <f>'SCOP 221.A26'!CJ19</f>
        <v>50.400000000000006</v>
      </c>
      <c r="D31" s="84">
        <f t="shared" si="1"/>
        <v>7.2000000000000028</v>
      </c>
      <c r="E31" s="130">
        <v>9</v>
      </c>
      <c r="F31" s="131">
        <f t="shared" si="2"/>
        <v>453.6</v>
      </c>
      <c r="G31" s="134">
        <f>'Dane dla CWU'!$H$43/365</f>
        <v>10.319026666666666</v>
      </c>
      <c r="H31" s="84">
        <f t="shared" si="3"/>
        <v>2253.6000000000004</v>
      </c>
      <c r="I31" s="84">
        <f t="shared" si="4"/>
        <v>92.87124</v>
      </c>
      <c r="J31" s="84">
        <f t="shared" si="5"/>
        <v>2022.5292266666665</v>
      </c>
      <c r="K31" s="84">
        <f>'SCOP 221.A29'!DX34</f>
        <v>4.9185483870967737</v>
      </c>
      <c r="L31" s="84">
        <f>'SCOP 221.A29'!EA34</f>
        <v>5.8724832214765099</v>
      </c>
      <c r="M31" s="84">
        <f>'SCOP 221.A29'!EO34</f>
        <v>2.7187141216991959</v>
      </c>
      <c r="N31" s="84">
        <f t="shared" si="6"/>
        <v>2231.0535483870967</v>
      </c>
      <c r="O31" s="84">
        <f t="shared" si="7"/>
        <v>11989.712007601867</v>
      </c>
      <c r="P31" s="133">
        <f t="shared" si="15"/>
        <v>5.3202484946760142</v>
      </c>
      <c r="Q31" s="84">
        <f t="shared" si="9"/>
        <v>2663.7583892617449</v>
      </c>
      <c r="R31" s="84">
        <f t="shared" si="10"/>
        <v>13958.623611336447</v>
      </c>
      <c r="S31" s="133">
        <f t="shared" si="16"/>
        <v>6.1939224402451387</v>
      </c>
      <c r="T31" s="84">
        <f t="shared" si="12"/>
        <v>252.49035168771522</v>
      </c>
      <c r="U31" s="84">
        <f t="shared" si="13"/>
        <v>6440.3758451612393</v>
      </c>
      <c r="V31" s="133">
        <f t="shared" si="17"/>
        <v>3.1843178136790797</v>
      </c>
    </row>
    <row r="32" spans="2:22">
      <c r="B32" s="118">
        <v>10</v>
      </c>
      <c r="C32" s="84">
        <f>'SCOP 221.A26'!BY25</f>
        <v>43.2</v>
      </c>
      <c r="D32" s="84">
        <f t="shared" si="1"/>
        <v>7.2000000000000028</v>
      </c>
      <c r="E32" s="130">
        <v>17</v>
      </c>
      <c r="F32" s="131">
        <f t="shared" si="2"/>
        <v>734.40000000000009</v>
      </c>
      <c r="G32" s="134">
        <f>'Dane dla CWU'!$H$43/365</f>
        <v>10.319026666666666</v>
      </c>
      <c r="H32" s="84">
        <f t="shared" si="3"/>
        <v>1800.0000000000005</v>
      </c>
      <c r="I32" s="84">
        <f t="shared" si="4"/>
        <v>175.42345333333333</v>
      </c>
      <c r="J32" s="84">
        <f t="shared" si="5"/>
        <v>1929.6579866666666</v>
      </c>
      <c r="K32" s="84">
        <f>'SCOP 221.A29'!DX35</f>
        <v>5.308080808080808</v>
      </c>
      <c r="L32" s="84">
        <f>'SCOP 221.A29'!EA35</f>
        <v>6.0606060606060606</v>
      </c>
      <c r="M32" s="84">
        <f>'SCOP 221.A29'!EO35</f>
        <v>2.7750865051903113</v>
      </c>
      <c r="N32" s="84">
        <f t="shared" si="6"/>
        <v>3898.2545454545457</v>
      </c>
      <c r="O32" s="84">
        <f t="shared" si="7"/>
        <v>9758.6584592147701</v>
      </c>
      <c r="P32" s="133">
        <f t="shared" si="15"/>
        <v>5.421476921785982</v>
      </c>
      <c r="Q32" s="84">
        <f t="shared" si="9"/>
        <v>4450.909090909091</v>
      </c>
      <c r="R32" s="84">
        <f t="shared" si="10"/>
        <v>11294.865222074703</v>
      </c>
      <c r="S32" s="133">
        <f t="shared" si="16"/>
        <v>6.2749251233748335</v>
      </c>
      <c r="T32" s="84">
        <f t="shared" si="12"/>
        <v>486.81525803921568</v>
      </c>
      <c r="U32" s="84">
        <f t="shared" si="13"/>
        <v>6187.8854934735245</v>
      </c>
      <c r="V32" s="133">
        <f t="shared" si="17"/>
        <v>3.2067265475176838</v>
      </c>
    </row>
    <row r="33" spans="2:22">
      <c r="B33" s="118">
        <v>11</v>
      </c>
      <c r="C33" s="84">
        <f>'SCOP 221.A26'!CJ3</f>
        <v>36</v>
      </c>
      <c r="D33" s="84">
        <f t="shared" si="1"/>
        <v>7.1999999999999886</v>
      </c>
      <c r="E33" s="130">
        <v>10</v>
      </c>
      <c r="F33" s="131">
        <f t="shared" si="2"/>
        <v>360</v>
      </c>
      <c r="G33" s="134">
        <f>'Dane dla CWU'!$H$43/365</f>
        <v>10.319026666666666</v>
      </c>
      <c r="H33" s="84">
        <f t="shared" si="3"/>
        <v>1065.6000000000004</v>
      </c>
      <c r="I33" s="84">
        <f t="shared" si="4"/>
        <v>103.19026666666666</v>
      </c>
      <c r="J33" s="84">
        <f t="shared" si="5"/>
        <v>1754.2345333333333</v>
      </c>
      <c r="K33" s="84">
        <f>'SCOP 221.A29'!DX36</f>
        <v>5.3884381338742395</v>
      </c>
      <c r="L33" s="84">
        <f>'SCOP 221.A29'!EA36</f>
        <v>6.335078534031414</v>
      </c>
      <c r="M33" s="84">
        <f>'SCOP 221.A29'!EO36</f>
        <v>2.832811956899548</v>
      </c>
      <c r="N33" s="84">
        <f t="shared" si="6"/>
        <v>1939.8377281947262</v>
      </c>
      <c r="O33" s="84">
        <f t="shared" si="7"/>
        <v>5860.4039137602249</v>
      </c>
      <c r="P33" s="133">
        <f t="shared" si="15"/>
        <v>5.4996282974476562</v>
      </c>
      <c r="Q33" s="84">
        <f t="shared" si="9"/>
        <v>2280.6282722513092</v>
      </c>
      <c r="R33" s="84">
        <f t="shared" si="10"/>
        <v>6843.9561311656125</v>
      </c>
      <c r="S33" s="133">
        <f t="shared" si="16"/>
        <v>6.422631504472232</v>
      </c>
      <c r="T33" s="84">
        <f t="shared" si="12"/>
        <v>292.31862124898618</v>
      </c>
      <c r="U33" s="84">
        <f t="shared" si="13"/>
        <v>5701.0702354343093</v>
      </c>
      <c r="V33" s="133">
        <f t="shared" si="17"/>
        <v>3.2498905517504215</v>
      </c>
    </row>
    <row r="34" spans="2:22">
      <c r="B34" s="118">
        <v>12</v>
      </c>
      <c r="C34" s="84">
        <f>'SCOP 221.A26'!CJ7</f>
        <v>28.800000000000011</v>
      </c>
      <c r="D34" s="84">
        <f t="shared" si="1"/>
        <v>7.2000000000000028</v>
      </c>
      <c r="E34" s="130">
        <v>7</v>
      </c>
      <c r="F34" s="131">
        <f t="shared" si="2"/>
        <v>201.60000000000008</v>
      </c>
      <c r="G34" s="134">
        <f>'Dane dla CWU'!$H$43/365</f>
        <v>10.319026666666666</v>
      </c>
      <c r="H34" s="84">
        <f t="shared" si="3"/>
        <v>705.60000000000036</v>
      </c>
      <c r="I34" s="84">
        <f t="shared" si="4"/>
        <v>72.233186666666654</v>
      </c>
      <c r="J34" s="84">
        <f t="shared" si="5"/>
        <v>1651.0442666666665</v>
      </c>
      <c r="K34" s="84">
        <f>'SCOP 221.A29'!DX37</f>
        <v>5.4694501018329937</v>
      </c>
      <c r="L34" s="84">
        <f>'SCOP 221.A29'!EA37</f>
        <v>6.3874345549738223</v>
      </c>
      <c r="M34" s="84">
        <f>'SCOP 221.A29'!EO37</f>
        <v>2.8910614525139664</v>
      </c>
      <c r="N34" s="84">
        <f t="shared" si="6"/>
        <v>1102.6411405295319</v>
      </c>
      <c r="O34" s="84">
        <f t="shared" si="7"/>
        <v>3920.5661855654989</v>
      </c>
      <c r="P34" s="133">
        <f t="shared" si="15"/>
        <v>5.5563579727402166</v>
      </c>
      <c r="Q34" s="84">
        <f t="shared" si="9"/>
        <v>1287.7068062827232</v>
      </c>
      <c r="R34" s="84">
        <f t="shared" si="10"/>
        <v>4563.3278589143038</v>
      </c>
      <c r="S34" s="133">
        <f t="shared" si="16"/>
        <v>6.4673013873502008</v>
      </c>
      <c r="T34" s="84">
        <f t="shared" si="12"/>
        <v>208.83058156424576</v>
      </c>
      <c r="U34" s="84">
        <f t="shared" si="13"/>
        <v>5408.751614185323</v>
      </c>
      <c r="V34" s="133">
        <f t="shared" si="17"/>
        <v>3.2759579639286009</v>
      </c>
    </row>
    <row r="35" spans="2:22">
      <c r="B35" s="118">
        <v>13</v>
      </c>
      <c r="C35" s="84">
        <f>'SCOP 221.A26'!BY26</f>
        <v>21.600000000000009</v>
      </c>
      <c r="D35" s="84">
        <f t="shared" si="1"/>
        <v>7.2000000000000028</v>
      </c>
      <c r="E35" s="130">
        <v>12</v>
      </c>
      <c r="F35" s="131">
        <f t="shared" si="2"/>
        <v>259.2000000000001</v>
      </c>
      <c r="G35" s="134">
        <f>'Dane dla CWU'!$H$43/365</f>
        <v>10.319026666666666</v>
      </c>
      <c r="H35" s="84">
        <f t="shared" si="3"/>
        <v>504.00000000000023</v>
      </c>
      <c r="I35" s="84">
        <f t="shared" si="4"/>
        <v>123.82831999999999</v>
      </c>
      <c r="J35" s="84">
        <f t="shared" si="5"/>
        <v>1578.8110799999999</v>
      </c>
      <c r="K35" s="84">
        <f>'SCOP 221.A29'!DX38</f>
        <v>5.5511247443762786</v>
      </c>
      <c r="L35" s="84">
        <f>'SCOP 221.A29'!EA38</f>
        <v>6.4736842105263168</v>
      </c>
      <c r="M35" s="84">
        <f>'SCOP 221.A29'!EO38</f>
        <v>2.949842160645388</v>
      </c>
      <c r="N35" s="84">
        <f t="shared" si="6"/>
        <v>1438.8515337423319</v>
      </c>
      <c r="O35" s="84">
        <f t="shared" si="7"/>
        <v>2817.9250450359668</v>
      </c>
      <c r="P35" s="133">
        <f t="shared" si="15"/>
        <v>5.5911211211031064</v>
      </c>
      <c r="Q35" s="84">
        <f t="shared" si="9"/>
        <v>1677.978947368422</v>
      </c>
      <c r="R35" s="84">
        <f t="shared" si="10"/>
        <v>3275.6210526315808</v>
      </c>
      <c r="S35" s="133">
        <f t="shared" si="16"/>
        <v>6.4992481203007531</v>
      </c>
      <c r="T35" s="84">
        <f t="shared" si="12"/>
        <v>365.27399901788846</v>
      </c>
      <c r="U35" s="84">
        <f t="shared" si="13"/>
        <v>5199.9210326210768</v>
      </c>
      <c r="V35" s="133">
        <f t="shared" si="17"/>
        <v>3.2935676082416885</v>
      </c>
    </row>
    <row r="36" spans="2:22">
      <c r="B36" s="118">
        <v>14</v>
      </c>
      <c r="C36" s="84">
        <f>'SCOP 221.A26'!BY30</f>
        <v>14.400000000000006</v>
      </c>
      <c r="D36" s="84">
        <f>C36-C37</f>
        <v>14.400000000000006</v>
      </c>
      <c r="E36" s="130">
        <v>17</v>
      </c>
      <c r="F36" s="131">
        <f t="shared" si="2"/>
        <v>244.8000000000001</v>
      </c>
      <c r="G36" s="134">
        <f>'Dane dla CWU'!$H$43/365</f>
        <v>10.319026666666666</v>
      </c>
      <c r="H36" s="84">
        <f>F36+H37</f>
        <v>244.8000000000001</v>
      </c>
      <c r="I36" s="84">
        <f t="shared" si="4"/>
        <v>175.42345333333333</v>
      </c>
      <c r="J36" s="84">
        <f t="shared" si="5"/>
        <v>1454.9827599999999</v>
      </c>
      <c r="K36" s="84">
        <f>'SCOP 221.A29'!DX39</f>
        <v>5.6334702258726903</v>
      </c>
      <c r="L36" s="84">
        <f>'SCOP 221.A29'!EA39</f>
        <v>6.526315789473685</v>
      </c>
      <c r="M36" s="84">
        <f>'SCOP 221.A29'!EO39</f>
        <v>3.0091613812544047</v>
      </c>
      <c r="N36" s="84">
        <f t="shared" si="6"/>
        <v>1379.0735112936352</v>
      </c>
      <c r="O36" s="84">
        <f>O37+N36</f>
        <v>1379.0735112936352</v>
      </c>
      <c r="P36" s="133">
        <f t="shared" si="15"/>
        <v>5.6334702258726903</v>
      </c>
      <c r="Q36" s="84">
        <f t="shared" si="9"/>
        <v>1597.6421052631588</v>
      </c>
      <c r="R36" s="84">
        <f>R37+Q36</f>
        <v>1597.6421052631588</v>
      </c>
      <c r="S36" s="133">
        <f t="shared" si="16"/>
        <v>6.526315789473685</v>
      </c>
      <c r="T36" s="84">
        <f>I36*M36</f>
        <v>527.87748113695091</v>
      </c>
      <c r="U36" s="84">
        <f>U37+T36</f>
        <v>4834.647033603188</v>
      </c>
      <c r="V36" s="133">
        <f t="shared" si="17"/>
        <v>3.3228208378243522</v>
      </c>
    </row>
    <row r="37" spans="2:22">
      <c r="B37" s="118">
        <v>15</v>
      </c>
      <c r="C37" s="84">
        <v>0</v>
      </c>
      <c r="D37" s="84"/>
      <c r="E37" s="130">
        <v>8</v>
      </c>
      <c r="F37" s="131">
        <f t="shared" si="2"/>
        <v>0</v>
      </c>
      <c r="G37" s="134">
        <f>'Dane dla CWU'!$H$43/365</f>
        <v>10.319026666666666</v>
      </c>
      <c r="H37" s="84">
        <f>F37</f>
        <v>0</v>
      </c>
      <c r="I37" s="84">
        <f t="shared" si="4"/>
        <v>82.552213333333327</v>
      </c>
      <c r="J37" s="84">
        <f t="shared" si="5"/>
        <v>1279.5593066666665</v>
      </c>
      <c r="K37" s="84">
        <f>'SCOP 221.A29'!DX40</f>
        <v>5.7164948453608249</v>
      </c>
      <c r="L37" s="84">
        <f>'SCOP 221.A29'!EA40</f>
        <v>6.5789473684210531</v>
      </c>
      <c r="M37" s="84">
        <f>'SCOP 221.A29'!EO40</f>
        <v>3.069026548672567</v>
      </c>
      <c r="N37" s="84">
        <f t="shared" si="6"/>
        <v>0</v>
      </c>
      <c r="O37" s="84">
        <f>N37</f>
        <v>0</v>
      </c>
      <c r="P37" s="133">
        <f>P36</f>
        <v>5.6334702258726903</v>
      </c>
      <c r="Q37" s="84">
        <f>F37*L37</f>
        <v>0</v>
      </c>
      <c r="R37" s="84">
        <f>Q37</f>
        <v>0</v>
      </c>
      <c r="S37" s="133">
        <f>S36</f>
        <v>6.526315789473685</v>
      </c>
      <c r="T37" s="84">
        <f t="shared" ref="T37:T50" si="18">I37*M37</f>
        <v>253.35493437168145</v>
      </c>
      <c r="U37" s="84">
        <f t="shared" ref="U37:U49" si="19">U38+T37</f>
        <v>4306.7695524662367</v>
      </c>
      <c r="V37" s="133">
        <f t="shared" si="17"/>
        <v>3.3658225375153932</v>
      </c>
    </row>
    <row r="38" spans="2:22">
      <c r="B38" s="118">
        <v>16</v>
      </c>
      <c r="E38" s="130">
        <v>15</v>
      </c>
      <c r="G38" s="134">
        <f>'Dane dla CWU'!$H$43/365</f>
        <v>10.319026666666666</v>
      </c>
      <c r="I38" s="84">
        <f t="shared" si="4"/>
        <v>154.78539999999998</v>
      </c>
      <c r="J38" s="84">
        <f t="shared" si="5"/>
        <v>1197.0070933333332</v>
      </c>
      <c r="M38" s="84">
        <f>'SCOP 221.A29'!EO41</f>
        <v>3.1294452347083932</v>
      </c>
      <c r="T38" s="84">
        <f t="shared" si="18"/>
        <v>484.39243243243249</v>
      </c>
      <c r="U38" s="84">
        <f t="shared" si="19"/>
        <v>4053.4146180945554</v>
      </c>
      <c r="V38" s="133">
        <f t="shared" si="17"/>
        <v>3.3862912264011058</v>
      </c>
    </row>
    <row r="39" spans="2:22">
      <c r="B39" s="118">
        <v>17</v>
      </c>
      <c r="E39" s="130">
        <v>19</v>
      </c>
      <c r="G39" s="134">
        <f>'Dane dla CWU'!$H$43/365</f>
        <v>10.319026666666666</v>
      </c>
      <c r="I39" s="84">
        <f t="shared" si="4"/>
        <v>196.06150666666665</v>
      </c>
      <c r="J39" s="84">
        <f t="shared" si="5"/>
        <v>1042.2216933333332</v>
      </c>
      <c r="M39" s="84">
        <f>'SCOP 221.A29'!EO42</f>
        <v>3.1904251518399436</v>
      </c>
      <c r="T39" s="84">
        <f t="shared" si="18"/>
        <v>625.51956217696807</v>
      </c>
      <c r="U39" s="84">
        <f t="shared" si="19"/>
        <v>3569.0221856621229</v>
      </c>
      <c r="V39" s="133">
        <f t="shared" si="17"/>
        <v>3.4244366707119043</v>
      </c>
    </row>
    <row r="40" spans="2:22">
      <c r="B40" s="118">
        <v>18</v>
      </c>
      <c r="E40" s="130">
        <v>12</v>
      </c>
      <c r="G40" s="134">
        <f>'Dane dla CWU'!$H$43/365</f>
        <v>10.319026666666666</v>
      </c>
      <c r="I40" s="84">
        <f t="shared" si="4"/>
        <v>123.82831999999999</v>
      </c>
      <c r="J40" s="84">
        <f t="shared" si="5"/>
        <v>846.1601866666665</v>
      </c>
      <c r="M40" s="84">
        <f>'SCOP 221.A29'!EO43</f>
        <v>3.2519741564967708</v>
      </c>
      <c r="T40" s="84">
        <f t="shared" si="18"/>
        <v>402.68649648241217</v>
      </c>
      <c r="U40" s="84">
        <f t="shared" si="19"/>
        <v>2943.5026234851548</v>
      </c>
      <c r="V40" s="133">
        <f t="shared" si="17"/>
        <v>3.4786588519139441</v>
      </c>
    </row>
    <row r="41" spans="2:22">
      <c r="B41" s="118">
        <v>19</v>
      </c>
      <c r="E41" s="130">
        <v>13</v>
      </c>
      <c r="G41" s="134">
        <f>'Dane dla CWU'!$H$43/365</f>
        <v>10.319026666666666</v>
      </c>
      <c r="I41" s="84">
        <f t="shared" si="4"/>
        <v>134.14734666666666</v>
      </c>
      <c r="J41" s="84">
        <f t="shared" si="5"/>
        <v>722.33186666666654</v>
      </c>
      <c r="M41" s="84">
        <f>'SCOP 221.A29'!EO44</f>
        <v>3.314100252434188</v>
      </c>
      <c r="T41" s="84">
        <f t="shared" si="18"/>
        <v>444.5777554513765</v>
      </c>
      <c r="U41" s="84">
        <f t="shared" si="19"/>
        <v>2540.8161270027426</v>
      </c>
      <c r="V41" s="133">
        <f t="shared" si="17"/>
        <v>3.517519085414031</v>
      </c>
    </row>
    <row r="42" spans="2:22">
      <c r="B42" s="118">
        <v>20</v>
      </c>
      <c r="E42" s="130">
        <v>10</v>
      </c>
      <c r="G42" s="134">
        <f>'Dane dla CWU'!$H$43/365</f>
        <v>10.319026666666666</v>
      </c>
      <c r="I42" s="84">
        <f t="shared" si="4"/>
        <v>103.19026666666666</v>
      </c>
      <c r="J42" s="84">
        <f t="shared" si="5"/>
        <v>588.18451999999991</v>
      </c>
      <c r="M42" s="84">
        <f>'SCOP 221.A29'!EO45</f>
        <v>3.3768115942028989</v>
      </c>
      <c r="T42" s="84">
        <f t="shared" si="18"/>
        <v>348.45408888888892</v>
      </c>
      <c r="U42" s="84">
        <f t="shared" si="19"/>
        <v>2096.2383715513661</v>
      </c>
      <c r="V42" s="133">
        <f t="shared" si="17"/>
        <v>3.5639128543392582</v>
      </c>
    </row>
    <row r="43" spans="2:22">
      <c r="B43" s="118">
        <v>21</v>
      </c>
      <c r="E43" s="130">
        <v>15</v>
      </c>
      <c r="G43" s="134">
        <f>'Dane dla CWU'!$H$43/365</f>
        <v>10.319026666666666</v>
      </c>
      <c r="I43" s="84">
        <f t="shared" si="4"/>
        <v>154.78539999999998</v>
      </c>
      <c r="J43" s="84">
        <f t="shared" si="5"/>
        <v>484.99425333333329</v>
      </c>
      <c r="M43" s="84">
        <f>'SCOP 221.A29'!EO46</f>
        <v>3.4555808656036446</v>
      </c>
      <c r="T43" s="84">
        <f t="shared" si="18"/>
        <v>534.8734665148063</v>
      </c>
      <c r="U43" s="84">
        <f t="shared" si="19"/>
        <v>1747.7842826624774</v>
      </c>
      <c r="V43" s="133">
        <f t="shared" si="17"/>
        <v>3.6037216330916748</v>
      </c>
    </row>
    <row r="44" spans="2:22">
      <c r="B44" s="118">
        <v>22</v>
      </c>
      <c r="E44" s="130">
        <v>9</v>
      </c>
      <c r="G44" s="134">
        <f>'Dane dla CWU'!$H$43/365</f>
        <v>10.319026666666666</v>
      </c>
      <c r="I44" s="84">
        <f t="shared" si="4"/>
        <v>92.87124</v>
      </c>
      <c r="J44" s="84">
        <f t="shared" si="5"/>
        <v>330.20885333333331</v>
      </c>
      <c r="M44" s="84">
        <f>'SCOP 221.A29'!EO47</f>
        <v>3.5352887259395045</v>
      </c>
      <c r="T44" s="84">
        <f t="shared" si="18"/>
        <v>328.32664773602193</v>
      </c>
      <c r="U44" s="84">
        <f t="shared" si="19"/>
        <v>1212.9108161476711</v>
      </c>
      <c r="V44" s="133">
        <f t="shared" si="17"/>
        <v>3.6731626178516894</v>
      </c>
    </row>
    <row r="45" spans="2:22">
      <c r="B45" s="118">
        <v>23</v>
      </c>
      <c r="E45" s="130">
        <v>9</v>
      </c>
      <c r="G45" s="134">
        <f>'Dane dla CWU'!$H$43/365</f>
        <v>10.319026666666666</v>
      </c>
      <c r="I45" s="84">
        <f t="shared" si="4"/>
        <v>92.87124</v>
      </c>
      <c r="J45" s="84">
        <f t="shared" si="5"/>
        <v>237.33761333333331</v>
      </c>
      <c r="M45" s="84">
        <f>'SCOP 221.A29'!EO48</f>
        <v>3.6159520516366976</v>
      </c>
      <c r="T45" s="84">
        <f t="shared" si="18"/>
        <v>335.81795081604412</v>
      </c>
      <c r="U45" s="84">
        <f t="shared" si="19"/>
        <v>884.5841684116491</v>
      </c>
      <c r="V45" s="133">
        <f t="shared" si="17"/>
        <v>3.7271132712086308</v>
      </c>
    </row>
    <row r="46" spans="2:22">
      <c r="B46" s="118">
        <v>24</v>
      </c>
      <c r="E46" s="130">
        <v>3</v>
      </c>
      <c r="G46" s="134">
        <f>'Dane dla CWU'!$H$43/365</f>
        <v>10.319026666666666</v>
      </c>
      <c r="I46" s="84">
        <f t="shared" si="4"/>
        <v>30.957079999999998</v>
      </c>
      <c r="J46" s="84">
        <f t="shared" si="5"/>
        <v>144.46637333333331</v>
      </c>
      <c r="M46" s="84">
        <f>'SCOP 221.A29'!EO49</f>
        <v>3.6975881261595531</v>
      </c>
      <c r="T46" s="84">
        <f t="shared" si="18"/>
        <v>114.46653142857137</v>
      </c>
      <c r="U46" s="84">
        <f t="shared" si="19"/>
        <v>548.76621759560499</v>
      </c>
      <c r="V46" s="133">
        <f t="shared" si="17"/>
        <v>3.7985740552191598</v>
      </c>
    </row>
    <row r="47" spans="2:22">
      <c r="B47" s="118">
        <v>25</v>
      </c>
      <c r="E47" s="130">
        <v>7</v>
      </c>
      <c r="G47" s="134">
        <f>'Dane dla CWU'!$H$43/365</f>
        <v>10.319026666666666</v>
      </c>
      <c r="I47" s="84">
        <f t="shared" si="4"/>
        <v>72.233186666666654</v>
      </c>
      <c r="J47" s="84">
        <f t="shared" si="5"/>
        <v>113.50929333333332</v>
      </c>
      <c r="M47" s="84">
        <f>'SCOP 221.A29'!EO50</f>
        <v>3.7802146523565074</v>
      </c>
      <c r="T47" s="84">
        <f t="shared" si="18"/>
        <v>273.05695062373599</v>
      </c>
      <c r="U47" s="84">
        <f t="shared" si="19"/>
        <v>434.29968616703366</v>
      </c>
      <c r="V47" s="133">
        <f t="shared" si="17"/>
        <v>3.8261156722354164</v>
      </c>
    </row>
    <row r="48" spans="2:22">
      <c r="B48" s="118">
        <v>26</v>
      </c>
      <c r="E48" s="130">
        <v>3</v>
      </c>
      <c r="G48" s="134">
        <f>'Dane dla CWU'!$H$43/365</f>
        <v>10.319026666666666</v>
      </c>
      <c r="I48" s="84">
        <f t="shared" si="4"/>
        <v>30.957079999999998</v>
      </c>
      <c r="J48" s="84">
        <f t="shared" si="5"/>
        <v>41.276106666666664</v>
      </c>
      <c r="M48" s="84">
        <f>'SCOP 221.A29'!EO51</f>
        <v>3.8638497652582129</v>
      </c>
      <c r="T48" s="84">
        <f t="shared" si="18"/>
        <v>119.6135062910797</v>
      </c>
      <c r="U48" s="84">
        <f t="shared" si="19"/>
        <v>161.2427355432977</v>
      </c>
      <c r="V48" s="133">
        <f t="shared" si="17"/>
        <v>3.9064424570235077</v>
      </c>
    </row>
    <row r="49" spans="2:22">
      <c r="B49" s="118">
        <v>27</v>
      </c>
      <c r="E49" s="130">
        <v>0</v>
      </c>
      <c r="G49" s="134">
        <f>'Dane dla CWU'!$H$43/365</f>
        <v>10.319026666666666</v>
      </c>
      <c r="I49" s="84">
        <f t="shared" si="4"/>
        <v>0</v>
      </c>
      <c r="J49" s="84">
        <f>I49+J50</f>
        <v>10.319026666666666</v>
      </c>
      <c r="M49" s="84">
        <f>'SCOP 221.A29'!EO52</f>
        <v>3.948512045347186</v>
      </c>
      <c r="T49" s="84">
        <f t="shared" si="18"/>
        <v>0</v>
      </c>
      <c r="U49" s="84">
        <f t="shared" si="19"/>
        <v>41.629229252217996</v>
      </c>
      <c r="V49" s="133">
        <f t="shared" si="17"/>
        <v>4.0342205323193916</v>
      </c>
    </row>
    <row r="50" spans="2:22">
      <c r="B50" s="118">
        <v>28</v>
      </c>
      <c r="E50" s="130">
        <v>1</v>
      </c>
      <c r="G50" s="134">
        <f>'Dane dla CWU'!$H$43/365</f>
        <v>10.319026666666666</v>
      </c>
      <c r="I50" s="84">
        <f>E50*G50</f>
        <v>10.319026666666666</v>
      </c>
      <c r="J50" s="84">
        <f>I50</f>
        <v>10.319026666666666</v>
      </c>
      <c r="M50" s="84">
        <f>'SCOP 221.A29'!EO53</f>
        <v>4.0342205323193916</v>
      </c>
      <c r="T50" s="84">
        <f t="shared" si="18"/>
        <v>41.629229252217996</v>
      </c>
      <c r="U50" s="84">
        <f>T50</f>
        <v>41.629229252217996</v>
      </c>
      <c r="V50" s="133">
        <f t="shared" si="17"/>
        <v>4.0342205323193916</v>
      </c>
    </row>
    <row r="51" spans="2:22">
      <c r="T51" s="84"/>
    </row>
  </sheetData>
  <sheetProtection algorithmName="SHA-512" hashValue="TjHW51OcQWH2CugvfbIBeC3XxvXIrVxJ7vCA1JcBmSp83m9p72ECaF1MZ+nPgGl9kz7hcneFlPM2PxAMlAKTfg==" saltValue="1R2kP9ZcVPjUxmpd1DxLf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14</vt:i4>
      </vt:variant>
    </vt:vector>
  </HeadingPairs>
  <TitlesOfParts>
    <vt:vector size="24" baseType="lpstr">
      <vt:lpstr>Dobór</vt:lpstr>
      <vt:lpstr>Dane dla CO</vt:lpstr>
      <vt:lpstr>Dane dla CWU</vt:lpstr>
      <vt:lpstr>SCOP 221.A26</vt:lpstr>
      <vt:lpstr>SCOP 221.A26 ver 2</vt:lpstr>
      <vt:lpstr>Energia 221.A26</vt:lpstr>
      <vt:lpstr>SCOP 221.A29</vt:lpstr>
      <vt:lpstr>SCOP 221.A29 ver 2</vt:lpstr>
      <vt:lpstr>Energia 221.A29</vt:lpstr>
      <vt:lpstr>Wykresy</vt:lpstr>
      <vt:lpstr>budynek</vt:lpstr>
      <vt:lpstr>drugie_zrodlo_ciepla</vt:lpstr>
      <vt:lpstr>krakow</vt:lpstr>
      <vt:lpstr>Dobór!Obszar_wydruku</vt:lpstr>
      <vt:lpstr>ogrzew</vt:lpstr>
      <vt:lpstr>ogrzew2</vt:lpstr>
      <vt:lpstr>ogrzewanie</vt:lpstr>
      <vt:lpstr>paliwo</vt:lpstr>
      <vt:lpstr>rodzaj_ogrzew</vt:lpstr>
      <vt:lpstr>strefy</vt:lpstr>
      <vt:lpstr>system</vt:lpstr>
      <vt:lpstr>wielkosc_pompy</vt:lpstr>
      <vt:lpstr>wyposażenie</vt:lpstr>
      <vt:lpstr>zrodlo</vt:lpstr>
    </vt:vector>
  </TitlesOfParts>
  <Company>Viessmann Werke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Pantera</dc:creator>
  <cp:lastModifiedBy>Dawid_Pantera</cp:lastModifiedBy>
  <cp:lastPrinted>2017-12-08T09:27:45Z</cp:lastPrinted>
  <dcterms:created xsi:type="dcterms:W3CDTF">2012-01-19T20:31:12Z</dcterms:created>
  <dcterms:modified xsi:type="dcterms:W3CDTF">2020-08-13T07:17:30Z</dcterms:modified>
</cp:coreProperties>
</file>