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wdp" ContentType="image/vnd.ms-photo"/>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1.xml" ContentType="application/vnd.openxmlformats-officedocument.spreadsheetml.comments+xml"/>
  <Override PartName="/xl/drawings/drawing16.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codeName="{372AB895-14C1-FC20-EB20-F1B4BCFD95AE}"/>
  <workbookPr updateLinks="never" codeName="Ten_skoroszyt"/>
  <mc:AlternateContent xmlns:mc="http://schemas.openxmlformats.org/markup-compatibility/2006">
    <mc:Choice Requires="x15">
      <x15ac:absPath xmlns:x15ac="http://schemas.microsoft.com/office/spreadsheetml/2010/11/ac" url="C:\!PanD\Prezentacje\DVD dla DH\Kalkulatory doborowe\!2024\"/>
    </mc:Choice>
  </mc:AlternateContent>
  <xr:revisionPtr revIDLastSave="0" documentId="13_ncr:1_{5AFA589A-7AA9-41DF-97F6-DDC9EA3E81A3}" xr6:coauthVersionLast="47" xr6:coauthVersionMax="47" xr10:uidLastSave="{00000000-0000-0000-0000-000000000000}"/>
  <bookViews>
    <workbookView xWindow="28680" yWindow="-120" windowWidth="29040" windowHeight="15990" tabRatio="877" xr2:uid="{00000000-000D-0000-FFFF-FFFF00000000}"/>
  </bookViews>
  <sheets>
    <sheet name="Dane" sheetId="22" r:id="rId1"/>
    <sheet name="System DN63" sheetId="25" r:id="rId2"/>
    <sheet name="System DN75" sheetId="27" r:id="rId3"/>
    <sheet name="System DN90" sheetId="29" r:id="rId4"/>
    <sheet name="Centrala Vitovent" sheetId="13" r:id="rId5"/>
    <sheet name="Centrala Vitoair FS" sheetId="26" r:id="rId6"/>
    <sheet name="Elementy DN63" sheetId="2" r:id="rId7"/>
    <sheet name="Elementy DN75&amp;90 ViAir" sheetId="31" state="hidden" r:id="rId8"/>
    <sheet name="Elementy DN75&amp;90 2024-09" sheetId="23" r:id="rId9"/>
    <sheet name="Obliczenia" sheetId="24" state="hidden" r:id="rId10"/>
    <sheet name="Dane techniczne" sheetId="1" state="hidden" r:id="rId11"/>
    <sheet name="Zmiany" sheetId="28" r:id="rId12"/>
    <sheet name="Nowe kanały 2023-11" sheetId="30" state="hidden" r:id="rId13"/>
    <sheet name="Warunki" sheetId="6" state="hidden" r:id="rId14"/>
    <sheet name="obliczenia-temp" sheetId="9" state="hidden" r:id="rId15"/>
    <sheet name="Arkusz1" sheetId="10" state="hidden" r:id="rId16"/>
  </sheets>
  <externalReferences>
    <externalReference r:id="rId17"/>
    <externalReference r:id="rId18"/>
  </externalReferences>
  <definedNames>
    <definedName name="_xlnm._FilterDatabase" localSheetId="9" hidden="1">Obliczenia!$B$60:$C$80</definedName>
    <definedName name="_xlnm._FilterDatabase" localSheetId="14" hidden="1">'obliczenia-temp'!$C$12:$R$27</definedName>
    <definedName name="big_tabela">Obliczenia!$B$8:$BI$28</definedName>
    <definedName name="lista_naw">Obliczenia!$B$37:$D$57</definedName>
    <definedName name="lista_pod_rodzaj_ruchu_powietrza">Warunki!$B$166:$E$186</definedName>
    <definedName name="lista_pom">Warunki!$B$38:$B$60</definedName>
    <definedName name="lista_pomieszczen">Warunki!$B$164:$B$186</definedName>
    <definedName name="lista_pomieszczen_obliczenia">Obliczenia!$C$8:$J$28</definedName>
    <definedName name="listaN">Obliczenia!$B$37:$B$56</definedName>
    <definedName name="montaz">'obliczenia-temp'!$Z$2:$Z$3</definedName>
    <definedName name="nawiew">Warunki!$B$6</definedName>
    <definedName name="nawiew_ikona2">INDEX(Warunki!$B$166:$C$171,MATCH(Warunki!$G$166,nawiew_lista,0),2)</definedName>
    <definedName name="nawiew_lista">Warunki!$B$166:$B$171</definedName>
    <definedName name="nawiew_wywiew_lista">Warunki!$B$166:$B$186</definedName>
    <definedName name="nawiew_wywiew_lista2">Warunki!$B$166:$B$187</definedName>
    <definedName name="nawiew2">Warunki!$B$6:$B$9</definedName>
    <definedName name="nawiew3">Warunki!$B$6:$B$9</definedName>
    <definedName name="nawiew4">Warunki!$B$53:$B$60</definedName>
    <definedName name="_xlnm.Print_Area" localSheetId="0">Dane!$B$2:$U$241</definedName>
    <definedName name="_xlnm.Print_Area" localSheetId="1">'System DN63'!$B$2:$BI$236</definedName>
    <definedName name="_xlnm.Print_Area" localSheetId="2">'System DN75'!$B$2:$BI$236</definedName>
    <definedName name="_xlnm.Print_Area" localSheetId="3">'System DN90'!$B$2:$BI$236</definedName>
    <definedName name="pom_wywiew1">Warunki!$B$14:$G$25</definedName>
    <definedName name="pom01ikona">INDEX(Warunki!$B$166:$C$187,MATCH(Warunki!$G$166,nawiew_wywiew_lista2,0),2)</definedName>
    <definedName name="pom02ikona">INDEX(Warunki!$B$166:$C$187,MATCH(Warunki!$G$167,nawiew_wywiew_lista2,0),2)</definedName>
    <definedName name="pom03ikona">INDEX(Warunki!$B$166:$C$187,MATCH(Warunki!$G$168,nawiew_wywiew_lista2,0),2)</definedName>
    <definedName name="pom04ikona">INDEX(Warunki!$B$166:$C$187,MATCH(Warunki!$G$169,nawiew_wywiew_lista2,0),2)</definedName>
    <definedName name="pom05ikona">INDEX(Warunki!$B$166:$C$187,MATCH(Warunki!$G$170,nawiew_wywiew_lista2,0),2)</definedName>
    <definedName name="pom06ikona">INDEX(Warunki!$B$166:$C$187,MATCH(Warunki!$G$171,nawiew_wywiew_lista2,0),2)</definedName>
    <definedName name="pom07ikona">INDEX(Warunki!$B$166:$C$187,MATCH(Warunki!$G$173,nawiew_wywiew_lista2,0),2)</definedName>
    <definedName name="pom08ikona">INDEX(Warunki!$B$166:$C$187,MATCH(Warunki!$G$174,nawiew_wywiew_lista2,0),2)</definedName>
    <definedName name="pom09ikona">INDEX(Warunki!$B$166:$C$187,MATCH(Warunki!$G$176,nawiew_wywiew_lista2,0),2)</definedName>
    <definedName name="pom1_01ikona">INDEX(Warunki!$B$166:$C$187,MATCH(Warunki!$G$181,nawiew_wywiew_lista2,0),2)</definedName>
    <definedName name="pom1_02ikona">INDEX(Warunki!$B$166:$C$187,MATCH(Warunki!$G$182,nawiew_wywiew_lista2,0),2)</definedName>
    <definedName name="pom1_03ikona">INDEX(Warunki!$B$166:$C$187,MATCH(Warunki!$G$183,nawiew_wywiew_lista2,0),2)</definedName>
    <definedName name="pom1_04ikona">INDEX(Warunki!$B$166:$C$187,MATCH(Warunki!$G$184,nawiew_wywiew_lista2,0),2)</definedName>
    <definedName name="pom1_05ikona">INDEX(Warunki!$B$166:$C$187,MATCH(Warunki!$G$185,nawiew_wywiew_lista2,0),2)</definedName>
    <definedName name="pom1_06ikona">INDEX(Warunki!$B$166:$C$187,MATCH(Warunki!$G$186,nawiew_wywiew_lista2,0),2)</definedName>
    <definedName name="pom1_07ikona">INDEX(Warunki!$B$166:$C$187,MATCH(Warunki!$G$187,nawiew_wywiew_lista2,0),2)</definedName>
    <definedName name="pom1_08ikona">INDEX(Warunki!$B$166:$C$187,MATCH(Warunki!$G$188,nawiew_wywiew_lista2,0),2)</definedName>
    <definedName name="pom10ikona">INDEX(Warunki!$B$166:$C$187,MATCH(Warunki!$G$177,nawiew_wywiew_lista2,0),2)</definedName>
    <definedName name="pom11ikona">INDEX(Warunki!$B$166:$C$187,MATCH(Warunki!$G$178,nawiew_wywiew_lista2,0),2)</definedName>
    <definedName name="pom12ikona">INDEX(Warunki!$B$166:$C$187,MATCH(Warunki!$G$179,nawiew_wywiew_lista2,0),2)</definedName>
    <definedName name="pomieszczenia">Warunki!$B$15:$B$27,Warunki!$B$6</definedName>
    <definedName name="Pomieszczenie___nawiew">Warunki!$C$171</definedName>
    <definedName name="rooms">Warunki!$B$15:$B$27</definedName>
    <definedName name="rozdzial">'Elementy DN63'!$D$3:$I$48</definedName>
    <definedName name="rozdzial75" localSheetId="7">'Elementy DN75&amp;90 ViAir'!$D$3:$H$57</definedName>
    <definedName name="rozdzial75">'Elementy DN75&amp;90 2024-09'!$D$3:$H$57</definedName>
    <definedName name="Salon">Warunki!$C$169</definedName>
    <definedName name="sort_pomieszczen">Obliczenia!$C$8:$E$28</definedName>
    <definedName name="Sypialnia">Warunki!$C$168</definedName>
    <definedName name="warunki">Warunki!$B$15:$G$29</definedName>
    <definedName name="warunki2">Warunki!$B$14:$G$29</definedName>
    <definedName name="warunki3">Warunki!$B$6:$H$29</definedName>
    <definedName name="warunki4">Warunki!$B$6:$I$29</definedName>
    <definedName name="wybor_centrali">Obliczenia!$J$56:$J$64</definedName>
    <definedName name="wybor_E3">Obliczenia!$J$77:$J$78</definedName>
    <definedName name="wybor_E375">Obliczenia!$V$77:$V$78</definedName>
    <definedName name="wybor_E390">Obliczenia!$AK$77:$AK$78</definedName>
    <definedName name="wybor_sterowanie">Obliczenia!$J$74:$J$76</definedName>
    <definedName name="wybor_sterowanie75">Obliczenia!$V$74:$V$78</definedName>
    <definedName name="wybor_sterowanie90">Obliczenia!$AK$74:$AK$76</definedName>
    <definedName name="wywiew">Warunki!$B$15:$B$27</definedName>
    <definedName name="wywiew_lista">Warunki!$B$173:$B$186</definedName>
    <definedName name="wywiew2">Warunki!$B$15:$B$27</definedName>
    <definedName name="wywiew3">Warunki!$B$38:$B$52</definedName>
  </definedNames>
  <calcPr calcId="191029"/>
  <customWorkbookViews>
    <customWorkbookView name="wydruk" guid="{5F1CD432-8628-43E5-87A3-F90570D5BEB1}" includeHiddenRowCol="0" maximized="1" xWindow="-8" yWindow="-8" windowWidth="1382" windowHeight="754" tabRatio="878" activeSheetId="20" showFormulaBar="0"/>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I185" i="29" l="1"/>
  <c r="AI195" i="29"/>
  <c r="Y195" i="29"/>
  <c r="Y185" i="29"/>
  <c r="AI185" i="27"/>
  <c r="Y185" i="27"/>
  <c r="Y195" i="27"/>
  <c r="AI195" i="27"/>
  <c r="AC172" i="29"/>
  <c r="R18" i="28"/>
  <c r="AC73" i="24" l="1"/>
  <c r="V79" i="24"/>
  <c r="AC172" i="27"/>
  <c r="X172" i="27"/>
  <c r="AC182" i="25" l="1"/>
  <c r="AL215" i="25"/>
  <c r="AL191" i="25"/>
  <c r="AC191" i="25"/>
  <c r="AL201" i="27"/>
  <c r="AC201" i="27"/>
  <c r="AL167" i="27"/>
  <c r="AL201" i="29"/>
  <c r="AC201" i="29"/>
  <c r="S33" i="22"/>
  <c r="S127" i="22"/>
  <c r="S69" i="22"/>
  <c r="S57" i="22"/>
  <c r="S39" i="22"/>
  <c r="BA40" i="24"/>
  <c r="BA38" i="24"/>
  <c r="BG42" i="24"/>
  <c r="BF42" i="24" s="1"/>
  <c r="X192" i="27" s="1"/>
  <c r="BF40" i="24"/>
  <c r="BF38" i="24"/>
  <c r="BG40" i="24"/>
  <c r="BG38" i="24"/>
  <c r="AV42" i="24"/>
  <c r="AU42" i="24" s="1"/>
  <c r="X182" i="27" s="1"/>
  <c r="AP40" i="24"/>
  <c r="AP38" i="24"/>
  <c r="X182" i="29" l="1"/>
  <c r="X192" i="29"/>
  <c r="AD1" i="25"/>
  <c r="AE1" i="27"/>
  <c r="AE1" i="29"/>
  <c r="AM235" i="25"/>
  <c r="R21" i="28" l="1"/>
  <c r="AD206" i="29"/>
  <c r="AM206" i="29"/>
  <c r="AM201" i="29"/>
  <c r="AD201" i="29"/>
  <c r="AM206" i="27"/>
  <c r="AM201" i="27"/>
  <c r="AD206" i="27"/>
  <c r="AD201" i="27"/>
  <c r="Y203" i="27"/>
  <c r="AD137" i="25"/>
  <c r="X139" i="25"/>
  <c r="R24" i="28"/>
  <c r="S88" i="30"/>
  <c r="S87" i="30"/>
  <c r="S86" i="30"/>
  <c r="S91" i="30" s="1"/>
  <c r="S71" i="30"/>
  <c r="S70" i="30"/>
  <c r="S69" i="30"/>
  <c r="R88" i="30"/>
  <c r="R87" i="30"/>
  <c r="R86" i="30"/>
  <c r="R71" i="30"/>
  <c r="R70" i="30"/>
  <c r="R69" i="30"/>
  <c r="R105" i="30"/>
  <c r="R104" i="30"/>
  <c r="R103" i="30"/>
  <c r="R102" i="30"/>
  <c r="R120" i="30"/>
  <c r="R119" i="30"/>
  <c r="R122" i="30"/>
  <c r="R121" i="30"/>
  <c r="S74" i="30" l="1"/>
  <c r="R90" i="30"/>
  <c r="R91" i="30" s="1"/>
  <c r="R73" i="30"/>
  <c r="R74" i="30" s="1"/>
  <c r="R106" i="30"/>
  <c r="R107" i="30" s="1"/>
  <c r="R123" i="30"/>
  <c r="R124" i="30" s="1"/>
  <c r="L5" i="30"/>
  <c r="X5" i="30"/>
  <c r="X8" i="30"/>
  <c r="R28" i="28"/>
  <c r="G158" i="22"/>
  <c r="G152" i="22"/>
  <c r="G94" i="22"/>
  <c r="G70" i="22"/>
  <c r="G58" i="22"/>
  <c r="G34" i="22"/>
  <c r="G40" i="22"/>
  <c r="G46" i="22"/>
  <c r="G52" i="22"/>
  <c r="R27" i="28" l="1"/>
  <c r="R31" i="28"/>
  <c r="Z47" i="24"/>
  <c r="AI232" i="29"/>
  <c r="AH232" i="29"/>
  <c r="AC187" i="29"/>
  <c r="AC192" i="29" s="1"/>
  <c r="AC177" i="29"/>
  <c r="AC182" i="29" s="1"/>
  <c r="AC187" i="27"/>
  <c r="AC192" i="27"/>
  <c r="AC177" i="27"/>
  <c r="R34" i="28"/>
  <c r="AY28" i="24"/>
  <c r="AY27" i="24"/>
  <c r="AY26" i="24"/>
  <c r="AY25" i="24"/>
  <c r="AY24" i="24"/>
  <c r="AY23" i="24"/>
  <c r="AY22" i="24"/>
  <c r="AY21" i="24"/>
  <c r="AY19" i="24"/>
  <c r="AY18" i="24"/>
  <c r="AY17" i="24"/>
  <c r="AY16" i="24"/>
  <c r="AY15" i="24"/>
  <c r="AY14" i="24"/>
  <c r="AY13" i="24"/>
  <c r="AY12" i="24"/>
  <c r="AY11" i="24"/>
  <c r="AY10" i="24"/>
  <c r="AY9" i="24"/>
  <c r="AY8" i="24"/>
  <c r="AN28" i="24"/>
  <c r="AN27" i="24"/>
  <c r="AN26" i="24"/>
  <c r="AN25" i="24"/>
  <c r="AN24" i="24"/>
  <c r="AN23" i="24"/>
  <c r="AN22" i="24"/>
  <c r="AN21" i="24"/>
  <c r="AN19" i="24"/>
  <c r="AN18" i="24"/>
  <c r="AN17" i="24"/>
  <c r="AN16" i="24"/>
  <c r="AN15" i="24"/>
  <c r="AN14" i="24"/>
  <c r="AN13" i="24"/>
  <c r="AN12" i="24"/>
  <c r="AN11" i="24"/>
  <c r="AN10" i="24"/>
  <c r="AN9" i="24"/>
  <c r="AN8" i="24"/>
  <c r="R28" i="24"/>
  <c r="R27" i="24"/>
  <c r="R26" i="24"/>
  <c r="R25" i="24"/>
  <c r="R24" i="24"/>
  <c r="R23" i="24"/>
  <c r="R22" i="24"/>
  <c r="R21" i="24"/>
  <c r="R19" i="24"/>
  <c r="R18" i="24"/>
  <c r="R17" i="24"/>
  <c r="R16" i="24"/>
  <c r="R15" i="24"/>
  <c r="R14" i="24"/>
  <c r="R13" i="24"/>
  <c r="R12" i="24"/>
  <c r="R11" i="24"/>
  <c r="R10" i="24"/>
  <c r="R9" i="24"/>
  <c r="R8" i="24"/>
  <c r="G185" i="6"/>
  <c r="M185" i="6" s="1"/>
  <c r="G184" i="6"/>
  <c r="M184" i="6" s="1"/>
  <c r="G183" i="6"/>
  <c r="N183" i="6" s="1"/>
  <c r="G182" i="6"/>
  <c r="N182" i="6" s="1"/>
  <c r="G181" i="6"/>
  <c r="N181" i="6" s="1"/>
  <c r="G180" i="6"/>
  <c r="G179" i="6"/>
  <c r="M179" i="6" s="1"/>
  <c r="G178" i="6"/>
  <c r="N178" i="6" s="1"/>
  <c r="G177" i="6"/>
  <c r="N177" i="6" s="1"/>
  <c r="G176" i="6"/>
  <c r="M176" i="6" s="1"/>
  <c r="G175" i="6"/>
  <c r="G174" i="6"/>
  <c r="N174" i="6" s="1"/>
  <c r="G173" i="6"/>
  <c r="M173" i="6" s="1"/>
  <c r="G172" i="6"/>
  <c r="G167" i="6"/>
  <c r="N167" i="6" s="1"/>
  <c r="G168" i="6"/>
  <c r="N168" i="6" s="1"/>
  <c r="F14" i="24"/>
  <c r="F13" i="24"/>
  <c r="Y174" i="27"/>
  <c r="X172" i="29"/>
  <c r="Y174" i="29" s="1"/>
  <c r="AD44" i="24"/>
  <c r="AD43" i="24"/>
  <c r="AB44" i="24"/>
  <c r="AB43" i="24"/>
  <c r="J44" i="24"/>
  <c r="J43" i="24"/>
  <c r="AV40" i="24"/>
  <c r="AV38" i="24"/>
  <c r="AU40" i="24"/>
  <c r="AU38" i="24"/>
  <c r="H235" i="29"/>
  <c r="C235" i="29"/>
  <c r="H235" i="27"/>
  <c r="C235" i="27"/>
  <c r="H235" i="25"/>
  <c r="C235" i="25"/>
  <c r="R38" i="28"/>
  <c r="R41" i="28"/>
  <c r="E28" i="24"/>
  <c r="E27" i="24"/>
  <c r="E26" i="24"/>
  <c r="E25" i="24"/>
  <c r="E24" i="24"/>
  <c r="E23" i="24"/>
  <c r="E22" i="24"/>
  <c r="E21" i="24"/>
  <c r="E19" i="24"/>
  <c r="E18" i="24"/>
  <c r="E17" i="24"/>
  <c r="E16" i="24"/>
  <c r="E15" i="24"/>
  <c r="E14" i="24"/>
  <c r="E13" i="24"/>
  <c r="E12" i="24"/>
  <c r="E11" i="24"/>
  <c r="E10" i="24"/>
  <c r="E9" i="24"/>
  <c r="E8" i="24"/>
  <c r="R44" i="28"/>
  <c r="R50" i="28"/>
  <c r="R47" i="28"/>
  <c r="AH1" i="25"/>
  <c r="AH1" i="27"/>
  <c r="Y57" i="24"/>
  <c r="AR68" i="24"/>
  <c r="N57" i="24"/>
  <c r="J74" i="24" s="1"/>
  <c r="AH1" i="29"/>
  <c r="AN57" i="24"/>
  <c r="AK75" i="24"/>
  <c r="AO75" i="24"/>
  <c r="AK76" i="24"/>
  <c r="AH225" i="29"/>
  <c r="AM225" i="29"/>
  <c r="AH220" i="29"/>
  <c r="AH222" i="29"/>
  <c r="AH167" i="29"/>
  <c r="AI170" i="29"/>
  <c r="AM235" i="29"/>
  <c r="AD137" i="29"/>
  <c r="X145" i="29"/>
  <c r="X147" i="29"/>
  <c r="AD154" i="29"/>
  <c r="X220" i="29"/>
  <c r="AD220" i="29"/>
  <c r="AD225" i="29"/>
  <c r="AD230" i="29"/>
  <c r="Y232" i="29"/>
  <c r="X232" i="29"/>
  <c r="Y227" i="29"/>
  <c r="X227" i="29"/>
  <c r="AH226" i="29"/>
  <c r="Y208" i="29"/>
  <c r="X208" i="29"/>
  <c r="AI203" i="29"/>
  <c r="AH203" i="29"/>
  <c r="Y203" i="29"/>
  <c r="X203" i="29"/>
  <c r="Y169" i="29"/>
  <c r="X169" i="29"/>
  <c r="AH168" i="29"/>
  <c r="X160" i="29"/>
  <c r="X159" i="29"/>
  <c r="AD158" i="29"/>
  <c r="X156" i="29"/>
  <c r="X146" i="29"/>
  <c r="X139" i="29"/>
  <c r="X138" i="29"/>
  <c r="AC137" i="29"/>
  <c r="AC119" i="29"/>
  <c r="AM3" i="29"/>
  <c r="AK3" i="29"/>
  <c r="R132" i="22"/>
  <c r="Q133" i="22" s="1"/>
  <c r="S133" i="22" s="1"/>
  <c r="D23" i="24"/>
  <c r="G23" i="24" s="1"/>
  <c r="I23" i="24" s="1"/>
  <c r="R138" i="22"/>
  <c r="J24" i="24" s="1"/>
  <c r="D24" i="24"/>
  <c r="G24" i="24" s="1"/>
  <c r="I24" i="24" s="1"/>
  <c r="R144" i="22"/>
  <c r="R145" i="22" s="1"/>
  <c r="D25" i="24"/>
  <c r="R150" i="22"/>
  <c r="Q151" i="22" s="1"/>
  <c r="D26" i="24"/>
  <c r="G26" i="24" s="1"/>
  <c r="I26" i="24" s="1"/>
  <c r="R156" i="22"/>
  <c r="Q157" i="22" s="1"/>
  <c r="D27" i="24"/>
  <c r="G27" i="24" s="1"/>
  <c r="I27" i="24" s="1"/>
  <c r="Q27" i="24" s="1"/>
  <c r="R162" i="22"/>
  <c r="Q163" i="22" s="1"/>
  <c r="S163" i="22" s="1"/>
  <c r="F164" i="22"/>
  <c r="D28" i="24"/>
  <c r="G28" i="24" s="1"/>
  <c r="I28" i="24" s="1"/>
  <c r="AD154" i="25"/>
  <c r="X145" i="25"/>
  <c r="AD145" i="25" s="1"/>
  <c r="D8" i="24"/>
  <c r="G8" i="24"/>
  <c r="I8" i="24" s="1"/>
  <c r="L8" i="24" s="1"/>
  <c r="D9" i="24"/>
  <c r="J9" i="24" s="1"/>
  <c r="D10" i="24"/>
  <c r="G10" i="24" s="1"/>
  <c r="I10" i="24" s="1"/>
  <c r="L10" i="24" s="1"/>
  <c r="D11" i="24"/>
  <c r="G11" i="24" s="1"/>
  <c r="I11" i="24" s="1"/>
  <c r="L11" i="24" s="1"/>
  <c r="D12" i="24"/>
  <c r="J12" i="24" s="1"/>
  <c r="D13" i="24"/>
  <c r="J13" i="24" s="1"/>
  <c r="C13" i="24" s="1"/>
  <c r="D14" i="24"/>
  <c r="J14" i="24" s="1"/>
  <c r="D15" i="24"/>
  <c r="G15" i="24" s="1"/>
  <c r="I15" i="24" s="1"/>
  <c r="D16" i="24"/>
  <c r="G16" i="24" s="1"/>
  <c r="I16" i="24" s="1"/>
  <c r="D17" i="24"/>
  <c r="J17" i="24" s="1"/>
  <c r="G17" i="24"/>
  <c r="I17" i="24" s="1"/>
  <c r="D18" i="24"/>
  <c r="J18" i="24" s="1"/>
  <c r="D19" i="24"/>
  <c r="G19" i="24" s="1"/>
  <c r="I19" i="24" s="1"/>
  <c r="D22" i="24"/>
  <c r="G22" i="24" s="1"/>
  <c r="I22" i="24" s="1"/>
  <c r="D21" i="24"/>
  <c r="G21" i="24" s="1"/>
  <c r="B12" i="24"/>
  <c r="B13" i="24"/>
  <c r="B16" i="24"/>
  <c r="B17" i="24"/>
  <c r="B19" i="24"/>
  <c r="R121" i="22"/>
  <c r="R122" i="22" s="1"/>
  <c r="R126" i="22"/>
  <c r="Q127" i="22" s="1"/>
  <c r="B22" i="24"/>
  <c r="B8" i="24"/>
  <c r="B9" i="24"/>
  <c r="B10" i="24"/>
  <c r="F8" i="24"/>
  <c r="H8" i="24"/>
  <c r="F9" i="24"/>
  <c r="H9" i="24"/>
  <c r="R38" i="22"/>
  <c r="Q39" i="22" s="1"/>
  <c r="F10" i="24"/>
  <c r="H10" i="24"/>
  <c r="B11" i="24"/>
  <c r="F11" i="24"/>
  <c r="H11" i="24"/>
  <c r="F12" i="24"/>
  <c r="H12" i="24"/>
  <c r="H13" i="24"/>
  <c r="B14" i="24"/>
  <c r="H14" i="24"/>
  <c r="R68" i="22"/>
  <c r="F70" i="22" s="1"/>
  <c r="B15" i="24"/>
  <c r="F15" i="24"/>
  <c r="H15" i="24"/>
  <c r="R74" i="22"/>
  <c r="R75" i="22" s="1"/>
  <c r="F16" i="24"/>
  <c r="H16" i="24"/>
  <c r="R80" i="22"/>
  <c r="F82" i="22" s="1"/>
  <c r="F17" i="24"/>
  <c r="H17" i="24"/>
  <c r="B18" i="24"/>
  <c r="F18" i="24"/>
  <c r="H18" i="24"/>
  <c r="R92" i="22"/>
  <c r="R93" i="22" s="1"/>
  <c r="F19" i="24"/>
  <c r="H19" i="24"/>
  <c r="B21" i="24"/>
  <c r="F21" i="24"/>
  <c r="H21" i="24"/>
  <c r="N122" i="22"/>
  <c r="Q123" i="22" s="1"/>
  <c r="L21" i="24" s="1"/>
  <c r="F22" i="24"/>
  <c r="H22" i="24"/>
  <c r="N127" i="22"/>
  <c r="Q128" i="22" s="1"/>
  <c r="L22" i="24" s="1"/>
  <c r="B23" i="24"/>
  <c r="F23" i="24"/>
  <c r="H23" i="24"/>
  <c r="N133" i="22"/>
  <c r="Q134" i="22" s="1"/>
  <c r="L23" i="24" s="1"/>
  <c r="B24" i="24"/>
  <c r="F24" i="24"/>
  <c r="H24" i="24"/>
  <c r="N139" i="22"/>
  <c r="Q140" i="22" s="1"/>
  <c r="L24" i="24" s="1"/>
  <c r="B25" i="24"/>
  <c r="F25" i="24"/>
  <c r="H25" i="24"/>
  <c r="N145" i="22"/>
  <c r="Q146" i="22" s="1"/>
  <c r="L25" i="24" s="1"/>
  <c r="B26" i="24"/>
  <c r="F26" i="24"/>
  <c r="H26" i="24"/>
  <c r="N151" i="22"/>
  <c r="Q152" i="22" s="1"/>
  <c r="L26" i="24" s="1"/>
  <c r="B27" i="24"/>
  <c r="F27" i="24"/>
  <c r="H27" i="24"/>
  <c r="N157" i="22"/>
  <c r="Q158" i="22"/>
  <c r="L27" i="24" s="1"/>
  <c r="B28" i="24"/>
  <c r="F28" i="24"/>
  <c r="H28" i="24"/>
  <c r="N163" i="22"/>
  <c r="Q164" i="22"/>
  <c r="L28" i="24"/>
  <c r="R3" i="28"/>
  <c r="S55" i="28"/>
  <c r="R55" i="28"/>
  <c r="N3" i="28"/>
  <c r="Z75" i="24"/>
  <c r="V76" i="24"/>
  <c r="R32" i="22"/>
  <c r="F34" i="22"/>
  <c r="R56" i="22"/>
  <c r="R57" i="22" s="1"/>
  <c r="R62" i="22"/>
  <c r="F64" i="22" s="1"/>
  <c r="R86" i="22"/>
  <c r="R87" i="22" s="1"/>
  <c r="R98" i="22"/>
  <c r="F100" i="22" s="1"/>
  <c r="R50" i="22"/>
  <c r="R51" i="22" s="1"/>
  <c r="R44" i="22"/>
  <c r="Q45" i="22" s="1"/>
  <c r="AH232" i="27"/>
  <c r="AI232" i="27"/>
  <c r="AH225" i="27"/>
  <c r="AM225" i="27"/>
  <c r="AH226" i="27"/>
  <c r="Y212" i="25"/>
  <c r="X220" i="27"/>
  <c r="X222" i="27"/>
  <c r="AH220" i="27"/>
  <c r="AH222" i="27"/>
  <c r="J37" i="24"/>
  <c r="J38" i="24"/>
  <c r="J39" i="24"/>
  <c r="AL137" i="29" s="1"/>
  <c r="J40" i="24"/>
  <c r="AB37" i="24"/>
  <c r="AD37" i="24"/>
  <c r="AB38" i="24"/>
  <c r="AD38" i="24"/>
  <c r="AB39" i="24"/>
  <c r="AD39" i="24"/>
  <c r="AB40" i="24"/>
  <c r="AD40" i="24"/>
  <c r="J41" i="24"/>
  <c r="AB41" i="24"/>
  <c r="AD41" i="24"/>
  <c r="J42" i="24"/>
  <c r="AB42" i="24"/>
  <c r="AD42" i="24"/>
  <c r="J45" i="24"/>
  <c r="AB45" i="24"/>
  <c r="AC45" i="24"/>
  <c r="AH167" i="27"/>
  <c r="AI170" i="27"/>
  <c r="AH168" i="27"/>
  <c r="Y169" i="27"/>
  <c r="X169" i="27"/>
  <c r="AM235" i="27"/>
  <c r="AD137" i="27"/>
  <c r="X145" i="27"/>
  <c r="AD145" i="27" s="1"/>
  <c r="AD154" i="27"/>
  <c r="AD225" i="27"/>
  <c r="AD230" i="27"/>
  <c r="Y232" i="27"/>
  <c r="X232" i="27"/>
  <c r="Y227" i="27"/>
  <c r="X227" i="27"/>
  <c r="Y208" i="27"/>
  <c r="X208" i="27"/>
  <c r="AI203" i="27"/>
  <c r="AH203" i="27"/>
  <c r="X203" i="27"/>
  <c r="X160" i="27"/>
  <c r="X159" i="27"/>
  <c r="AD158" i="27"/>
  <c r="X156" i="27"/>
  <c r="N75" i="24"/>
  <c r="X146" i="27"/>
  <c r="X139" i="27"/>
  <c r="X138" i="27"/>
  <c r="AC137" i="27"/>
  <c r="AC119" i="27"/>
  <c r="AM3" i="27"/>
  <c r="AK3" i="27"/>
  <c r="AC119" i="25"/>
  <c r="C119" i="24"/>
  <c r="C120" i="24"/>
  <c r="G113" i="24"/>
  <c r="G114" i="24"/>
  <c r="D91" i="24"/>
  <c r="D92" i="24"/>
  <c r="D93" i="24"/>
  <c r="D94" i="24"/>
  <c r="D95" i="24"/>
  <c r="D96" i="24"/>
  <c r="D97" i="24"/>
  <c r="AM225" i="25"/>
  <c r="AM220" i="25"/>
  <c r="AM210" i="25"/>
  <c r="AD225" i="25"/>
  <c r="AD220" i="25"/>
  <c r="AD215" i="25"/>
  <c r="AD210" i="25"/>
  <c r="AM191" i="25"/>
  <c r="AD196" i="25"/>
  <c r="AD158" i="25"/>
  <c r="AC137" i="25"/>
  <c r="X156" i="25"/>
  <c r="AI227" i="25"/>
  <c r="AI212" i="25"/>
  <c r="AI217" i="25"/>
  <c r="AI222" i="25"/>
  <c r="Y227" i="25"/>
  <c r="Y222" i="25"/>
  <c r="Y217" i="25"/>
  <c r="Y198" i="25"/>
  <c r="Y179" i="25"/>
  <c r="AI179" i="25"/>
  <c r="Y169" i="25"/>
  <c r="Y174" i="25"/>
  <c r="AI174" i="25"/>
  <c r="AI169" i="25"/>
  <c r="Y184" i="25"/>
  <c r="Y193" i="25"/>
  <c r="AI193" i="25"/>
  <c r="X193" i="25"/>
  <c r="X159" i="25"/>
  <c r="X160" i="25"/>
  <c r="X146" i="25"/>
  <c r="AH227" i="25"/>
  <c r="X227" i="25"/>
  <c r="AH222" i="25"/>
  <c r="AH217" i="25"/>
  <c r="AH212" i="25"/>
  <c r="X222" i="25"/>
  <c r="X217" i="25"/>
  <c r="X138" i="25"/>
  <c r="AH193" i="25"/>
  <c r="AH179" i="25"/>
  <c r="AH174" i="25"/>
  <c r="AH169" i="25"/>
  <c r="X212" i="25"/>
  <c r="X198" i="25"/>
  <c r="X174" i="25"/>
  <c r="X184" i="25"/>
  <c r="X179" i="25"/>
  <c r="X169" i="25"/>
  <c r="AM3" i="25"/>
  <c r="D106" i="24"/>
  <c r="H179" i="22"/>
  <c r="D73" i="24"/>
  <c r="D49" i="24"/>
  <c r="P31" i="24"/>
  <c r="N31" i="24"/>
  <c r="N33" i="22"/>
  <c r="Q34" i="22"/>
  <c r="N39" i="22"/>
  <c r="Q40" i="22" s="1"/>
  <c r="N45" i="22"/>
  <c r="Q46" i="22" s="1"/>
  <c r="N51" i="22"/>
  <c r="Q52" i="22" s="1"/>
  <c r="N57" i="22"/>
  <c r="Q58" i="22" s="1"/>
  <c r="N63" i="22"/>
  <c r="Q64" i="22" s="1"/>
  <c r="AK3" i="25"/>
  <c r="N69" i="22"/>
  <c r="Q70" i="22" s="1"/>
  <c r="N75" i="22"/>
  <c r="Q76" i="22" s="1"/>
  <c r="N81" i="22"/>
  <c r="Q82" i="22" s="1"/>
  <c r="N87" i="22"/>
  <c r="Q88" i="22" s="1"/>
  <c r="N93" i="22"/>
  <c r="Q94" i="22" s="1"/>
  <c r="N99" i="22"/>
  <c r="Q100" i="22" s="1"/>
  <c r="G171" i="6"/>
  <c r="M171" i="6" s="1"/>
  <c r="G170" i="6"/>
  <c r="M170" i="6" s="1"/>
  <c r="G169" i="6"/>
  <c r="M169" i="6" s="1"/>
  <c r="G166" i="6"/>
  <c r="N166" i="6"/>
  <c r="K23" i="22"/>
  <c r="P3" i="22"/>
  <c r="C124" i="6"/>
  <c r="D126" i="6"/>
  <c r="C126" i="6"/>
  <c r="D127" i="6"/>
  <c r="C127" i="6"/>
  <c r="D128" i="6"/>
  <c r="C128" i="6"/>
  <c r="D129" i="6"/>
  <c r="C129" i="6"/>
  <c r="D130" i="6"/>
  <c r="C130" i="6"/>
  <c r="D131" i="6"/>
  <c r="C131" i="6"/>
  <c r="D132" i="6"/>
  <c r="C132" i="6"/>
  <c r="I7" i="6"/>
  <c r="I9" i="6"/>
  <c r="I6" i="6"/>
  <c r="I8" i="6"/>
  <c r="I10" i="6"/>
  <c r="I11" i="6"/>
  <c r="I12" i="6"/>
  <c r="B46" i="6"/>
  <c r="B39" i="6"/>
  <c r="S119" i="13"/>
  <c r="T119" i="13"/>
  <c r="B40" i="6"/>
  <c r="B41" i="6"/>
  <c r="B42" i="6"/>
  <c r="B44" i="6"/>
  <c r="B47" i="6"/>
  <c r="B48" i="6"/>
  <c r="B50" i="6"/>
  <c r="B51" i="6"/>
  <c r="B52" i="6"/>
  <c r="B53" i="6"/>
  <c r="B54" i="6"/>
  <c r="N17" i="9"/>
  <c r="B55" i="6"/>
  <c r="N21" i="9"/>
  <c r="O21" i="9"/>
  <c r="B56" i="6"/>
  <c r="B57" i="6"/>
  <c r="B58" i="6"/>
  <c r="B59" i="6"/>
  <c r="B60" i="6"/>
  <c r="C153" i="6"/>
  <c r="C152" i="6"/>
  <c r="D139" i="6"/>
  <c r="U149" i="13"/>
  <c r="V149" i="13"/>
  <c r="S149" i="13"/>
  <c r="T149" i="13"/>
  <c r="U119" i="13"/>
  <c r="V119" i="13"/>
  <c r="G154" i="6"/>
  <c r="E123" i="6"/>
  <c r="B143" i="6"/>
  <c r="G153" i="6"/>
  <c r="G152" i="6"/>
  <c r="G156" i="6"/>
  <c r="K30" i="9"/>
  <c r="K31" i="9"/>
  <c r="K32" i="9"/>
  <c r="K33" i="9"/>
  <c r="K34" i="9"/>
  <c r="K35" i="9"/>
  <c r="K36" i="9"/>
  <c r="K37" i="9"/>
  <c r="K38" i="9"/>
  <c r="K29" i="9"/>
  <c r="K18" i="9"/>
  <c r="K19" i="9"/>
  <c r="K20" i="9"/>
  <c r="K21" i="9"/>
  <c r="K22" i="9"/>
  <c r="K23" i="9"/>
  <c r="K24" i="9"/>
  <c r="K25" i="9"/>
  <c r="K26" i="9"/>
  <c r="K17" i="9"/>
  <c r="I29" i="9"/>
  <c r="J29" i="9"/>
  <c r="G146" i="6"/>
  <c r="G149" i="6"/>
  <c r="J149" i="6"/>
  <c r="K149" i="6"/>
  <c r="G147" i="6"/>
  <c r="U13" i="10"/>
  <c r="T13" i="10"/>
  <c r="I37" i="9"/>
  <c r="J37" i="9"/>
  <c r="G41" i="9"/>
  <c r="G39" i="9"/>
  <c r="G27" i="9"/>
  <c r="I31" i="9"/>
  <c r="J31" i="9"/>
  <c r="I32" i="9"/>
  <c r="J32" i="9"/>
  <c r="I33" i="9"/>
  <c r="J33" i="9"/>
  <c r="Q33" i="9" s="1"/>
  <c r="I34" i="9"/>
  <c r="J34" i="9" s="1"/>
  <c r="Q34" i="9" s="1"/>
  <c r="I35" i="9"/>
  <c r="J35" i="9" s="1"/>
  <c r="O35" i="9" s="1"/>
  <c r="I36" i="9"/>
  <c r="J36" i="9" s="1"/>
  <c r="Q36" i="9" s="1"/>
  <c r="I38" i="9"/>
  <c r="J38" i="9"/>
  <c r="I30" i="9"/>
  <c r="J30" i="9"/>
  <c r="I18" i="9"/>
  <c r="J18" i="9"/>
  <c r="I19" i="9"/>
  <c r="J19" i="9" s="1"/>
  <c r="I20" i="9"/>
  <c r="J20" i="9"/>
  <c r="I21" i="9"/>
  <c r="J21" i="9"/>
  <c r="I22" i="9"/>
  <c r="J22" i="9"/>
  <c r="I23" i="9"/>
  <c r="J23" i="9" s="1"/>
  <c r="I24" i="9"/>
  <c r="J24" i="9"/>
  <c r="I25" i="9"/>
  <c r="J25" i="9"/>
  <c r="I26" i="9"/>
  <c r="J26" i="9"/>
  <c r="I17" i="9"/>
  <c r="J17" i="9" s="1"/>
  <c r="O17" i="9" s="1"/>
  <c r="H31" i="9"/>
  <c r="H32" i="9"/>
  <c r="H33" i="9"/>
  <c r="H34" i="9"/>
  <c r="H35" i="9"/>
  <c r="H36" i="9"/>
  <c r="H37" i="9"/>
  <c r="H38" i="9"/>
  <c r="H30" i="9"/>
  <c r="H29" i="9"/>
  <c r="H18" i="9"/>
  <c r="H19" i="9"/>
  <c r="H20" i="9"/>
  <c r="H21" i="9"/>
  <c r="H22" i="9"/>
  <c r="H23" i="9"/>
  <c r="H24" i="9"/>
  <c r="H25" i="9"/>
  <c r="H26" i="9"/>
  <c r="H17" i="9"/>
  <c r="M37" i="9"/>
  <c r="M36" i="9"/>
  <c r="M35" i="9"/>
  <c r="M34" i="9"/>
  <c r="M33" i="9"/>
  <c r="M32" i="9"/>
  <c r="M25" i="9"/>
  <c r="M24" i="9"/>
  <c r="M23" i="9"/>
  <c r="M22" i="9"/>
  <c r="M21" i="9"/>
  <c r="M20" i="9"/>
  <c r="M38" i="9"/>
  <c r="M31" i="9"/>
  <c r="M30" i="9"/>
  <c r="M29" i="9"/>
  <c r="M26" i="9"/>
  <c r="M19" i="9"/>
  <c r="M18" i="9"/>
  <c r="M17" i="9"/>
  <c r="P32" i="10"/>
  <c r="O32" i="10"/>
  <c r="N32" i="10"/>
  <c r="M32" i="10"/>
  <c r="K32" i="10"/>
  <c r="J32" i="10"/>
  <c r="J34" i="10"/>
  <c r="E30" i="10"/>
  <c r="G30" i="10"/>
  <c r="E29" i="10"/>
  <c r="G29" i="10"/>
  <c r="E28" i="10"/>
  <c r="G28" i="10"/>
  <c r="E27" i="10"/>
  <c r="G27" i="10"/>
  <c r="E26" i="10"/>
  <c r="G26" i="10"/>
  <c r="E25" i="10"/>
  <c r="G25" i="10"/>
  <c r="E24" i="10"/>
  <c r="G24" i="10"/>
  <c r="E23" i="10"/>
  <c r="G23" i="10"/>
  <c r="E22" i="10"/>
  <c r="G22" i="10"/>
  <c r="E21" i="10"/>
  <c r="G21" i="10"/>
  <c r="K19" i="10"/>
  <c r="K34" i="10"/>
  <c r="J19" i="10"/>
  <c r="E17" i="10"/>
  <c r="G17" i="10"/>
  <c r="E16" i="10"/>
  <c r="G16" i="10"/>
  <c r="E15" i="10"/>
  <c r="G15" i="10"/>
  <c r="E14" i="10"/>
  <c r="G14" i="10"/>
  <c r="E13" i="10"/>
  <c r="G13" i="10"/>
  <c r="E12" i="10"/>
  <c r="G12" i="10"/>
  <c r="E11" i="10"/>
  <c r="G11" i="10"/>
  <c r="E10" i="10"/>
  <c r="G10" i="10"/>
  <c r="E9" i="10"/>
  <c r="G9" i="10"/>
  <c r="E8" i="10"/>
  <c r="G8" i="10"/>
  <c r="E7" i="10"/>
  <c r="G7" i="10"/>
  <c r="P33" i="9"/>
  <c r="P34" i="9"/>
  <c r="P22" i="9"/>
  <c r="P29" i="9"/>
  <c r="P23" i="9"/>
  <c r="Q23" i="9" s="1"/>
  <c r="C134" i="6"/>
  <c r="N19" i="9"/>
  <c r="O19" i="9" s="1"/>
  <c r="N29" i="9"/>
  <c r="O29" i="9"/>
  <c r="N173" i="6"/>
  <c r="M168" i="6"/>
  <c r="AB142" i="29"/>
  <c r="AI228" i="29"/>
  <c r="Y222" i="27"/>
  <c r="AD145" i="29"/>
  <c r="X147" i="27"/>
  <c r="AC71" i="24"/>
  <c r="AK82" i="24"/>
  <c r="K154" i="29" s="1"/>
  <c r="AK74" i="24"/>
  <c r="AK78" i="24"/>
  <c r="AK77" i="24"/>
  <c r="P25" i="9"/>
  <c r="Q25" i="9" s="1"/>
  <c r="P20" i="9"/>
  <c r="Q20" i="9"/>
  <c r="N38" i="9"/>
  <c r="O38" i="9"/>
  <c r="N32" i="9"/>
  <c r="O32" i="9"/>
  <c r="N35" i="9"/>
  <c r="N30" i="9"/>
  <c r="O30" i="9"/>
  <c r="P17" i="9"/>
  <c r="Q17" i="9"/>
  <c r="N22" i="9"/>
  <c r="O22" i="9" s="1"/>
  <c r="Q29" i="9"/>
  <c r="Q39" i="9" s="1"/>
  <c r="N25" i="9"/>
  <c r="O25" i="9"/>
  <c r="Q33" i="22"/>
  <c r="F46" i="22"/>
  <c r="R33" i="22"/>
  <c r="N36" i="9"/>
  <c r="O36" i="9" s="1"/>
  <c r="P36" i="9"/>
  <c r="N18" i="9"/>
  <c r="O18" i="9"/>
  <c r="P21" i="9"/>
  <c r="Q21" i="9" s="1"/>
  <c r="P32" i="9"/>
  <c r="Q32" i="9" s="1"/>
  <c r="P31" i="9"/>
  <c r="Q31" i="9"/>
  <c r="N31" i="9"/>
  <c r="O31" i="9"/>
  <c r="N33" i="9"/>
  <c r="O33" i="9" s="1"/>
  <c r="P37" i="9"/>
  <c r="Q37" i="9" s="1"/>
  <c r="N26" i="9"/>
  <c r="O26" i="9" s="1"/>
  <c r="P24" i="9"/>
  <c r="Q24" i="9"/>
  <c r="N37" i="9"/>
  <c r="O37" i="9"/>
  <c r="N34" i="9"/>
  <c r="O34" i="9" s="1"/>
  <c r="P26" i="9"/>
  <c r="Q26" i="9" s="1"/>
  <c r="P18" i="9"/>
  <c r="Q18" i="9"/>
  <c r="Q27" i="9" s="1"/>
  <c r="N24" i="9"/>
  <c r="O24" i="9"/>
  <c r="P19" i="9"/>
  <c r="Q19" i="9" s="1"/>
  <c r="N20" i="9"/>
  <c r="O20" i="9" s="1"/>
  <c r="P30" i="9"/>
  <c r="Q30" i="9"/>
  <c r="P38" i="9"/>
  <c r="Q38" i="9"/>
  <c r="N23" i="9"/>
  <c r="O23" i="9" s="1"/>
  <c r="M166" i="6"/>
  <c r="P35" i="9"/>
  <c r="Q35" i="9"/>
  <c r="Q22" i="9"/>
  <c r="N185" i="6"/>
  <c r="Q69" i="22"/>
  <c r="N170" i="6"/>
  <c r="Q71" i="24"/>
  <c r="J15" i="24"/>
  <c r="X141" i="25"/>
  <c r="J10" i="24"/>
  <c r="K10" i="24" s="1"/>
  <c r="G116" i="24"/>
  <c r="L207" i="22"/>
  <c r="J8" i="24"/>
  <c r="BA8" i="24" s="1"/>
  <c r="V77" i="24"/>
  <c r="AL142" i="25"/>
  <c r="AL139" i="25"/>
  <c r="AR70" i="24"/>
  <c r="AL141" i="25"/>
  <c r="AL138" i="25"/>
  <c r="AL137" i="25"/>
  <c r="AN59" i="24"/>
  <c r="AL143" i="25"/>
  <c r="AB141" i="25"/>
  <c r="AC68" i="24"/>
  <c r="AB142" i="25"/>
  <c r="AL139" i="27"/>
  <c r="AL140" i="25"/>
  <c r="AB143" i="25"/>
  <c r="Y141" i="25"/>
  <c r="AM220" i="27"/>
  <c r="AH228" i="29"/>
  <c r="AH170" i="27"/>
  <c r="AH170" i="29"/>
  <c r="Y222" i="29"/>
  <c r="AI222" i="27"/>
  <c r="AI222" i="29"/>
  <c r="AD220" i="27"/>
  <c r="AH228" i="27"/>
  <c r="X174" i="29"/>
  <c r="X174" i="27"/>
  <c r="AI228" i="27"/>
  <c r="X222" i="29"/>
  <c r="AM220" i="29"/>
  <c r="C15" i="24"/>
  <c r="D44" i="24" s="1"/>
  <c r="J116" i="24"/>
  <c r="C10" i="24"/>
  <c r="D39" i="24" s="1"/>
  <c r="T10" i="24"/>
  <c r="N10" i="24"/>
  <c r="W10" i="24"/>
  <c r="K8" i="24"/>
  <c r="AE8" i="24"/>
  <c r="T8" i="24"/>
  <c r="AP8" i="24"/>
  <c r="AS10" i="24"/>
  <c r="AE10" i="24"/>
  <c r="BD10" i="24"/>
  <c r="W90" i="27"/>
  <c r="AI90" i="27"/>
  <c r="AC182" i="27"/>
  <c r="V78" i="24"/>
  <c r="AC69" i="24"/>
  <c r="V74" i="24"/>
  <c r="V75" i="24"/>
  <c r="AH206" i="27"/>
  <c r="AH208" i="27" s="1"/>
  <c r="AH206" i="29"/>
  <c r="AH208" i="29" s="1"/>
  <c r="AR69" i="24"/>
  <c r="AC70" i="24"/>
  <c r="AR71" i="24"/>
  <c r="AI208" i="29"/>
  <c r="AI208" i="27"/>
  <c r="V82" i="24" l="1"/>
  <c r="K154" i="27" s="1"/>
  <c r="K28" i="24"/>
  <c r="R163" i="22"/>
  <c r="J28" i="24"/>
  <c r="O27" i="9"/>
  <c r="Q41" i="9"/>
  <c r="O39" i="9"/>
  <c r="S45" i="22"/>
  <c r="M10" i="24" s="1"/>
  <c r="S10" i="24" s="1"/>
  <c r="W8" i="24"/>
  <c r="AH8" i="24"/>
  <c r="B63" i="24"/>
  <c r="AP10" i="24"/>
  <c r="AO238" i="29" s="1"/>
  <c r="AS8" i="24"/>
  <c r="X28" i="24"/>
  <c r="F88" i="22"/>
  <c r="Q93" i="22"/>
  <c r="BD8" i="24"/>
  <c r="C8" i="24"/>
  <c r="N8" i="24"/>
  <c r="M22" i="24"/>
  <c r="AD22" i="24" s="1"/>
  <c r="AG22" i="24" s="1"/>
  <c r="F146" i="22"/>
  <c r="G18" i="24"/>
  <c r="I18" i="24" s="1"/>
  <c r="L18" i="24" s="1"/>
  <c r="R45" i="22"/>
  <c r="B39" i="24"/>
  <c r="BA10" i="24"/>
  <c r="D63" i="24"/>
  <c r="C63" i="24"/>
  <c r="C39" i="24"/>
  <c r="AH10" i="24"/>
  <c r="W9" i="24"/>
  <c r="K9" i="24"/>
  <c r="N9" i="24"/>
  <c r="AE9" i="24"/>
  <c r="C9" i="24"/>
  <c r="BA9" i="24"/>
  <c r="AS9" i="24"/>
  <c r="G9" i="24"/>
  <c r="I9" i="24" s="1"/>
  <c r="AP9" i="24"/>
  <c r="F40" i="22"/>
  <c r="BD9" i="24"/>
  <c r="T9" i="24"/>
  <c r="M167" i="6"/>
  <c r="AH9" i="24"/>
  <c r="T38" i="22"/>
  <c r="O8" i="24"/>
  <c r="N184" i="6"/>
  <c r="Q139" i="22"/>
  <c r="K24" i="24" s="1"/>
  <c r="M181" i="6"/>
  <c r="J19" i="24"/>
  <c r="C19" i="24" s="1"/>
  <c r="C48" i="24" s="1"/>
  <c r="M174" i="6"/>
  <c r="K15" i="24"/>
  <c r="T68" i="22"/>
  <c r="N169" i="6"/>
  <c r="Q51" i="22"/>
  <c r="T50" i="22" s="1"/>
  <c r="F52" i="22"/>
  <c r="AH196" i="25"/>
  <c r="Q68" i="24"/>
  <c r="J77" i="24"/>
  <c r="J82" i="24"/>
  <c r="K154" i="25" s="1"/>
  <c r="X147" i="25"/>
  <c r="N59" i="24"/>
  <c r="X125" i="25" s="1"/>
  <c r="AL137" i="27"/>
  <c r="AB141" i="27"/>
  <c r="X141" i="29"/>
  <c r="AB141" i="29"/>
  <c r="AL141" i="29"/>
  <c r="AL138" i="29"/>
  <c r="AL143" i="27"/>
  <c r="Y59" i="24"/>
  <c r="AL139" i="29"/>
  <c r="X125" i="29"/>
  <c r="AL141" i="27"/>
  <c r="AB143" i="29"/>
  <c r="AL142" i="27"/>
  <c r="AL138" i="27"/>
  <c r="AL142" i="29"/>
  <c r="AB142" i="27"/>
  <c r="AL140" i="27"/>
  <c r="X141" i="27"/>
  <c r="AL143" i="29"/>
  <c r="AL140" i="29"/>
  <c r="Y141" i="27"/>
  <c r="Y141" i="29"/>
  <c r="AB143" i="27"/>
  <c r="Q69" i="24"/>
  <c r="J78" i="24"/>
  <c r="J76" i="24"/>
  <c r="Q70" i="24"/>
  <c r="J75" i="24"/>
  <c r="J23" i="24"/>
  <c r="C23" i="24" s="1"/>
  <c r="N179" i="6"/>
  <c r="D72" i="24"/>
  <c r="D48" i="24"/>
  <c r="T18" i="24"/>
  <c r="AH18" i="24"/>
  <c r="W18" i="24"/>
  <c r="AE18" i="24"/>
  <c r="N18" i="24"/>
  <c r="AP18" i="24"/>
  <c r="AO255" i="25" s="1"/>
  <c r="K18" i="24"/>
  <c r="C18" i="24"/>
  <c r="N176" i="6"/>
  <c r="F94" i="22"/>
  <c r="P15" i="24"/>
  <c r="Q15" i="24" s="1"/>
  <c r="B44" i="24"/>
  <c r="C44" i="24"/>
  <c r="R69" i="22"/>
  <c r="N171" i="6"/>
  <c r="Q57" i="22"/>
  <c r="P10" i="24"/>
  <c r="Q10" i="24" s="1"/>
  <c r="R157" i="22"/>
  <c r="M183" i="6"/>
  <c r="M23" i="24"/>
  <c r="AZ23" i="24" s="1"/>
  <c r="R127" i="22"/>
  <c r="M178" i="6"/>
  <c r="F123" i="22"/>
  <c r="C72" i="24"/>
  <c r="K19" i="24"/>
  <c r="B48" i="24"/>
  <c r="R99" i="22"/>
  <c r="M177" i="6"/>
  <c r="Q99" i="22"/>
  <c r="C17" i="24"/>
  <c r="K17" i="24"/>
  <c r="Q87" i="22"/>
  <c r="J16" i="24"/>
  <c r="L16" i="24"/>
  <c r="R81" i="22"/>
  <c r="Q81" i="22"/>
  <c r="L15" i="24"/>
  <c r="Q75" i="22"/>
  <c r="S75" i="22" s="1"/>
  <c r="B68" i="24"/>
  <c r="C68" i="24"/>
  <c r="F76" i="22"/>
  <c r="D68" i="24"/>
  <c r="C14" i="24"/>
  <c r="K14" i="24"/>
  <c r="G14" i="24"/>
  <c r="I14" i="24" s="1"/>
  <c r="L14" i="24" s="1"/>
  <c r="M8" i="24"/>
  <c r="S8" i="24" s="1"/>
  <c r="T32" i="22"/>
  <c r="F20" i="24"/>
  <c r="J11" i="24"/>
  <c r="D20" i="24"/>
  <c r="D29" i="24" s="1"/>
  <c r="H186" i="22" s="1"/>
  <c r="K27" i="24"/>
  <c r="T156" i="22"/>
  <c r="M27" i="24"/>
  <c r="F158" i="22"/>
  <c r="J27" i="24"/>
  <c r="M182" i="6"/>
  <c r="J25" i="24"/>
  <c r="Q145" i="22"/>
  <c r="R151" i="22"/>
  <c r="J26" i="24"/>
  <c r="F152" i="22"/>
  <c r="M11" i="24"/>
  <c r="AO10" i="24"/>
  <c r="AQ10" i="24" s="1"/>
  <c r="AZ10" i="24"/>
  <c r="BC10" i="24" s="1"/>
  <c r="BE10" i="24" s="1"/>
  <c r="AD10" i="24"/>
  <c r="M25" i="24"/>
  <c r="S25" i="24" s="1"/>
  <c r="AZ22" i="24"/>
  <c r="BC22" i="24" s="1"/>
  <c r="F29" i="24"/>
  <c r="M24" i="24"/>
  <c r="N24" i="24" s="1"/>
  <c r="O24" i="24" s="1"/>
  <c r="V10" i="24"/>
  <c r="X10" i="24" s="1"/>
  <c r="U10" i="24"/>
  <c r="O10" i="24"/>
  <c r="AZ8" i="24"/>
  <c r="L17" i="24"/>
  <c r="L19" i="24"/>
  <c r="O27" i="24"/>
  <c r="O28" i="24"/>
  <c r="Q28" i="24"/>
  <c r="M26" i="24"/>
  <c r="K26" i="24"/>
  <c r="T150" i="22"/>
  <c r="C26" i="24"/>
  <c r="G25" i="24"/>
  <c r="I25" i="24" s="1"/>
  <c r="AF24" i="24"/>
  <c r="AI24" i="24"/>
  <c r="AQ24" i="24"/>
  <c r="BE24" i="24"/>
  <c r="P24" i="24"/>
  <c r="Q24" i="24" s="1"/>
  <c r="AT24" i="24"/>
  <c r="U24" i="24"/>
  <c r="C24" i="24"/>
  <c r="BB24" i="24"/>
  <c r="X24" i="24"/>
  <c r="R139" i="22"/>
  <c r="F140" i="22"/>
  <c r="T132" i="22"/>
  <c r="K23" i="24"/>
  <c r="F134" i="22"/>
  <c r="R133" i="22"/>
  <c r="X122" i="29"/>
  <c r="AH122" i="29"/>
  <c r="K22" i="24"/>
  <c r="T126" i="22"/>
  <c r="S22" i="24"/>
  <c r="V22" i="24" s="1"/>
  <c r="J22" i="24"/>
  <c r="F128" i="22"/>
  <c r="J21" i="24"/>
  <c r="AH125" i="29"/>
  <c r="I21" i="24"/>
  <c r="Q122" i="22"/>
  <c r="M21" i="24" s="1"/>
  <c r="AD21" i="24" s="1"/>
  <c r="AG21" i="24" s="1"/>
  <c r="D42" i="24"/>
  <c r="C66" i="24"/>
  <c r="B66" i="24"/>
  <c r="B42" i="24"/>
  <c r="C42" i="24"/>
  <c r="D66" i="24"/>
  <c r="Q63" i="22"/>
  <c r="K13" i="24"/>
  <c r="R63" i="22"/>
  <c r="G13" i="24"/>
  <c r="I13" i="24" s="1"/>
  <c r="C12" i="24"/>
  <c r="K12" i="24"/>
  <c r="G12" i="24"/>
  <c r="I12" i="24" s="1"/>
  <c r="F58" i="22"/>
  <c r="R39" i="22"/>
  <c r="K25" i="24" l="1"/>
  <c r="S145" i="22"/>
  <c r="C28" i="24"/>
  <c r="AI28" i="24"/>
  <c r="AF28" i="24"/>
  <c r="P28" i="24"/>
  <c r="U28" i="24"/>
  <c r="AT28" i="24"/>
  <c r="AQ28" i="24"/>
  <c r="BB28" i="24"/>
  <c r="BE28" i="24"/>
  <c r="T162" i="22"/>
  <c r="M28" i="24"/>
  <c r="T92" i="22"/>
  <c r="M18" i="24"/>
  <c r="P18" i="24" s="1"/>
  <c r="BA23" i="24"/>
  <c r="D37" i="24"/>
  <c r="B61" i="24"/>
  <c r="D61" i="24"/>
  <c r="C61" i="24"/>
  <c r="B37" i="24"/>
  <c r="C37" i="24"/>
  <c r="AO238" i="25"/>
  <c r="AO238" i="27"/>
  <c r="P26" i="24"/>
  <c r="Q26" i="24" s="1"/>
  <c r="T44" i="22"/>
  <c r="O41" i="9"/>
  <c r="AO22" i="24"/>
  <c r="AR22" i="24" s="1"/>
  <c r="AT22" i="24" s="1"/>
  <c r="B72" i="24"/>
  <c r="O18" i="24"/>
  <c r="Q18" i="24"/>
  <c r="M14" i="24"/>
  <c r="P14" i="24" s="1"/>
  <c r="Q14" i="24" s="1"/>
  <c r="C38" i="24"/>
  <c r="B62" i="24"/>
  <c r="C62" i="24"/>
  <c r="B38" i="24"/>
  <c r="D38" i="24"/>
  <c r="D62" i="24"/>
  <c r="M9" i="24"/>
  <c r="N23" i="24"/>
  <c r="O23" i="24" s="1"/>
  <c r="P23" i="24"/>
  <c r="Q23" i="24" s="1"/>
  <c r="S21" i="24"/>
  <c r="V21" i="24" s="1"/>
  <c r="X21" i="24" s="1"/>
  <c r="AO21" i="24"/>
  <c r="AR21" i="24" s="1"/>
  <c r="AT21" i="24" s="1"/>
  <c r="AZ21" i="24"/>
  <c r="BC21" i="24" s="1"/>
  <c r="BE21" i="24" s="1"/>
  <c r="AE21" i="24"/>
  <c r="AI21" i="24"/>
  <c r="X125" i="27"/>
  <c r="AH125" i="25"/>
  <c r="AI198" i="25"/>
  <c r="AH198" i="25"/>
  <c r="X122" i="25"/>
  <c r="AH122" i="25"/>
  <c r="AM196" i="25"/>
  <c r="AH125" i="27"/>
  <c r="AH122" i="27"/>
  <c r="X122" i="27"/>
  <c r="M19" i="24"/>
  <c r="AD19" i="24" s="1"/>
  <c r="AE19" i="24" s="1"/>
  <c r="AZ18" i="24"/>
  <c r="BB18" i="24" s="1"/>
  <c r="M16" i="24"/>
  <c r="N16" i="24" s="1"/>
  <c r="O16" i="24" s="1"/>
  <c r="AO23" i="24"/>
  <c r="AR23" i="24" s="1"/>
  <c r="AS23" i="24" s="1"/>
  <c r="AD23" i="24"/>
  <c r="AF23" i="24" s="1"/>
  <c r="S23" i="24"/>
  <c r="V23" i="24" s="1"/>
  <c r="P21" i="24"/>
  <c r="Q21" i="24" s="1"/>
  <c r="B71" i="24"/>
  <c r="C47" i="24"/>
  <c r="B47" i="24"/>
  <c r="D47" i="24"/>
  <c r="D71" i="24"/>
  <c r="C71" i="24"/>
  <c r="AO255" i="27"/>
  <c r="S18" i="24"/>
  <c r="AD18" i="24"/>
  <c r="AO18" i="24"/>
  <c r="AO255" i="29"/>
  <c r="BE16" i="24"/>
  <c r="K16" i="24"/>
  <c r="AF16" i="24"/>
  <c r="AT16" i="24"/>
  <c r="AI16" i="24"/>
  <c r="X16" i="24"/>
  <c r="T56" i="22"/>
  <c r="AD8" i="24"/>
  <c r="AG8" i="24" s="1"/>
  <c r="AI8" i="24" s="1"/>
  <c r="AO8" i="24"/>
  <c r="P8" i="24"/>
  <c r="Q8" i="24" s="1"/>
  <c r="C25" i="24"/>
  <c r="D54" i="24" s="1"/>
  <c r="BB23" i="24"/>
  <c r="U19" i="24"/>
  <c r="BB19" i="24"/>
  <c r="AF19" i="24"/>
  <c r="AQ19" i="24"/>
  <c r="BA18" i="24"/>
  <c r="T86" i="22"/>
  <c r="M17" i="24"/>
  <c r="P17" i="24" s="1"/>
  <c r="Q17" i="24" s="1"/>
  <c r="C70" i="24"/>
  <c r="C46" i="24"/>
  <c r="B46" i="24"/>
  <c r="B70" i="24"/>
  <c r="D70" i="24"/>
  <c r="D46" i="24"/>
  <c r="U16" i="24"/>
  <c r="BB16" i="24"/>
  <c r="C16" i="24"/>
  <c r="B45" i="24" s="1"/>
  <c r="P16" i="24"/>
  <c r="Q16" i="24" s="1"/>
  <c r="AQ16" i="24"/>
  <c r="AF15" i="24"/>
  <c r="AQ15" i="24"/>
  <c r="BB15" i="24"/>
  <c r="U15" i="24"/>
  <c r="AD14" i="24"/>
  <c r="AF14" i="24" s="1"/>
  <c r="AO14" i="24"/>
  <c r="AQ14" i="24" s="1"/>
  <c r="B43" i="24"/>
  <c r="C43" i="24"/>
  <c r="B67" i="24"/>
  <c r="D67" i="24"/>
  <c r="D43" i="24"/>
  <c r="C67" i="24"/>
  <c r="N14" i="24"/>
  <c r="O14" i="24" s="1"/>
  <c r="T144" i="22"/>
  <c r="M13" i="24"/>
  <c r="N13" i="24" s="1"/>
  <c r="O13" i="24" s="1"/>
  <c r="P11" i="24"/>
  <c r="Q11" i="24" s="1"/>
  <c r="K11" i="24"/>
  <c r="C11" i="24"/>
  <c r="AR10" i="24"/>
  <c r="AT10" i="24" s="1"/>
  <c r="BA27" i="24"/>
  <c r="AS27" i="24"/>
  <c r="BD27" i="24"/>
  <c r="T27" i="24"/>
  <c r="AH27" i="24"/>
  <c r="AE27" i="24"/>
  <c r="N27" i="24"/>
  <c r="AP27" i="24"/>
  <c r="W27" i="24"/>
  <c r="C27" i="24"/>
  <c r="P27" i="24"/>
  <c r="S27" i="24"/>
  <c r="V27" i="24" s="1"/>
  <c r="X27" i="24" s="1"/>
  <c r="AD27" i="24"/>
  <c r="AG27" i="24" s="1"/>
  <c r="AI27" i="24" s="1"/>
  <c r="AO27" i="24"/>
  <c r="AR27" i="24" s="1"/>
  <c r="AT27" i="24" s="1"/>
  <c r="AZ27" i="24"/>
  <c r="BC27" i="24" s="1"/>
  <c r="BE27" i="24" s="1"/>
  <c r="U25" i="24"/>
  <c r="AF25" i="24"/>
  <c r="P25" i="24"/>
  <c r="N26" i="24"/>
  <c r="O26" i="24" s="1"/>
  <c r="N25" i="24"/>
  <c r="AZ11" i="24"/>
  <c r="BB11" i="24" s="1"/>
  <c r="N11" i="24"/>
  <c r="O11" i="24" s="1"/>
  <c r="AD11" i="24"/>
  <c r="AF11" i="24" s="1"/>
  <c r="S11" i="24"/>
  <c r="U11" i="24" s="1"/>
  <c r="AO11" i="24"/>
  <c r="AQ11" i="24" s="1"/>
  <c r="BB10" i="24"/>
  <c r="AF10" i="24"/>
  <c r="AG10" i="24"/>
  <c r="AI10" i="24" s="1"/>
  <c r="AD25" i="24"/>
  <c r="AE25" i="24" s="1"/>
  <c r="AZ25" i="24"/>
  <c r="BC25" i="24" s="1"/>
  <c r="BD25" i="24" s="1"/>
  <c r="AO25" i="24"/>
  <c r="AR25" i="24" s="1"/>
  <c r="AS25" i="24" s="1"/>
  <c r="BC23" i="24"/>
  <c r="AO24" i="24"/>
  <c r="AD24" i="24"/>
  <c r="AZ24" i="24"/>
  <c r="S24" i="24"/>
  <c r="T138" i="22"/>
  <c r="BB8" i="24"/>
  <c r="BC8" i="24"/>
  <c r="BE8" i="24" s="1"/>
  <c r="U8" i="24"/>
  <c r="V8" i="24"/>
  <c r="X8" i="24" s="1"/>
  <c r="B78" i="24"/>
  <c r="C78" i="24"/>
  <c r="B54" i="24"/>
  <c r="D55" i="24"/>
  <c r="C54" i="24"/>
  <c r="D79" i="24"/>
  <c r="AO26" i="24"/>
  <c r="AP26" i="24" s="1"/>
  <c r="AD26" i="24"/>
  <c r="AE26" i="24" s="1"/>
  <c r="S26" i="24"/>
  <c r="T26" i="24" s="1"/>
  <c r="AZ26" i="24"/>
  <c r="BA26" i="24" s="1"/>
  <c r="G29" i="24"/>
  <c r="T25" i="24"/>
  <c r="V25" i="24"/>
  <c r="W25" i="24" s="1"/>
  <c r="Q25" i="24"/>
  <c r="O25" i="24"/>
  <c r="D53" i="24"/>
  <c r="C76" i="24"/>
  <c r="B76" i="24"/>
  <c r="D77" i="24"/>
  <c r="C52" i="24"/>
  <c r="B52" i="24"/>
  <c r="C75" i="24"/>
  <c r="D76" i="24"/>
  <c r="B75" i="24"/>
  <c r="B51" i="24"/>
  <c r="C51" i="24"/>
  <c r="D52" i="24"/>
  <c r="AH22" i="24"/>
  <c r="T22" i="24"/>
  <c r="AE22" i="24"/>
  <c r="P22" i="24"/>
  <c r="Q22" i="24" s="1"/>
  <c r="X22" i="24"/>
  <c r="N22" i="24"/>
  <c r="O22" i="24" s="1"/>
  <c r="AF22" i="24"/>
  <c r="W22" i="24"/>
  <c r="BA22" i="24"/>
  <c r="AS22" i="24"/>
  <c r="BB22" i="24"/>
  <c r="U22" i="24"/>
  <c r="BD22" i="24"/>
  <c r="BE22" i="24"/>
  <c r="C22" i="24"/>
  <c r="AP22" i="24"/>
  <c r="AI22" i="24"/>
  <c r="AQ22" i="24"/>
  <c r="AF21" i="24"/>
  <c r="N21" i="24"/>
  <c r="C21" i="24"/>
  <c r="BB21" i="24"/>
  <c r="AH21" i="24"/>
  <c r="T121" i="22"/>
  <c r="K21" i="24"/>
  <c r="I29" i="24"/>
  <c r="L13" i="24"/>
  <c r="P13" i="24"/>
  <c r="L12" i="24"/>
  <c r="G20" i="24"/>
  <c r="B41" i="24"/>
  <c r="B65" i="24"/>
  <c r="D65" i="24"/>
  <c r="D41" i="24"/>
  <c r="C65" i="24"/>
  <c r="C41" i="24"/>
  <c r="O9" i="24"/>
  <c r="L9" i="24"/>
  <c r="I20" i="24"/>
  <c r="AD28" i="24" l="1"/>
  <c r="S28" i="24"/>
  <c r="AO28" i="24"/>
  <c r="N28" i="24"/>
  <c r="AZ28" i="24"/>
  <c r="C56" i="24"/>
  <c r="D57" i="24"/>
  <c r="C80" i="24"/>
  <c r="D81" i="24"/>
  <c r="B80" i="24"/>
  <c r="B56" i="24"/>
  <c r="AT25" i="24"/>
  <c r="AG25" i="24"/>
  <c r="AH25" i="24" s="1"/>
  <c r="BB25" i="24"/>
  <c r="BE25" i="24"/>
  <c r="D78" i="24"/>
  <c r="X25" i="24"/>
  <c r="C53" i="24"/>
  <c r="AQ25" i="24"/>
  <c r="AQ23" i="24"/>
  <c r="W23" i="24"/>
  <c r="X23" i="24"/>
  <c r="AT23" i="24"/>
  <c r="U23" i="24"/>
  <c r="BD21" i="24"/>
  <c r="AS21" i="24"/>
  <c r="BA21" i="24"/>
  <c r="AP21" i="24"/>
  <c r="B69" i="24"/>
  <c r="T21" i="24"/>
  <c r="W21" i="24"/>
  <c r="D45" i="24"/>
  <c r="T74" i="22"/>
  <c r="M15" i="24"/>
  <c r="AZ14" i="24"/>
  <c r="BB14" i="24" s="1"/>
  <c r="S14" i="24"/>
  <c r="U14" i="24" s="1"/>
  <c r="AD9" i="24"/>
  <c r="P9" i="24"/>
  <c r="Q9" i="24" s="1"/>
  <c r="AO9" i="24"/>
  <c r="S9" i="24"/>
  <c r="AZ9" i="24"/>
  <c r="T23" i="24"/>
  <c r="B77" i="24"/>
  <c r="B53" i="24"/>
  <c r="C77" i="24"/>
  <c r="AG23" i="24"/>
  <c r="AH23" i="24" s="1"/>
  <c r="AP23" i="24"/>
  <c r="AE23" i="24"/>
  <c r="AQ21" i="24"/>
  <c r="U21" i="24"/>
  <c r="BC18" i="24"/>
  <c r="BE18" i="24" s="1"/>
  <c r="AF8" i="24"/>
  <c r="P29" i="24"/>
  <c r="P19" i="24"/>
  <c r="Q19" i="24" s="1"/>
  <c r="AO19" i="24"/>
  <c r="N19" i="24"/>
  <c r="O19" i="24" s="1"/>
  <c r="T98" i="22"/>
  <c r="AZ19" i="24"/>
  <c r="S19" i="24"/>
  <c r="T19" i="24" s="1"/>
  <c r="AG19" i="24"/>
  <c r="AH19" i="24" s="1"/>
  <c r="AZ16" i="24"/>
  <c r="S16" i="24"/>
  <c r="AO16" i="24"/>
  <c r="AD16" i="24"/>
  <c r="T80" i="22"/>
  <c r="AI19" i="24"/>
  <c r="AT19" i="24"/>
  <c r="X19" i="24"/>
  <c r="BE19" i="24"/>
  <c r="V18" i="24"/>
  <c r="X18" i="24" s="1"/>
  <c r="U18" i="24"/>
  <c r="BD18" i="24"/>
  <c r="AR18" i="24"/>
  <c r="AQ18" i="24"/>
  <c r="AG18" i="24"/>
  <c r="AI18" i="24" s="1"/>
  <c r="AF18" i="24"/>
  <c r="AZ13" i="24"/>
  <c r="BA13" i="24" s="1"/>
  <c r="AD13" i="24"/>
  <c r="AG13" i="24" s="1"/>
  <c r="AO13" i="24"/>
  <c r="AR13" i="24" s="1"/>
  <c r="M12" i="24"/>
  <c r="P12" i="24" s="1"/>
  <c r="Q12" i="24" s="1"/>
  <c r="AR8" i="24"/>
  <c r="AT8" i="24" s="1"/>
  <c r="AQ8" i="24"/>
  <c r="AI23" i="24"/>
  <c r="BD23" i="24"/>
  <c r="BE23" i="24"/>
  <c r="S17" i="24"/>
  <c r="U17" i="24" s="1"/>
  <c r="AZ17" i="24"/>
  <c r="BB17" i="24" s="1"/>
  <c r="AD17" i="24"/>
  <c r="AF17" i="24" s="1"/>
  <c r="AO17" i="24"/>
  <c r="AQ17" i="24" s="1"/>
  <c r="N17" i="24"/>
  <c r="O17" i="24" s="1"/>
  <c r="D69" i="24"/>
  <c r="C45" i="24"/>
  <c r="C69" i="24"/>
  <c r="AR14" i="24"/>
  <c r="AP14" i="24"/>
  <c r="AG14" i="24"/>
  <c r="AE14" i="24"/>
  <c r="T14" i="24"/>
  <c r="BA14" i="24"/>
  <c r="S13" i="24"/>
  <c r="T13" i="24" s="1"/>
  <c r="T62" i="22"/>
  <c r="D64" i="24"/>
  <c r="B40" i="24"/>
  <c r="B64" i="24"/>
  <c r="C40" i="24"/>
  <c r="C64" i="24"/>
  <c r="D40" i="24"/>
  <c r="AF27" i="24"/>
  <c r="BB27" i="24"/>
  <c r="AQ27" i="24"/>
  <c r="D80" i="24"/>
  <c r="D56" i="24"/>
  <c r="B55" i="24"/>
  <c r="C55" i="24"/>
  <c r="C79" i="24"/>
  <c r="B79" i="24"/>
  <c r="U27" i="24"/>
  <c r="N29" i="24"/>
  <c r="BA11" i="24"/>
  <c r="BC11" i="24"/>
  <c r="AP11" i="24"/>
  <c r="AR11" i="24"/>
  <c r="V11" i="24"/>
  <c r="T11" i="24"/>
  <c r="AG11" i="24"/>
  <c r="AE11" i="24"/>
  <c r="AP25" i="24"/>
  <c r="BA25" i="24"/>
  <c r="AR24" i="24"/>
  <c r="AS24" i="24" s="1"/>
  <c r="AP24" i="24"/>
  <c r="AG24" i="24"/>
  <c r="AH24" i="24" s="1"/>
  <c r="AE24" i="24"/>
  <c r="V24" i="24"/>
  <c r="W24" i="24" s="1"/>
  <c r="T24" i="24"/>
  <c r="BC24" i="24"/>
  <c r="BD24" i="24" s="1"/>
  <c r="BA24" i="24"/>
  <c r="O21" i="24"/>
  <c r="BC26" i="24"/>
  <c r="BB26" i="24"/>
  <c r="V26" i="24"/>
  <c r="U26" i="24"/>
  <c r="AG26" i="24"/>
  <c r="AF26" i="24"/>
  <c r="AQ26" i="24"/>
  <c r="AR26" i="24"/>
  <c r="G30" i="24"/>
  <c r="H177" i="22" s="1"/>
  <c r="H182" i="22" s="1"/>
  <c r="B50" i="24"/>
  <c r="D51" i="24"/>
  <c r="B74" i="24"/>
  <c r="D75" i="24"/>
  <c r="C50" i="24"/>
  <c r="C74" i="24"/>
  <c r="D50" i="24"/>
  <c r="D74" i="24"/>
  <c r="B49" i="24"/>
  <c r="C49" i="24"/>
  <c r="B73" i="24"/>
  <c r="C73" i="24"/>
  <c r="I30" i="24"/>
  <c r="H184" i="22" s="1"/>
  <c r="D88" i="24" s="1"/>
  <c r="Q13" i="24"/>
  <c r="AQ13" i="24"/>
  <c r="BC28" i="24" l="1"/>
  <c r="BD28" i="24" s="1"/>
  <c r="BA28" i="24"/>
  <c r="AR28" i="24"/>
  <c r="AS28" i="24" s="1"/>
  <c r="AP28" i="24"/>
  <c r="V28" i="24"/>
  <c r="W28" i="24" s="1"/>
  <c r="T28" i="24"/>
  <c r="AG28" i="24"/>
  <c r="AH28" i="24" s="1"/>
  <c r="AE28" i="24"/>
  <c r="AI25" i="24"/>
  <c r="V14" i="24"/>
  <c r="N15" i="24"/>
  <c r="O15" i="24" s="1"/>
  <c r="AD15" i="24"/>
  <c r="S15" i="24"/>
  <c r="AZ15" i="24"/>
  <c r="AO15" i="24"/>
  <c r="BC14" i="24"/>
  <c r="BE14" i="24" s="1"/>
  <c r="U9" i="24"/>
  <c r="V9" i="24"/>
  <c r="X9" i="24" s="1"/>
  <c r="BC9" i="24"/>
  <c r="BE9" i="24" s="1"/>
  <c r="BB9" i="24"/>
  <c r="AR9" i="24"/>
  <c r="AT9" i="24" s="1"/>
  <c r="AQ9" i="24"/>
  <c r="AF9" i="24"/>
  <c r="AG9" i="24"/>
  <c r="AI9" i="24" s="1"/>
  <c r="BB13" i="24"/>
  <c r="U13" i="24"/>
  <c r="AE13" i="24"/>
  <c r="AF13" i="24"/>
  <c r="P20" i="24"/>
  <c r="P30" i="24" s="1"/>
  <c r="S1" i="22" s="1"/>
  <c r="V19" i="24"/>
  <c r="W19" i="24" s="1"/>
  <c r="AP19" i="24"/>
  <c r="AR19" i="24"/>
  <c r="AS19" i="24" s="1"/>
  <c r="BA19" i="24"/>
  <c r="BC19" i="24"/>
  <c r="BD19" i="24" s="1"/>
  <c r="AG16" i="24"/>
  <c r="AH16" i="24" s="1"/>
  <c r="AE16" i="24"/>
  <c r="AR16" i="24"/>
  <c r="AS16" i="24" s="1"/>
  <c r="AP16" i="24"/>
  <c r="V16" i="24"/>
  <c r="W16" i="24" s="1"/>
  <c r="T16" i="24"/>
  <c r="BC16" i="24"/>
  <c r="BD16" i="24" s="1"/>
  <c r="BA16" i="24"/>
  <c r="V13" i="24"/>
  <c r="W13" i="24" s="1"/>
  <c r="BC13" i="24"/>
  <c r="BD13" i="24" s="1"/>
  <c r="AP13" i="24"/>
  <c r="AO244" i="27" s="1"/>
  <c r="E61" i="24" a="1"/>
  <c r="Y75" i="29" s="1"/>
  <c r="AS18" i="24"/>
  <c r="AT18" i="24"/>
  <c r="W14" i="24"/>
  <c r="X14" i="24"/>
  <c r="AH14" i="24"/>
  <c r="AI14" i="24"/>
  <c r="AS14" i="24"/>
  <c r="AT14" i="24"/>
  <c r="BD14" i="24"/>
  <c r="AO12" i="24"/>
  <c r="AZ12" i="24"/>
  <c r="BB12" i="24" s="1"/>
  <c r="S12" i="24"/>
  <c r="U12" i="24" s="1"/>
  <c r="N12" i="24"/>
  <c r="AD12" i="24"/>
  <c r="AF12" i="24" s="1"/>
  <c r="B82" i="24"/>
  <c r="E37" i="24" a="1"/>
  <c r="AK68" i="27" s="1"/>
  <c r="AR17" i="24"/>
  <c r="AP17" i="24"/>
  <c r="AG17" i="24"/>
  <c r="AE17" i="24"/>
  <c r="BC17" i="24"/>
  <c r="BA17" i="24"/>
  <c r="V17" i="24"/>
  <c r="T17" i="24"/>
  <c r="AO251" i="27"/>
  <c r="AO251" i="29"/>
  <c r="AO251" i="25"/>
  <c r="AS11" i="24"/>
  <c r="AT11" i="24"/>
  <c r="W11" i="24"/>
  <c r="X11" i="24"/>
  <c r="BD11" i="24"/>
  <c r="BE11" i="24"/>
  <c r="AH11" i="24"/>
  <c r="AI11" i="24"/>
  <c r="B58" i="24"/>
  <c r="BE26" i="24"/>
  <c r="BD26" i="24"/>
  <c r="AT26" i="24"/>
  <c r="AS26" i="24"/>
  <c r="AI26" i="24"/>
  <c r="AH26" i="24"/>
  <c r="X26" i="24"/>
  <c r="W26" i="24"/>
  <c r="AO240" i="25"/>
  <c r="AO240" i="27"/>
  <c r="AO240" i="29"/>
  <c r="C106" i="24"/>
  <c r="B110" i="24" s="1"/>
  <c r="C125" i="24"/>
  <c r="D89" i="24"/>
  <c r="AT13" i="24"/>
  <c r="AS13" i="24"/>
  <c r="AI13" i="24"/>
  <c r="AH13" i="24"/>
  <c r="AH17" i="24" l="1"/>
  <c r="AI17" i="24"/>
  <c r="AS17" i="24"/>
  <c r="AT17" i="24"/>
  <c r="BD17" i="24"/>
  <c r="BE17" i="24"/>
  <c r="W17" i="24"/>
  <c r="X17" i="24"/>
  <c r="BA15" i="24"/>
  <c r="BC15" i="24"/>
  <c r="T15" i="24"/>
  <c r="V15" i="24"/>
  <c r="AP15" i="24"/>
  <c r="AR15" i="24"/>
  <c r="AE15" i="24"/>
  <c r="AG15" i="24"/>
  <c r="BB30" i="24"/>
  <c r="W89" i="29" s="1"/>
  <c r="U32" i="24"/>
  <c r="R179" i="22"/>
  <c r="X13" i="24"/>
  <c r="BE13" i="24"/>
  <c r="AF30" i="24"/>
  <c r="AM29" i="24" s="1"/>
  <c r="AO30" i="24"/>
  <c r="AQ12" i="24"/>
  <c r="AQ30" i="24" s="1"/>
  <c r="U30" i="24"/>
  <c r="AB29" i="24" s="1"/>
  <c r="AB30" i="24" s="1"/>
  <c r="AO253" i="29"/>
  <c r="AO253" i="27"/>
  <c r="AO253" i="25"/>
  <c r="AO244" i="25"/>
  <c r="AO244" i="29"/>
  <c r="Y26" i="29"/>
  <c r="X28" i="29" s="1"/>
  <c r="Y40" i="27"/>
  <c r="AD44" i="27" s="1"/>
  <c r="Y82" i="27"/>
  <c r="W84" i="27" s="1"/>
  <c r="Y54" i="29"/>
  <c r="AC55" i="29" s="1"/>
  <c r="Y26" i="27"/>
  <c r="Y40" i="29"/>
  <c r="Y42" i="29" s="1"/>
  <c r="Y98" i="27"/>
  <c r="AC102" i="27" s="1"/>
  <c r="Y68" i="25"/>
  <c r="W70" i="25" s="1"/>
  <c r="Y40" i="25"/>
  <c r="AA41" i="25" s="1"/>
  <c r="Y82" i="25"/>
  <c r="AD86" i="25" s="1"/>
  <c r="Y54" i="27"/>
  <c r="AD58" i="27" s="1"/>
  <c r="Y98" i="25"/>
  <c r="AA102" i="25" s="1"/>
  <c r="Y68" i="27"/>
  <c r="AC69" i="27" s="1"/>
  <c r="Y112" i="27"/>
  <c r="AC116" i="27" s="1"/>
  <c r="Y33" i="29"/>
  <c r="X34" i="29" s="1"/>
  <c r="E61" i="24"/>
  <c r="Y19" i="29" s="1"/>
  <c r="Y61" i="29"/>
  <c r="AA65" i="29" s="1"/>
  <c r="Y75" i="25"/>
  <c r="AD79" i="25" s="1"/>
  <c r="Y112" i="29"/>
  <c r="W114" i="29" s="1"/>
  <c r="Y105" i="29"/>
  <c r="AD109" i="29" s="1"/>
  <c r="Y33" i="27"/>
  <c r="AA34" i="27" s="1"/>
  <c r="Y26" i="25"/>
  <c r="AC30" i="25" s="1"/>
  <c r="Y33" i="25"/>
  <c r="AD37" i="25" s="1"/>
  <c r="Y61" i="25"/>
  <c r="Y63" i="25" s="1"/>
  <c r="Y91" i="29"/>
  <c r="AD95" i="29" s="1"/>
  <c r="Y82" i="29"/>
  <c r="AC86" i="29" s="1"/>
  <c r="Y54" i="25"/>
  <c r="AA55" i="25" s="1"/>
  <c r="Y105" i="27"/>
  <c r="X107" i="27" s="1"/>
  <c r="Y61" i="27"/>
  <c r="X62" i="27" s="1"/>
  <c r="Y112" i="25"/>
  <c r="AA116" i="25" s="1"/>
  <c r="Y47" i="27"/>
  <c r="W49" i="27" s="1"/>
  <c r="Y47" i="25"/>
  <c r="Y49" i="25" s="1"/>
  <c r="Y47" i="29"/>
  <c r="AC48" i="29" s="1"/>
  <c r="Y68" i="29"/>
  <c r="AA72" i="29" s="1"/>
  <c r="Y75" i="27"/>
  <c r="Y77" i="27" s="1"/>
  <c r="Y105" i="25"/>
  <c r="Y107" i="25" s="1"/>
  <c r="Y98" i="29"/>
  <c r="X100" i="29" s="1"/>
  <c r="Y91" i="27"/>
  <c r="Y93" i="27" s="1"/>
  <c r="Y91" i="25"/>
  <c r="X92" i="25" s="1"/>
  <c r="AG12" i="24"/>
  <c r="AE12" i="24"/>
  <c r="AE30" i="24" s="1"/>
  <c r="AJ29" i="24" s="1"/>
  <c r="AJ30" i="24" s="1"/>
  <c r="AD30" i="24"/>
  <c r="O12" i="24"/>
  <c r="N20" i="24"/>
  <c r="N30" i="24" s="1"/>
  <c r="N42" i="24" s="1"/>
  <c r="J51" i="24" s="1"/>
  <c r="V12" i="24"/>
  <c r="T12" i="24"/>
  <c r="S30" i="24"/>
  <c r="BC12" i="24"/>
  <c r="BA12" i="24"/>
  <c r="BA30" i="24" s="1"/>
  <c r="AZ30" i="24"/>
  <c r="AR12" i="24"/>
  <c r="AP12" i="24"/>
  <c r="AK40" i="25"/>
  <c r="AL42" i="25" s="1"/>
  <c r="AK33" i="29"/>
  <c r="AG34" i="29" s="1"/>
  <c r="AK26" i="25"/>
  <c r="AL28" i="25" s="1"/>
  <c r="E37" i="24"/>
  <c r="AK19" i="27" s="1"/>
  <c r="AK33" i="25"/>
  <c r="AG34" i="25" s="1"/>
  <c r="AK82" i="29"/>
  <c r="AL84" i="29" s="1"/>
  <c r="AK105" i="27"/>
  <c r="AL106" i="27" s="1"/>
  <c r="AK98" i="25"/>
  <c r="AG99" i="25" s="1"/>
  <c r="AK47" i="25"/>
  <c r="AL48" i="25" s="1"/>
  <c r="AK82" i="25"/>
  <c r="AL84" i="25" s="1"/>
  <c r="AK47" i="27"/>
  <c r="AG48" i="27" s="1"/>
  <c r="AK75" i="25"/>
  <c r="AG79" i="25" s="1"/>
  <c r="AK75" i="29"/>
  <c r="AG76" i="29" s="1"/>
  <c r="AK82" i="27"/>
  <c r="AG86" i="27" s="1"/>
  <c r="AK68" i="29"/>
  <c r="AL69" i="29" s="1"/>
  <c r="AK61" i="25"/>
  <c r="AL63" i="25" s="1"/>
  <c r="AK54" i="25"/>
  <c r="AL55" i="25" s="1"/>
  <c r="AK91" i="29"/>
  <c r="AI92" i="29" s="1"/>
  <c r="AK91" i="27"/>
  <c r="AG92" i="27" s="1"/>
  <c r="AK75" i="27"/>
  <c r="AK77" i="27" s="1"/>
  <c r="AK91" i="25"/>
  <c r="AG95" i="25" s="1"/>
  <c r="AK26" i="27"/>
  <c r="AG27" i="27" s="1"/>
  <c r="AK54" i="29"/>
  <c r="AL56" i="29" s="1"/>
  <c r="AK40" i="27"/>
  <c r="AG44" i="27" s="1"/>
  <c r="AK112" i="27"/>
  <c r="AI113" i="27" s="1"/>
  <c r="AK112" i="25"/>
  <c r="AJ116" i="25" s="1"/>
  <c r="AK98" i="29"/>
  <c r="AI99" i="29" s="1"/>
  <c r="AK61" i="29"/>
  <c r="AI62" i="29" s="1"/>
  <c r="AK105" i="29"/>
  <c r="AL107" i="29" s="1"/>
  <c r="AK26" i="29"/>
  <c r="AG27" i="29" s="1"/>
  <c r="AK68" i="25"/>
  <c r="AI72" i="25" s="1"/>
  <c r="AK112" i="29"/>
  <c r="AG113" i="29" s="1"/>
  <c r="AK33" i="27"/>
  <c r="AI34" i="27" s="1"/>
  <c r="AK105" i="25"/>
  <c r="AG106" i="25" s="1"/>
  <c r="AK54" i="27"/>
  <c r="AG55" i="27" s="1"/>
  <c r="AK98" i="27"/>
  <c r="AG99" i="27" s="1"/>
  <c r="AK47" i="29"/>
  <c r="AI51" i="29" s="1"/>
  <c r="AK40" i="29"/>
  <c r="AI44" i="29" s="1"/>
  <c r="AK61" i="27"/>
  <c r="AI62" i="27" s="1"/>
  <c r="AO254" i="29"/>
  <c r="AO254" i="25"/>
  <c r="AO254" i="27"/>
  <c r="G121" i="24"/>
  <c r="G120" i="24"/>
  <c r="G119" i="24"/>
  <c r="Q200" i="22"/>
  <c r="N211" i="22"/>
  <c r="C97" i="24"/>
  <c r="C92" i="24"/>
  <c r="C95" i="24"/>
  <c r="C96" i="24"/>
  <c r="C91" i="24"/>
  <c r="C93" i="24"/>
  <c r="C94" i="24"/>
  <c r="AL69" i="27"/>
  <c r="AG69" i="27"/>
  <c r="AL70" i="27"/>
  <c r="AJ72" i="27"/>
  <c r="AG72" i="27"/>
  <c r="AI69" i="27"/>
  <c r="AM70" i="27"/>
  <c r="AI72" i="27"/>
  <c r="AK70" i="27"/>
  <c r="AC79" i="29"/>
  <c r="AD79" i="29"/>
  <c r="W77" i="29"/>
  <c r="X76" i="29"/>
  <c r="AA79" i="29"/>
  <c r="AA76" i="29"/>
  <c r="Y77" i="29"/>
  <c r="AC76" i="29"/>
  <c r="X77" i="29"/>
  <c r="W89" i="27" l="1"/>
  <c r="AW31" i="24"/>
  <c r="AX31" i="24" s="1"/>
  <c r="E88" i="27" s="1"/>
  <c r="AW30" i="24"/>
  <c r="BF30" i="24"/>
  <c r="BF33" i="24"/>
  <c r="BF31" i="24"/>
  <c r="BG31" i="24" s="1"/>
  <c r="BH30" i="24"/>
  <c r="BH33" i="24"/>
  <c r="BH31" i="24"/>
  <c r="BI31" i="24" s="1"/>
  <c r="E88" i="29" s="1"/>
  <c r="BI29" i="24"/>
  <c r="BH29" i="24"/>
  <c r="AT15" i="24"/>
  <c r="AS15" i="24"/>
  <c r="AJ51" i="27" s="1"/>
  <c r="AI15" i="24"/>
  <c r="AH15" i="24"/>
  <c r="AO252" i="27"/>
  <c r="AO252" i="29"/>
  <c r="AO252" i="25"/>
  <c r="X15" i="24"/>
  <c r="W15" i="24"/>
  <c r="BE15" i="24"/>
  <c r="BD15" i="24"/>
  <c r="AJ58" i="29" s="1"/>
  <c r="X100" i="27"/>
  <c r="AC34" i="29"/>
  <c r="AL29" i="24"/>
  <c r="AL30" i="24" s="1"/>
  <c r="AD102" i="27"/>
  <c r="AA102" i="27"/>
  <c r="AD37" i="29"/>
  <c r="W35" i="25"/>
  <c r="AA58" i="29"/>
  <c r="AA37" i="25"/>
  <c r="AD95" i="25"/>
  <c r="Y70" i="27"/>
  <c r="X185" i="27"/>
  <c r="AA65" i="25"/>
  <c r="AA92" i="25"/>
  <c r="W35" i="29"/>
  <c r="Y49" i="27"/>
  <c r="AC34" i="25"/>
  <c r="AC58" i="29"/>
  <c r="W56" i="29"/>
  <c r="AA72" i="27"/>
  <c r="AC83" i="29"/>
  <c r="AA62" i="25"/>
  <c r="Y35" i="27"/>
  <c r="AA83" i="29"/>
  <c r="AA95" i="25"/>
  <c r="AA55" i="27"/>
  <c r="AB31" i="24"/>
  <c r="AC86" i="27"/>
  <c r="X113" i="29"/>
  <c r="Q115" i="29" s="1"/>
  <c r="AA83" i="27"/>
  <c r="AA116" i="29"/>
  <c r="AC58" i="25"/>
  <c r="Y56" i="29"/>
  <c r="AA29" i="24"/>
  <c r="AA30" i="24" s="1"/>
  <c r="AA86" i="25"/>
  <c r="X107" i="29"/>
  <c r="AC99" i="25"/>
  <c r="X48" i="27"/>
  <c r="N50" i="27" s="1"/>
  <c r="AC102" i="25"/>
  <c r="AA109" i="25"/>
  <c r="W90" i="25"/>
  <c r="AA109" i="29"/>
  <c r="AD58" i="29"/>
  <c r="W89" i="25"/>
  <c r="AC106" i="29"/>
  <c r="W63" i="29"/>
  <c r="AD72" i="25"/>
  <c r="AC69" i="29"/>
  <c r="X55" i="29"/>
  <c r="N77" i="29" s="1"/>
  <c r="X99" i="25"/>
  <c r="W101" i="25" s="1"/>
  <c r="AD51" i="27"/>
  <c r="AW33" i="24"/>
  <c r="Y84" i="25"/>
  <c r="W70" i="27"/>
  <c r="AA106" i="29"/>
  <c r="AA55" i="29"/>
  <c r="AD102" i="25"/>
  <c r="AC72" i="29"/>
  <c r="AS12" i="24"/>
  <c r="AT12" i="24"/>
  <c r="AT30" i="24" s="1"/>
  <c r="AD172" i="27" s="1"/>
  <c r="X69" i="27"/>
  <c r="R87" i="27" s="1"/>
  <c r="AA76" i="25"/>
  <c r="AC109" i="29"/>
  <c r="W12" i="24"/>
  <c r="W30" i="24" s="1"/>
  <c r="AL172" i="25" s="1"/>
  <c r="AM172" i="25" s="1"/>
  <c r="X12" i="24"/>
  <c r="X30" i="24" s="1"/>
  <c r="AC172" i="25" s="1"/>
  <c r="AD172" i="25" s="1"/>
  <c r="X70" i="27"/>
  <c r="X27" i="27"/>
  <c r="F78" i="27" s="1"/>
  <c r="X100" i="25"/>
  <c r="X42" i="27"/>
  <c r="Y77" i="25"/>
  <c r="W107" i="29"/>
  <c r="X56" i="29"/>
  <c r="W100" i="25"/>
  <c r="AA41" i="27"/>
  <c r="AC62" i="27"/>
  <c r="AA65" i="27"/>
  <c r="AC72" i="27"/>
  <c r="X35" i="27"/>
  <c r="X106" i="29"/>
  <c r="R99" i="29" s="1"/>
  <c r="AA99" i="25"/>
  <c r="AC44" i="27"/>
  <c r="X63" i="27"/>
  <c r="AD65" i="29"/>
  <c r="AC41" i="25"/>
  <c r="AI34" i="25"/>
  <c r="X62" i="29"/>
  <c r="T64" i="29" s="1"/>
  <c r="Y19" i="25"/>
  <c r="AA20" i="25" s="1"/>
  <c r="AC27" i="29"/>
  <c r="AL34" i="25"/>
  <c r="BD45" i="25" s="1"/>
  <c r="X35" i="25"/>
  <c r="W93" i="25"/>
  <c r="AJ37" i="25"/>
  <c r="AG109" i="29"/>
  <c r="AD72" i="27"/>
  <c r="AC62" i="25"/>
  <c r="AC37" i="27"/>
  <c r="AI30" i="25"/>
  <c r="AA72" i="25"/>
  <c r="X35" i="29"/>
  <c r="Y49" i="29"/>
  <c r="X34" i="25"/>
  <c r="H67" i="25" s="1"/>
  <c r="Y93" i="25"/>
  <c r="AA99" i="29"/>
  <c r="AA51" i="27"/>
  <c r="Y100" i="27"/>
  <c r="AA30" i="27"/>
  <c r="AC44" i="25"/>
  <c r="AA27" i="29"/>
  <c r="AL49" i="29"/>
  <c r="W63" i="25"/>
  <c r="Y42" i="25"/>
  <c r="AC30" i="29"/>
  <c r="Y35" i="29"/>
  <c r="X99" i="27"/>
  <c r="V101" i="27" s="1"/>
  <c r="X27" i="29"/>
  <c r="F84" i="29" s="1"/>
  <c r="X93" i="27"/>
  <c r="W49" i="25"/>
  <c r="AD116" i="27"/>
  <c r="AA69" i="27"/>
  <c r="X62" i="25"/>
  <c r="P78" i="25" s="1"/>
  <c r="AA37" i="27"/>
  <c r="AD116" i="25"/>
  <c r="Y70" i="25"/>
  <c r="AA34" i="29"/>
  <c r="AA48" i="29"/>
  <c r="AA34" i="25"/>
  <c r="AC95" i="25"/>
  <c r="X99" i="29"/>
  <c r="T101" i="29" s="1"/>
  <c r="AA48" i="27"/>
  <c r="W100" i="27"/>
  <c r="AC65" i="25"/>
  <c r="AD37" i="27"/>
  <c r="AA69" i="25"/>
  <c r="AA37" i="29"/>
  <c r="AD51" i="29"/>
  <c r="AC37" i="25"/>
  <c r="X93" i="25"/>
  <c r="X49" i="27"/>
  <c r="AC99" i="27"/>
  <c r="X177" i="29"/>
  <c r="Y180" i="29" s="1"/>
  <c r="Y56" i="27"/>
  <c r="AD86" i="27"/>
  <c r="AC116" i="29"/>
  <c r="Y56" i="25"/>
  <c r="W84" i="25"/>
  <c r="W56" i="27"/>
  <c r="AL93" i="25"/>
  <c r="AK49" i="29"/>
  <c r="AC86" i="25"/>
  <c r="X77" i="25"/>
  <c r="Y19" i="27"/>
  <c r="AC23" i="27" s="1"/>
  <c r="AA95" i="29"/>
  <c r="AC113" i="29"/>
  <c r="X70" i="25"/>
  <c r="AC37" i="29"/>
  <c r="AC58" i="27"/>
  <c r="AL92" i="25"/>
  <c r="AL94" i="25" s="1"/>
  <c r="Y35" i="25"/>
  <c r="AC92" i="25"/>
  <c r="AL100" i="27"/>
  <c r="AA51" i="25"/>
  <c r="AC48" i="27"/>
  <c r="AA99" i="27"/>
  <c r="AC83" i="27"/>
  <c r="AC95" i="29"/>
  <c r="X55" i="27"/>
  <c r="N64" i="27" s="1"/>
  <c r="AA58" i="27"/>
  <c r="AM107" i="29"/>
  <c r="X42" i="25"/>
  <c r="X84" i="25"/>
  <c r="AA83" i="25"/>
  <c r="W77" i="25"/>
  <c r="X63" i="25"/>
  <c r="AA62" i="29"/>
  <c r="X84" i="27"/>
  <c r="AC92" i="29"/>
  <c r="Y114" i="29"/>
  <c r="W42" i="27"/>
  <c r="X69" i="25"/>
  <c r="R81" i="25" s="1"/>
  <c r="W28" i="29"/>
  <c r="AA48" i="25"/>
  <c r="W42" i="25"/>
  <c r="AD65" i="25"/>
  <c r="Y107" i="29"/>
  <c r="AC62" i="29"/>
  <c r="Y100" i="25"/>
  <c r="Y84" i="27"/>
  <c r="X41" i="27"/>
  <c r="M43" i="27" s="1"/>
  <c r="X41" i="25"/>
  <c r="J57" i="25" s="1"/>
  <c r="AC83" i="25"/>
  <c r="AA79" i="25"/>
  <c r="X76" i="25"/>
  <c r="T80" i="25" s="1"/>
  <c r="AC65" i="29"/>
  <c r="AA86" i="27"/>
  <c r="Y93" i="29"/>
  <c r="AD116" i="29"/>
  <c r="AA44" i="27"/>
  <c r="AC69" i="25"/>
  <c r="AA30" i="29"/>
  <c r="X56" i="27"/>
  <c r="AA51" i="29"/>
  <c r="AA106" i="27"/>
  <c r="W77" i="27"/>
  <c r="AC51" i="27"/>
  <c r="AC79" i="25"/>
  <c r="X114" i="29"/>
  <c r="Y42" i="27"/>
  <c r="AC55" i="27"/>
  <c r="AA69" i="29"/>
  <c r="AD44" i="25"/>
  <c r="AA44" i="25"/>
  <c r="X83" i="25"/>
  <c r="Y85" i="25" s="1"/>
  <c r="AC76" i="25"/>
  <c r="Y63" i="29"/>
  <c r="X63" i="29"/>
  <c r="X83" i="27"/>
  <c r="Y85" i="27" s="1"/>
  <c r="AA113" i="29"/>
  <c r="AC41" i="27"/>
  <c r="Y28" i="29"/>
  <c r="AI48" i="29"/>
  <c r="W49" i="29"/>
  <c r="W84" i="29"/>
  <c r="AA79" i="27"/>
  <c r="AA58" i="25"/>
  <c r="AG27" i="25"/>
  <c r="AC27" i="25"/>
  <c r="AC72" i="25"/>
  <c r="X49" i="25"/>
  <c r="X114" i="27"/>
  <c r="AA113" i="25"/>
  <c r="AC51" i="25"/>
  <c r="AC48" i="25"/>
  <c r="X48" i="25"/>
  <c r="L66" i="25" s="1"/>
  <c r="AD51" i="25"/>
  <c r="AM35" i="27"/>
  <c r="AC113" i="25"/>
  <c r="AC113" i="27"/>
  <c r="X114" i="25"/>
  <c r="Y28" i="25"/>
  <c r="AA62" i="27"/>
  <c r="AA41" i="29"/>
  <c r="AA92" i="27"/>
  <c r="AD102" i="29"/>
  <c r="AC27" i="27"/>
  <c r="AD65" i="27"/>
  <c r="AC41" i="29"/>
  <c r="AC44" i="29"/>
  <c r="X92" i="27"/>
  <c r="V91" i="27" s="1"/>
  <c r="W100" i="29"/>
  <c r="Y28" i="27"/>
  <c r="W28" i="27"/>
  <c r="X42" i="29"/>
  <c r="Y114" i="27"/>
  <c r="AA27" i="25"/>
  <c r="AD44" i="29"/>
  <c r="AD95" i="27"/>
  <c r="X113" i="27"/>
  <c r="P113" i="27" s="1"/>
  <c r="AC34" i="27"/>
  <c r="W35" i="27"/>
  <c r="AC116" i="25"/>
  <c r="AA30" i="25"/>
  <c r="X27" i="25"/>
  <c r="F81" i="25" s="1"/>
  <c r="AC65" i="27"/>
  <c r="AA44" i="29"/>
  <c r="W93" i="27"/>
  <c r="AA95" i="27"/>
  <c r="AC99" i="29"/>
  <c r="AC30" i="27"/>
  <c r="AA116" i="27"/>
  <c r="AA113" i="27"/>
  <c r="X34" i="27"/>
  <c r="Q36" i="27" s="1"/>
  <c r="Y114" i="25"/>
  <c r="X28" i="25"/>
  <c r="W63" i="27"/>
  <c r="X41" i="29"/>
  <c r="J54" i="29" s="1"/>
  <c r="AC92" i="27"/>
  <c r="AA102" i="29"/>
  <c r="Y100" i="29"/>
  <c r="AA27" i="27"/>
  <c r="W114" i="27"/>
  <c r="X113" i="25"/>
  <c r="P104" i="25" s="1"/>
  <c r="W28" i="25"/>
  <c r="Y63" i="27"/>
  <c r="W42" i="29"/>
  <c r="AC95" i="27"/>
  <c r="AC102" i="29"/>
  <c r="X28" i="27"/>
  <c r="W114" i="25"/>
  <c r="W107" i="27"/>
  <c r="W107" i="25"/>
  <c r="X70" i="29"/>
  <c r="AK107" i="29"/>
  <c r="AG76" i="25"/>
  <c r="X93" i="29"/>
  <c r="AC51" i="29"/>
  <c r="AA109" i="27"/>
  <c r="Y84" i="29"/>
  <c r="AD109" i="25"/>
  <c r="AD79" i="27"/>
  <c r="AC76" i="27"/>
  <c r="Y70" i="29"/>
  <c r="AC55" i="25"/>
  <c r="AK35" i="25"/>
  <c r="AA86" i="29"/>
  <c r="X77" i="27"/>
  <c r="W56" i="25"/>
  <c r="AG83" i="27"/>
  <c r="AI79" i="29"/>
  <c r="AA92" i="29"/>
  <c r="X49" i="29"/>
  <c r="AD109" i="27"/>
  <c r="Y107" i="27"/>
  <c r="X84" i="29"/>
  <c r="AA106" i="25"/>
  <c r="AC79" i="27"/>
  <c r="W70" i="29"/>
  <c r="X69" i="29"/>
  <c r="X71" i="29" s="1"/>
  <c r="AD58" i="25"/>
  <c r="X107" i="25"/>
  <c r="X55" i="25"/>
  <c r="N69" i="25" s="1"/>
  <c r="X106" i="27"/>
  <c r="R108" i="27" s="1"/>
  <c r="AI76" i="29"/>
  <c r="X92" i="29"/>
  <c r="V92" i="29" s="1"/>
  <c r="W93" i="29"/>
  <c r="AJ95" i="25"/>
  <c r="X48" i="29"/>
  <c r="L57" i="29" s="1"/>
  <c r="AC109" i="27"/>
  <c r="AD86" i="29"/>
  <c r="X83" i="29"/>
  <c r="V85" i="29" s="1"/>
  <c r="AC106" i="25"/>
  <c r="X106" i="25"/>
  <c r="X108" i="25" s="1"/>
  <c r="X76" i="27"/>
  <c r="T84" i="27" s="1"/>
  <c r="AD72" i="29"/>
  <c r="X56" i="25"/>
  <c r="AC106" i="27"/>
  <c r="AA76" i="27"/>
  <c r="AC109" i="25"/>
  <c r="AL76" i="29"/>
  <c r="AR79" i="29" s="1"/>
  <c r="AI95" i="25"/>
  <c r="AG65" i="29"/>
  <c r="AI27" i="25"/>
  <c r="AI79" i="25"/>
  <c r="AL77" i="27"/>
  <c r="AM28" i="25"/>
  <c r="AJ79" i="25"/>
  <c r="AG76" i="27"/>
  <c r="AJ30" i="25"/>
  <c r="AL77" i="25"/>
  <c r="AK28" i="25"/>
  <c r="AK77" i="25"/>
  <c r="AI79" i="27"/>
  <c r="AJ65" i="29"/>
  <c r="AK100" i="27"/>
  <c r="AL27" i="25"/>
  <c r="BF33" i="25" s="1"/>
  <c r="AM77" i="27"/>
  <c r="AL99" i="27"/>
  <c r="AR92" i="27" s="1"/>
  <c r="AK19" i="29"/>
  <c r="AK21" i="29" s="1"/>
  <c r="AM63" i="29"/>
  <c r="AK19" i="25"/>
  <c r="AI23" i="25" s="1"/>
  <c r="AI76" i="25"/>
  <c r="AG79" i="27"/>
  <c r="AI65" i="29"/>
  <c r="AI102" i="27"/>
  <c r="AG30" i="25"/>
  <c r="AL76" i="25"/>
  <c r="AL78" i="25" s="1"/>
  <c r="AG62" i="29"/>
  <c r="AJ102" i="27"/>
  <c r="AM49" i="29"/>
  <c r="AJ109" i="29"/>
  <c r="AL35" i="25"/>
  <c r="AK77" i="29"/>
  <c r="AK93" i="25"/>
  <c r="AG48" i="29"/>
  <c r="AI109" i="29"/>
  <c r="AM35" i="25"/>
  <c r="AM77" i="29"/>
  <c r="AI92" i="25"/>
  <c r="AG51" i="29"/>
  <c r="AJ79" i="27"/>
  <c r="AK63" i="29"/>
  <c r="AG102" i="27"/>
  <c r="AI99" i="27"/>
  <c r="AK56" i="25"/>
  <c r="AL70" i="29"/>
  <c r="AM77" i="25"/>
  <c r="AI76" i="27"/>
  <c r="AL63" i="29"/>
  <c r="AL62" i="29"/>
  <c r="AV65" i="29" s="1"/>
  <c r="AM100" i="27"/>
  <c r="AL76" i="27"/>
  <c r="AK78" i="27" s="1"/>
  <c r="AI86" i="25"/>
  <c r="AI106" i="29"/>
  <c r="AG41" i="25"/>
  <c r="AK114" i="27"/>
  <c r="AL35" i="29"/>
  <c r="AM114" i="25"/>
  <c r="AM56" i="27"/>
  <c r="AK100" i="29"/>
  <c r="AG83" i="25"/>
  <c r="AI37" i="29"/>
  <c r="AK107" i="25"/>
  <c r="AI69" i="29"/>
  <c r="AJ86" i="25"/>
  <c r="AL34" i="29"/>
  <c r="BD78" i="29" s="1"/>
  <c r="AL113" i="25"/>
  <c r="AV101" i="25" s="1"/>
  <c r="AM107" i="25"/>
  <c r="AL83" i="25"/>
  <c r="AM85" i="25" s="1"/>
  <c r="AG37" i="29"/>
  <c r="AM84" i="25"/>
  <c r="AI83" i="25"/>
  <c r="AK35" i="29"/>
  <c r="AJ95" i="29"/>
  <c r="AK114" i="25"/>
  <c r="AG86" i="25"/>
  <c r="AM35" i="29"/>
  <c r="AL93" i="29"/>
  <c r="AG48" i="25"/>
  <c r="N43" i="24"/>
  <c r="N52" i="24" s="1"/>
  <c r="AL107" i="25"/>
  <c r="AK93" i="29"/>
  <c r="AK84" i="25"/>
  <c r="AJ37" i="29"/>
  <c r="AM93" i="29"/>
  <c r="AI106" i="25"/>
  <c r="N39" i="24"/>
  <c r="N48" i="24" s="1"/>
  <c r="AI34" i="29"/>
  <c r="AL114" i="25"/>
  <c r="AI109" i="25"/>
  <c r="R177" i="22"/>
  <c r="R182" i="22" s="1"/>
  <c r="AM89" i="29"/>
  <c r="BF29" i="24"/>
  <c r="BG29" i="24"/>
  <c r="AK49" i="25"/>
  <c r="AI116" i="27"/>
  <c r="AJ51" i="25"/>
  <c r="AI55" i="25"/>
  <c r="AM49" i="25"/>
  <c r="N45" i="24"/>
  <c r="J54" i="24" s="1"/>
  <c r="N41" i="24"/>
  <c r="N50" i="24" s="1"/>
  <c r="AJ30" i="27"/>
  <c r="AG116" i="27"/>
  <c r="AJ58" i="25"/>
  <c r="AK35" i="27"/>
  <c r="AJ116" i="27"/>
  <c r="AI44" i="25"/>
  <c r="AL35" i="27"/>
  <c r="AL41" i="25"/>
  <c r="AO43" i="25" s="1"/>
  <c r="AL34" i="27"/>
  <c r="BD68" i="27" s="1"/>
  <c r="N40" i="24"/>
  <c r="J49" i="24" s="1"/>
  <c r="AL113" i="27"/>
  <c r="AV110" i="27" s="1"/>
  <c r="AK56" i="29"/>
  <c r="AL69" i="25"/>
  <c r="AT83" i="25" s="1"/>
  <c r="AM56" i="25"/>
  <c r="AG92" i="25"/>
  <c r="AI41" i="25"/>
  <c r="AG34" i="27"/>
  <c r="AL48" i="29"/>
  <c r="AZ87" i="29" s="1"/>
  <c r="AG106" i="29"/>
  <c r="AI48" i="25"/>
  <c r="AI51" i="25"/>
  <c r="N34" i="24"/>
  <c r="N51" i="24"/>
  <c r="BE12" i="24"/>
  <c r="BE30" i="24" s="1"/>
  <c r="AD172" i="29" s="1"/>
  <c r="BD12" i="24"/>
  <c r="AL56" i="25"/>
  <c r="AM56" i="29"/>
  <c r="AL114" i="27"/>
  <c r="AK42" i="25"/>
  <c r="N37" i="24"/>
  <c r="N46" i="24" s="1"/>
  <c r="AI37" i="25"/>
  <c r="AG79" i="29"/>
  <c r="AG37" i="25"/>
  <c r="AL77" i="29"/>
  <c r="AJ79" i="29"/>
  <c r="AM114" i="27"/>
  <c r="AM70" i="25"/>
  <c r="AG55" i="25"/>
  <c r="AM93" i="25"/>
  <c r="AJ44" i="25"/>
  <c r="AJ37" i="27"/>
  <c r="AJ51" i="29"/>
  <c r="AL106" i="29"/>
  <c r="AT95" i="29" s="1"/>
  <c r="AG51" i="25"/>
  <c r="N38" i="24"/>
  <c r="J47" i="24" s="1"/>
  <c r="P1" i="22"/>
  <c r="K1" i="22" s="1"/>
  <c r="AI12" i="24"/>
  <c r="AH12" i="24"/>
  <c r="AH30" i="24" s="1"/>
  <c r="AO242" i="29"/>
  <c r="AO242" i="25"/>
  <c r="AO242" i="27"/>
  <c r="AP30" i="24"/>
  <c r="AG113" i="27"/>
  <c r="AG58" i="25"/>
  <c r="AM42" i="25"/>
  <c r="AI55" i="29"/>
  <c r="AJ72" i="25"/>
  <c r="AI58" i="25"/>
  <c r="AG44" i="25"/>
  <c r="AI37" i="27"/>
  <c r="AL49" i="25"/>
  <c r="AK29" i="24"/>
  <c r="AJ86" i="27"/>
  <c r="AG37" i="27"/>
  <c r="N44" i="24"/>
  <c r="N53" i="24" s="1"/>
  <c r="T32" i="24"/>
  <c r="T30" i="24"/>
  <c r="AG65" i="27"/>
  <c r="AI72" i="29"/>
  <c r="AG55" i="29"/>
  <c r="AG69" i="25"/>
  <c r="AG58" i="29"/>
  <c r="AI69" i="25"/>
  <c r="AG106" i="27"/>
  <c r="AG72" i="29"/>
  <c r="AK70" i="29"/>
  <c r="AK70" i="25"/>
  <c r="AG109" i="27"/>
  <c r="AG69" i="29"/>
  <c r="AL55" i="29"/>
  <c r="AX60" i="29" s="1"/>
  <c r="AL70" i="25"/>
  <c r="AJ72" i="29"/>
  <c r="AI58" i="29"/>
  <c r="AG72" i="25"/>
  <c r="AK63" i="27"/>
  <c r="AM70" i="29"/>
  <c r="AM42" i="27"/>
  <c r="AI65" i="27"/>
  <c r="AM63" i="27"/>
  <c r="AM107" i="27"/>
  <c r="AJ65" i="27"/>
  <c r="AI106" i="27"/>
  <c r="AL62" i="27"/>
  <c r="AV80" i="27" s="1"/>
  <c r="AK107" i="27"/>
  <c r="AI109" i="27"/>
  <c r="AL63" i="27"/>
  <c r="AL107" i="27"/>
  <c r="AG62" i="27"/>
  <c r="AJ109" i="27"/>
  <c r="AG116" i="29"/>
  <c r="AI102" i="25"/>
  <c r="AG65" i="25"/>
  <c r="AI113" i="29"/>
  <c r="AM63" i="25"/>
  <c r="AL42" i="27"/>
  <c r="AI92" i="27"/>
  <c r="AG44" i="29"/>
  <c r="AM28" i="29"/>
  <c r="AI41" i="29"/>
  <c r="AG86" i="29"/>
  <c r="AM28" i="27"/>
  <c r="AJ86" i="29"/>
  <c r="AG62" i="25"/>
  <c r="AI86" i="27"/>
  <c r="AM114" i="29"/>
  <c r="AJ44" i="27"/>
  <c r="AL83" i="29"/>
  <c r="AP85" i="29" s="1"/>
  <c r="AG30" i="27"/>
  <c r="AI30" i="29"/>
  <c r="AG102" i="25"/>
  <c r="AL42" i="29"/>
  <c r="AJ44" i="29"/>
  <c r="AI62" i="25"/>
  <c r="AM84" i="27"/>
  <c r="AI116" i="29"/>
  <c r="AL41" i="27"/>
  <c r="BB63" i="27" s="1"/>
  <c r="AI86" i="29"/>
  <c r="AI30" i="27"/>
  <c r="AI27" i="29"/>
  <c r="AG41" i="29"/>
  <c r="AL84" i="27"/>
  <c r="AG83" i="29"/>
  <c r="AL27" i="27"/>
  <c r="BA29" i="27" s="1"/>
  <c r="AK28" i="27"/>
  <c r="AG30" i="29"/>
  <c r="AL41" i="29"/>
  <c r="AO43" i="29" s="1"/>
  <c r="AI83" i="27"/>
  <c r="AM84" i="29"/>
  <c r="AI27" i="27"/>
  <c r="AL27" i="29"/>
  <c r="BF35" i="29" s="1"/>
  <c r="AK42" i="29"/>
  <c r="AK84" i="27"/>
  <c r="AL83" i="27"/>
  <c r="AO85" i="27" s="1"/>
  <c r="AI83" i="29"/>
  <c r="AK84" i="29"/>
  <c r="AL28" i="27"/>
  <c r="AK28" i="29"/>
  <c r="AI99" i="25"/>
  <c r="AM42" i="29"/>
  <c r="AI65" i="25"/>
  <c r="AG41" i="27"/>
  <c r="AL28" i="29"/>
  <c r="AL100" i="25"/>
  <c r="AK49" i="27"/>
  <c r="AI102" i="29"/>
  <c r="AL92" i="27"/>
  <c r="AK94" i="27" s="1"/>
  <c r="AL99" i="29"/>
  <c r="AR99" i="29" s="1"/>
  <c r="AJ65" i="25"/>
  <c r="AJ116" i="29"/>
  <c r="AI41" i="27"/>
  <c r="AG51" i="27"/>
  <c r="AL93" i="27"/>
  <c r="AG92" i="29"/>
  <c r="AI113" i="25"/>
  <c r="AL99" i="25"/>
  <c r="AQ101" i="25" s="1"/>
  <c r="AL56" i="27"/>
  <c r="AL106" i="25"/>
  <c r="AT97" i="25" s="1"/>
  <c r="AJ102" i="29"/>
  <c r="AG58" i="27"/>
  <c r="AG99" i="29"/>
  <c r="AK63" i="25"/>
  <c r="AL114" i="29"/>
  <c r="AI44" i="27"/>
  <c r="AL49" i="27"/>
  <c r="AJ95" i="27"/>
  <c r="AI95" i="29"/>
  <c r="AL92" i="29"/>
  <c r="AL94" i="29" s="1"/>
  <c r="AG113" i="25"/>
  <c r="AK100" i="25"/>
  <c r="AK56" i="27"/>
  <c r="AJ109" i="25"/>
  <c r="AM100" i="29"/>
  <c r="AG95" i="27"/>
  <c r="AM93" i="27"/>
  <c r="AL62" i="25"/>
  <c r="AV72" i="25" s="1"/>
  <c r="AL113" i="29"/>
  <c r="AO115" i="29" s="1"/>
  <c r="AK114" i="29"/>
  <c r="AK42" i="27"/>
  <c r="AI51" i="27"/>
  <c r="AK93" i="27"/>
  <c r="AG95" i="29"/>
  <c r="AG116" i="25"/>
  <c r="AI116" i="25"/>
  <c r="AM100" i="25"/>
  <c r="AJ58" i="27"/>
  <c r="AG109" i="25"/>
  <c r="AG102" i="29"/>
  <c r="AL48" i="27"/>
  <c r="AZ73" i="27" s="1"/>
  <c r="AI55" i="27"/>
  <c r="AI48" i="27"/>
  <c r="AI95" i="27"/>
  <c r="AJ102" i="25"/>
  <c r="AI58" i="27"/>
  <c r="AL55" i="27"/>
  <c r="AO57" i="27" s="1"/>
  <c r="AL100" i="29"/>
  <c r="AM49" i="27"/>
  <c r="C99" i="24"/>
  <c r="G123" i="24"/>
  <c r="V91" i="25"/>
  <c r="X94" i="25"/>
  <c r="V94" i="25"/>
  <c r="Y94" i="25"/>
  <c r="V93" i="25"/>
  <c r="W94" i="25"/>
  <c r="V92" i="25"/>
  <c r="W21" i="29"/>
  <c r="AC20" i="29"/>
  <c r="X20" i="29"/>
  <c r="AC23" i="29"/>
  <c r="X21" i="29"/>
  <c r="AD23" i="29"/>
  <c r="AA23" i="29"/>
  <c r="Y21" i="29"/>
  <c r="AA20" i="29"/>
  <c r="AZ73" i="25"/>
  <c r="AZ58" i="25"/>
  <c r="AZ53" i="25"/>
  <c r="AS50" i="25"/>
  <c r="AZ56" i="25"/>
  <c r="AZ67" i="25"/>
  <c r="AZ61" i="25"/>
  <c r="AZ76" i="25"/>
  <c r="AM50" i="25"/>
  <c r="AZ57" i="25"/>
  <c r="AO50" i="25"/>
  <c r="AZ50" i="25"/>
  <c r="AZ82" i="25"/>
  <c r="AZ55" i="25"/>
  <c r="AZ63" i="25"/>
  <c r="AZ80" i="25"/>
  <c r="AZ74" i="25"/>
  <c r="AN50" i="25"/>
  <c r="AU50" i="25"/>
  <c r="AZ70" i="25"/>
  <c r="AZ83" i="25"/>
  <c r="AZ87" i="25"/>
  <c r="AP50" i="25"/>
  <c r="AZ51" i="25"/>
  <c r="AT50" i="25"/>
  <c r="AZ54" i="25"/>
  <c r="AZ78" i="25"/>
  <c r="AZ72" i="25"/>
  <c r="AZ85" i="25"/>
  <c r="AK50" i="25"/>
  <c r="AZ65" i="25"/>
  <c r="AZ59" i="25"/>
  <c r="AZ64" i="25"/>
  <c r="AZ66" i="25"/>
  <c r="AR50" i="25"/>
  <c r="AY50" i="25"/>
  <c r="AZ68" i="25"/>
  <c r="AZ69" i="25"/>
  <c r="AZ62" i="25"/>
  <c r="AW50" i="25"/>
  <c r="AZ60" i="25"/>
  <c r="AZ75" i="25"/>
  <c r="AZ77" i="25"/>
  <c r="AZ86" i="25"/>
  <c r="AL50" i="25"/>
  <c r="AV50" i="25"/>
  <c r="AZ84" i="25"/>
  <c r="AZ79" i="25"/>
  <c r="AQ50" i="25"/>
  <c r="AZ81" i="25"/>
  <c r="AZ71" i="25"/>
  <c r="AX50" i="25"/>
  <c r="AZ52" i="25"/>
  <c r="AU57" i="25"/>
  <c r="AN57" i="25"/>
  <c r="AM57" i="25"/>
  <c r="AX79" i="25"/>
  <c r="AX71" i="25"/>
  <c r="AR57" i="25"/>
  <c r="AL57" i="25"/>
  <c r="AX58" i="25"/>
  <c r="AX63" i="25"/>
  <c r="AQ57" i="25"/>
  <c r="AX70" i="25"/>
  <c r="AX59" i="25"/>
  <c r="AX74" i="25"/>
  <c r="AX83" i="25"/>
  <c r="AX57" i="25"/>
  <c r="AX65" i="25"/>
  <c r="AP57" i="25"/>
  <c r="AK57" i="25"/>
  <c r="AX84" i="25"/>
  <c r="AX75" i="25"/>
  <c r="AT57" i="25"/>
  <c r="AV57" i="25"/>
  <c r="AX81" i="25"/>
  <c r="AX69" i="25"/>
  <c r="AX76" i="25"/>
  <c r="AX67" i="25"/>
  <c r="AX64" i="25"/>
  <c r="AX62" i="25"/>
  <c r="AO57" i="25"/>
  <c r="AX87" i="25"/>
  <c r="AX60" i="25"/>
  <c r="AX85" i="25"/>
  <c r="AX73" i="25"/>
  <c r="AX66" i="25"/>
  <c r="AX82" i="25"/>
  <c r="AX61" i="25"/>
  <c r="AX78" i="25"/>
  <c r="AX72" i="25"/>
  <c r="AS57" i="25"/>
  <c r="AX86" i="25"/>
  <c r="AX68" i="25"/>
  <c r="AX77" i="25"/>
  <c r="AW57" i="25"/>
  <c r="AX80" i="25"/>
  <c r="AQ36" i="25"/>
  <c r="AG20" i="27"/>
  <c r="AL21" i="27"/>
  <c r="AI20" i="27"/>
  <c r="AG23" i="27"/>
  <c r="AM21" i="27"/>
  <c r="AI23" i="27"/>
  <c r="AK21" i="27"/>
  <c r="AL20" i="27"/>
  <c r="AJ23" i="27"/>
  <c r="AT105" i="27"/>
  <c r="AT96" i="27"/>
  <c r="AM108" i="27"/>
  <c r="AT107" i="27"/>
  <c r="AO108" i="27"/>
  <c r="AT97" i="27"/>
  <c r="AL108" i="27"/>
  <c r="AT95" i="27"/>
  <c r="AT102" i="27"/>
  <c r="AT98" i="27"/>
  <c r="AS108" i="27"/>
  <c r="AT91" i="27"/>
  <c r="AT93" i="27"/>
  <c r="AT92" i="27"/>
  <c r="AT94" i="27"/>
  <c r="AT104" i="27"/>
  <c r="AT99" i="27"/>
  <c r="AT106" i="27"/>
  <c r="AN108" i="27"/>
  <c r="AT101" i="27"/>
  <c r="AP108" i="27"/>
  <c r="AQ108" i="27"/>
  <c r="AT100" i="27"/>
  <c r="AK108" i="27"/>
  <c r="AR108" i="27"/>
  <c r="AT108" i="27"/>
  <c r="AT103" i="27"/>
  <c r="AT76" i="29"/>
  <c r="AT85" i="29"/>
  <c r="AK71" i="29"/>
  <c r="AT73" i="29"/>
  <c r="AT86" i="29"/>
  <c r="AT78" i="29"/>
  <c r="AS71" i="29"/>
  <c r="AT80" i="29"/>
  <c r="AO71" i="29"/>
  <c r="AT72" i="29"/>
  <c r="AM71" i="29"/>
  <c r="AT83" i="29"/>
  <c r="AT81" i="29"/>
  <c r="AL71" i="29"/>
  <c r="AP71" i="29"/>
  <c r="AT87" i="29"/>
  <c r="AT75" i="29"/>
  <c r="AT82" i="29"/>
  <c r="AT84" i="29"/>
  <c r="AT74" i="29"/>
  <c r="AQ71" i="29"/>
  <c r="AT71" i="29"/>
  <c r="AR71" i="29"/>
  <c r="AT79" i="29"/>
  <c r="AT77" i="29"/>
  <c r="AN71" i="29"/>
  <c r="V78" i="29"/>
  <c r="T85" i="29"/>
  <c r="T80" i="29"/>
  <c r="T79" i="29"/>
  <c r="W78" i="29"/>
  <c r="T86" i="29"/>
  <c r="T78" i="29"/>
  <c r="Y78" i="29"/>
  <c r="T84" i="29"/>
  <c r="T87" i="29"/>
  <c r="T83" i="29"/>
  <c r="X78" i="29"/>
  <c r="U78" i="29"/>
  <c r="T81" i="29"/>
  <c r="T82" i="29"/>
  <c r="AT81" i="27"/>
  <c r="AT72" i="27"/>
  <c r="AT79" i="27"/>
  <c r="AP71" i="27"/>
  <c r="AT78" i="27"/>
  <c r="AN71" i="27"/>
  <c r="AT74" i="27"/>
  <c r="AT75" i="27"/>
  <c r="AO71" i="27"/>
  <c r="AT80" i="27"/>
  <c r="AR71" i="27"/>
  <c r="AT84" i="27"/>
  <c r="AM71" i="27"/>
  <c r="AT83" i="27"/>
  <c r="AT87" i="27"/>
  <c r="AT85" i="27"/>
  <c r="AT77" i="27"/>
  <c r="AT82" i="27"/>
  <c r="AL71" i="27"/>
  <c r="AS71" i="27"/>
  <c r="AT73" i="27"/>
  <c r="AT86" i="27"/>
  <c r="AT76" i="27"/>
  <c r="AT71" i="27"/>
  <c r="AQ71" i="27"/>
  <c r="AK71" i="27"/>
  <c r="H64" i="29"/>
  <c r="H60" i="29"/>
  <c r="Q36" i="29"/>
  <c r="H87" i="29"/>
  <c r="H67" i="29"/>
  <c r="H86" i="29"/>
  <c r="H72" i="29"/>
  <c r="H80" i="29"/>
  <c r="N36" i="29"/>
  <c r="H57" i="29"/>
  <c r="H49" i="29"/>
  <c r="H75" i="29"/>
  <c r="H39" i="29"/>
  <c r="H46" i="29"/>
  <c r="H61" i="29"/>
  <c r="Y36" i="29"/>
  <c r="H38" i="29"/>
  <c r="H54" i="29"/>
  <c r="H68" i="29"/>
  <c r="H77" i="29"/>
  <c r="H44" i="29"/>
  <c r="H78" i="29"/>
  <c r="H69" i="29"/>
  <c r="H53" i="29"/>
  <c r="H47" i="29"/>
  <c r="H70" i="29"/>
  <c r="H55" i="29"/>
  <c r="L36" i="29"/>
  <c r="H83" i="29"/>
  <c r="V36" i="29"/>
  <c r="M36" i="29"/>
  <c r="T36" i="29"/>
  <c r="H48" i="29"/>
  <c r="O36" i="29"/>
  <c r="H84" i="29"/>
  <c r="H82" i="29"/>
  <c r="R36" i="29"/>
  <c r="H71" i="29"/>
  <c r="H40" i="29"/>
  <c r="S36" i="29"/>
  <c r="H41" i="29"/>
  <c r="H63" i="29"/>
  <c r="H81" i="29"/>
  <c r="H37" i="29"/>
  <c r="H42" i="29"/>
  <c r="J36" i="29"/>
  <c r="H59" i="29"/>
  <c r="U36" i="29"/>
  <c r="I36" i="29"/>
  <c r="X36" i="29"/>
  <c r="H85" i="29"/>
  <c r="H76" i="29"/>
  <c r="H74" i="29"/>
  <c r="H36" i="29"/>
  <c r="H65" i="29"/>
  <c r="W36" i="29"/>
  <c r="H58" i="29"/>
  <c r="H79" i="29"/>
  <c r="H66" i="29"/>
  <c r="P36" i="29"/>
  <c r="H56" i="29"/>
  <c r="H43" i="29"/>
  <c r="H51" i="29"/>
  <c r="H62" i="29"/>
  <c r="H50" i="29"/>
  <c r="H45" i="29"/>
  <c r="H52" i="29"/>
  <c r="H73" i="29"/>
  <c r="K36" i="29"/>
  <c r="T64" i="27"/>
  <c r="P71" i="27"/>
  <c r="S64" i="27"/>
  <c r="P65" i="27"/>
  <c r="P80" i="27"/>
  <c r="W64" i="27"/>
  <c r="P86" i="27"/>
  <c r="P87" i="27"/>
  <c r="P83" i="27"/>
  <c r="P81" i="27"/>
  <c r="P68" i="27"/>
  <c r="P76" i="27"/>
  <c r="P70" i="27"/>
  <c r="P72" i="27"/>
  <c r="U64" i="27"/>
  <c r="P82" i="27"/>
  <c r="P74" i="27"/>
  <c r="P84" i="27"/>
  <c r="X64" i="27"/>
  <c r="P67" i="27"/>
  <c r="P77" i="27"/>
  <c r="P79" i="27"/>
  <c r="V64" i="27"/>
  <c r="Y64" i="27"/>
  <c r="R64" i="27"/>
  <c r="P66" i="27"/>
  <c r="P78" i="27"/>
  <c r="P85" i="27"/>
  <c r="P64" i="27"/>
  <c r="P69" i="27"/>
  <c r="P75" i="27"/>
  <c r="Q64" i="27"/>
  <c r="P73" i="27"/>
  <c r="BH35" i="24" l="1"/>
  <c r="BH34" i="24"/>
  <c r="AW35" i="24"/>
  <c r="AX35" i="24" s="1"/>
  <c r="AW34" i="24"/>
  <c r="AU30" i="24"/>
  <c r="AU31" i="24"/>
  <c r="AV31" i="24" s="1"/>
  <c r="BH36" i="24"/>
  <c r="BI36" i="24" s="1"/>
  <c r="AL177" i="29" s="1"/>
  <c r="AG177" i="29" s="1"/>
  <c r="BI34" i="24"/>
  <c r="E90" i="29" s="1"/>
  <c r="E89" i="29" s="1"/>
  <c r="BF35" i="24"/>
  <c r="BG35" i="24" s="1"/>
  <c r="BF34" i="24"/>
  <c r="BG34" i="24" s="1"/>
  <c r="AQ90" i="29" s="1"/>
  <c r="AQ89" i="29" s="1"/>
  <c r="BF36" i="24"/>
  <c r="BG36" i="24" s="1"/>
  <c r="AL187" i="29" s="1"/>
  <c r="AL192" i="29" s="1"/>
  <c r="AG192" i="29" s="1"/>
  <c r="AX34" i="24"/>
  <c r="E90" i="27" s="1"/>
  <c r="E89" i="27" s="1"/>
  <c r="AI30" i="24"/>
  <c r="AS30" i="24"/>
  <c r="F34" i="25"/>
  <c r="F41" i="25"/>
  <c r="BD72" i="25"/>
  <c r="P92" i="29"/>
  <c r="F49" i="27"/>
  <c r="N81" i="27"/>
  <c r="F52" i="27"/>
  <c r="N69" i="27"/>
  <c r="Y57" i="27"/>
  <c r="P109" i="29"/>
  <c r="Y115" i="29"/>
  <c r="F83" i="25"/>
  <c r="P104" i="29"/>
  <c r="F67" i="27"/>
  <c r="P98" i="29"/>
  <c r="F57" i="27"/>
  <c r="F32" i="27"/>
  <c r="X57" i="27"/>
  <c r="F54" i="27"/>
  <c r="P111" i="29"/>
  <c r="L77" i="27"/>
  <c r="F68" i="29"/>
  <c r="L63" i="27"/>
  <c r="H70" i="25"/>
  <c r="W108" i="29"/>
  <c r="P76" i="29"/>
  <c r="X177" i="27"/>
  <c r="X180" i="27" s="1"/>
  <c r="T94" i="29"/>
  <c r="N62" i="29"/>
  <c r="J67" i="25"/>
  <c r="N70" i="27"/>
  <c r="P113" i="29"/>
  <c r="F71" i="27"/>
  <c r="T29" i="27"/>
  <c r="BD39" i="25"/>
  <c r="P108" i="29"/>
  <c r="F30" i="27"/>
  <c r="F77" i="27"/>
  <c r="R73" i="27"/>
  <c r="P85" i="25"/>
  <c r="T115" i="29"/>
  <c r="F59" i="27"/>
  <c r="F62" i="27"/>
  <c r="AW36" i="24"/>
  <c r="AX36" i="24" s="1"/>
  <c r="AL177" i="27" s="1"/>
  <c r="AG177" i="27" s="1"/>
  <c r="N82" i="27"/>
  <c r="P65" i="25"/>
  <c r="P105" i="29"/>
  <c r="Q29" i="27"/>
  <c r="F43" i="25"/>
  <c r="P57" i="27"/>
  <c r="W57" i="27"/>
  <c r="N86" i="27"/>
  <c r="P101" i="29"/>
  <c r="P100" i="29"/>
  <c r="P107" i="29"/>
  <c r="F87" i="27"/>
  <c r="F82" i="27"/>
  <c r="Y29" i="27"/>
  <c r="F48" i="27"/>
  <c r="F63" i="27"/>
  <c r="F47" i="25"/>
  <c r="F49" i="25"/>
  <c r="O50" i="29"/>
  <c r="BD83" i="25"/>
  <c r="F64" i="25"/>
  <c r="N61" i="27"/>
  <c r="N71" i="27"/>
  <c r="V57" i="27"/>
  <c r="P93" i="29"/>
  <c r="S115" i="29"/>
  <c r="P94" i="29"/>
  <c r="F81" i="27"/>
  <c r="F42" i="27"/>
  <c r="O29" i="27"/>
  <c r="J29" i="27"/>
  <c r="F34" i="27"/>
  <c r="F35" i="25"/>
  <c r="F72" i="25"/>
  <c r="Y50" i="29"/>
  <c r="BD48" i="25"/>
  <c r="Q57" i="27"/>
  <c r="N66" i="27"/>
  <c r="P110" i="29"/>
  <c r="P97" i="29"/>
  <c r="P91" i="29"/>
  <c r="U29" i="27"/>
  <c r="F60" i="27"/>
  <c r="F45" i="27"/>
  <c r="F38" i="27"/>
  <c r="F44" i="25"/>
  <c r="BD78" i="25"/>
  <c r="R57" i="27"/>
  <c r="N73" i="27"/>
  <c r="O57" i="27"/>
  <c r="P96" i="29"/>
  <c r="P95" i="29"/>
  <c r="P115" i="29"/>
  <c r="L29" i="27"/>
  <c r="F70" i="27"/>
  <c r="F84" i="27"/>
  <c r="K29" i="27"/>
  <c r="F65" i="27"/>
  <c r="I29" i="25"/>
  <c r="L29" i="25"/>
  <c r="BD75" i="25"/>
  <c r="S57" i="27"/>
  <c r="N76" i="27"/>
  <c r="N79" i="27"/>
  <c r="P99" i="29"/>
  <c r="W115" i="29"/>
  <c r="P112" i="29"/>
  <c r="F50" i="27"/>
  <c r="F51" i="27"/>
  <c r="F73" i="27"/>
  <c r="F76" i="27"/>
  <c r="F79" i="27"/>
  <c r="F65" i="25"/>
  <c r="F79" i="25"/>
  <c r="W50" i="29"/>
  <c r="BD76" i="25"/>
  <c r="X183" i="27"/>
  <c r="AD182" i="27"/>
  <c r="T97" i="25"/>
  <c r="H82" i="27"/>
  <c r="H45" i="27"/>
  <c r="U57" i="27"/>
  <c r="N68" i="27"/>
  <c r="N57" i="27"/>
  <c r="N59" i="27"/>
  <c r="P106" i="29"/>
  <c r="V115" i="29"/>
  <c r="U115" i="29"/>
  <c r="P103" i="29"/>
  <c r="P114" i="29"/>
  <c r="F44" i="27"/>
  <c r="F37" i="27"/>
  <c r="M29" i="27"/>
  <c r="F29" i="27"/>
  <c r="F31" i="27"/>
  <c r="F40" i="27"/>
  <c r="F85" i="25"/>
  <c r="F78" i="25"/>
  <c r="BB36" i="25"/>
  <c r="N80" i="27"/>
  <c r="N63" i="27"/>
  <c r="N62" i="27"/>
  <c r="R108" i="29"/>
  <c r="R115" i="29"/>
  <c r="P102" i="29"/>
  <c r="X115" i="29"/>
  <c r="F64" i="27"/>
  <c r="F75" i="27"/>
  <c r="F56" i="27"/>
  <c r="P29" i="27"/>
  <c r="F58" i="27"/>
  <c r="H29" i="27"/>
  <c r="F41" i="27"/>
  <c r="F50" i="25"/>
  <c r="F66" i="25"/>
  <c r="AW36" i="25"/>
  <c r="BD68" i="25"/>
  <c r="H66" i="25"/>
  <c r="F77" i="29"/>
  <c r="R79" i="27"/>
  <c r="F57" i="29"/>
  <c r="V87" i="27"/>
  <c r="Y57" i="29"/>
  <c r="H38" i="25"/>
  <c r="H52" i="25"/>
  <c r="P84" i="29"/>
  <c r="N63" i="29"/>
  <c r="N66" i="29"/>
  <c r="H78" i="25"/>
  <c r="H63" i="25"/>
  <c r="R95" i="29"/>
  <c r="S71" i="27"/>
  <c r="F39" i="29"/>
  <c r="P57" i="29"/>
  <c r="H36" i="25"/>
  <c r="H58" i="25"/>
  <c r="R100" i="29"/>
  <c r="N81" i="29"/>
  <c r="T108" i="29"/>
  <c r="R106" i="29"/>
  <c r="R101" i="29"/>
  <c r="F72" i="29"/>
  <c r="N78" i="29"/>
  <c r="H84" i="25"/>
  <c r="T36" i="25"/>
  <c r="S57" i="29"/>
  <c r="I36" i="25"/>
  <c r="AL78" i="29"/>
  <c r="U108" i="29"/>
  <c r="V29" i="29"/>
  <c r="P82" i="29"/>
  <c r="N76" i="29"/>
  <c r="H85" i="25"/>
  <c r="H49" i="25"/>
  <c r="Q64" i="25"/>
  <c r="T97" i="29"/>
  <c r="N70" i="29"/>
  <c r="J47" i="27"/>
  <c r="R104" i="29"/>
  <c r="R92" i="29"/>
  <c r="P79" i="25"/>
  <c r="T94" i="25"/>
  <c r="R83" i="25"/>
  <c r="AN94" i="25"/>
  <c r="J60" i="25"/>
  <c r="P68" i="29"/>
  <c r="N60" i="29"/>
  <c r="N87" i="29"/>
  <c r="N61" i="29"/>
  <c r="N73" i="29"/>
  <c r="H42" i="25"/>
  <c r="H87" i="25"/>
  <c r="H41" i="25"/>
  <c r="P73" i="25"/>
  <c r="J71" i="25"/>
  <c r="P71" i="25"/>
  <c r="T92" i="25"/>
  <c r="J51" i="25"/>
  <c r="AN78" i="25"/>
  <c r="P87" i="29"/>
  <c r="J54" i="27"/>
  <c r="R105" i="29"/>
  <c r="V108" i="29"/>
  <c r="U64" i="25"/>
  <c r="AA23" i="25"/>
  <c r="Y43" i="25"/>
  <c r="P70" i="29"/>
  <c r="N64" i="29"/>
  <c r="N75" i="29"/>
  <c r="N83" i="29"/>
  <c r="N65" i="29"/>
  <c r="S36" i="25"/>
  <c r="H82" i="25"/>
  <c r="M36" i="25"/>
  <c r="V101" i="29"/>
  <c r="P72" i="25"/>
  <c r="P77" i="25"/>
  <c r="J80" i="25"/>
  <c r="R85" i="29"/>
  <c r="N68" i="29"/>
  <c r="BC29" i="25"/>
  <c r="R94" i="29"/>
  <c r="Y108" i="29"/>
  <c r="P68" i="25"/>
  <c r="T98" i="29"/>
  <c r="J44" i="25"/>
  <c r="P80" i="29"/>
  <c r="R57" i="29"/>
  <c r="N57" i="29"/>
  <c r="N69" i="29"/>
  <c r="N74" i="29"/>
  <c r="H57" i="25"/>
  <c r="H71" i="25"/>
  <c r="H53" i="25"/>
  <c r="T93" i="29"/>
  <c r="T96" i="25"/>
  <c r="AV68" i="29"/>
  <c r="AI23" i="29"/>
  <c r="N85" i="29"/>
  <c r="Q43" i="29"/>
  <c r="R93" i="29"/>
  <c r="R102" i="29"/>
  <c r="P67" i="25"/>
  <c r="P87" i="25"/>
  <c r="W101" i="29"/>
  <c r="J84" i="25"/>
  <c r="P77" i="29"/>
  <c r="N79" i="29"/>
  <c r="N58" i="29"/>
  <c r="N59" i="29"/>
  <c r="W36" i="25"/>
  <c r="H50" i="25"/>
  <c r="H73" i="25"/>
  <c r="Q36" i="25"/>
  <c r="F52" i="29"/>
  <c r="F33" i="29"/>
  <c r="R76" i="27"/>
  <c r="T83" i="25"/>
  <c r="P29" i="29"/>
  <c r="J29" i="29"/>
  <c r="F29" i="29"/>
  <c r="F87" i="29"/>
  <c r="F76" i="29"/>
  <c r="F53" i="29"/>
  <c r="F69" i="29"/>
  <c r="F46" i="29"/>
  <c r="F44" i="29"/>
  <c r="F45" i="29"/>
  <c r="U71" i="27"/>
  <c r="T79" i="25"/>
  <c r="F63" i="29"/>
  <c r="F50" i="29"/>
  <c r="F82" i="29"/>
  <c r="F65" i="29"/>
  <c r="S29" i="29"/>
  <c r="M29" i="29"/>
  <c r="V85" i="27"/>
  <c r="R74" i="27"/>
  <c r="V71" i="27"/>
  <c r="X78" i="25"/>
  <c r="L29" i="29"/>
  <c r="F78" i="29"/>
  <c r="F55" i="29"/>
  <c r="F42" i="29"/>
  <c r="F56" i="29"/>
  <c r="F83" i="29"/>
  <c r="V86" i="27"/>
  <c r="R72" i="27"/>
  <c r="R77" i="27"/>
  <c r="T82" i="25"/>
  <c r="R29" i="29"/>
  <c r="Y29" i="29"/>
  <c r="F32" i="29"/>
  <c r="F43" i="29"/>
  <c r="T29" i="29"/>
  <c r="F35" i="29"/>
  <c r="R78" i="27"/>
  <c r="R86" i="27"/>
  <c r="L52" i="25"/>
  <c r="P113" i="25"/>
  <c r="Y94" i="27"/>
  <c r="X29" i="29"/>
  <c r="F86" i="29"/>
  <c r="F75" i="29"/>
  <c r="F41" i="29"/>
  <c r="F58" i="29"/>
  <c r="F36" i="29"/>
  <c r="R85" i="27"/>
  <c r="R81" i="27"/>
  <c r="F59" i="29"/>
  <c r="F34" i="29"/>
  <c r="F64" i="29"/>
  <c r="W29" i="29"/>
  <c r="F79" i="29"/>
  <c r="F47" i="29"/>
  <c r="R71" i="27"/>
  <c r="R75" i="27"/>
  <c r="L64" i="27"/>
  <c r="L73" i="27"/>
  <c r="L62" i="27"/>
  <c r="L55" i="27"/>
  <c r="L68" i="27"/>
  <c r="H87" i="27"/>
  <c r="K36" i="27"/>
  <c r="L82" i="27"/>
  <c r="L53" i="27"/>
  <c r="L75" i="27"/>
  <c r="H76" i="27"/>
  <c r="H64" i="27"/>
  <c r="L56" i="27"/>
  <c r="L65" i="27"/>
  <c r="L66" i="27"/>
  <c r="L85" i="29"/>
  <c r="H37" i="27"/>
  <c r="V36" i="27"/>
  <c r="T36" i="27"/>
  <c r="M36" i="27"/>
  <c r="L72" i="27"/>
  <c r="L76" i="27"/>
  <c r="L50" i="27"/>
  <c r="H83" i="27"/>
  <c r="H36" i="27"/>
  <c r="U101" i="27"/>
  <c r="H58" i="27"/>
  <c r="X21" i="27"/>
  <c r="S50" i="27"/>
  <c r="M50" i="27"/>
  <c r="Q50" i="27"/>
  <c r="AJ23" i="25"/>
  <c r="H59" i="27"/>
  <c r="H49" i="27"/>
  <c r="AD23" i="27"/>
  <c r="R36" i="27"/>
  <c r="H56" i="27"/>
  <c r="R96" i="29"/>
  <c r="R98" i="29"/>
  <c r="R107" i="29"/>
  <c r="AR87" i="29"/>
  <c r="R93" i="25"/>
  <c r="H68" i="25"/>
  <c r="L36" i="25"/>
  <c r="P36" i="25"/>
  <c r="H83" i="25"/>
  <c r="H81" i="25"/>
  <c r="K36" i="25"/>
  <c r="O36" i="25"/>
  <c r="H61" i="25"/>
  <c r="H39" i="25"/>
  <c r="R36" i="25"/>
  <c r="H80" i="25"/>
  <c r="H86" i="25"/>
  <c r="H76" i="25"/>
  <c r="H59" i="25"/>
  <c r="H51" i="25"/>
  <c r="H44" i="25"/>
  <c r="H56" i="25"/>
  <c r="X36" i="25"/>
  <c r="R97" i="29"/>
  <c r="R103" i="29"/>
  <c r="X108" i="29"/>
  <c r="H74" i="25"/>
  <c r="H54" i="25"/>
  <c r="H65" i="25"/>
  <c r="V36" i="25"/>
  <c r="Y36" i="25"/>
  <c r="H62" i="25"/>
  <c r="H75" i="25"/>
  <c r="H46" i="25"/>
  <c r="H79" i="25"/>
  <c r="R91" i="29"/>
  <c r="S108" i="29"/>
  <c r="H55" i="25"/>
  <c r="H48" i="25"/>
  <c r="H69" i="25"/>
  <c r="H72" i="25"/>
  <c r="H40" i="25"/>
  <c r="H47" i="25"/>
  <c r="H45" i="25"/>
  <c r="H64" i="25"/>
  <c r="H60" i="25"/>
  <c r="H37" i="25"/>
  <c r="H43" i="25"/>
  <c r="N36" i="25"/>
  <c r="H77" i="25"/>
  <c r="U36" i="25"/>
  <c r="J36" i="25"/>
  <c r="K43" i="27"/>
  <c r="J68" i="27"/>
  <c r="T100" i="25"/>
  <c r="T95" i="25"/>
  <c r="AV69" i="29"/>
  <c r="T81" i="27"/>
  <c r="AR91" i="27"/>
  <c r="AV78" i="29"/>
  <c r="U78" i="27"/>
  <c r="J61" i="27"/>
  <c r="J86" i="27"/>
  <c r="J69" i="27"/>
  <c r="AY50" i="29"/>
  <c r="V101" i="25"/>
  <c r="Y101" i="25"/>
  <c r="AL101" i="27"/>
  <c r="AV67" i="29"/>
  <c r="AZ75" i="29"/>
  <c r="J58" i="27"/>
  <c r="R43" i="27"/>
  <c r="T101" i="25"/>
  <c r="T98" i="25"/>
  <c r="AM101" i="27"/>
  <c r="AV86" i="29"/>
  <c r="J71" i="27"/>
  <c r="X101" i="25"/>
  <c r="AP101" i="27"/>
  <c r="AT64" i="29"/>
  <c r="X85" i="25"/>
  <c r="T99" i="25"/>
  <c r="J45" i="27"/>
  <c r="T93" i="25"/>
  <c r="T91" i="25"/>
  <c r="AV76" i="29"/>
  <c r="J49" i="27"/>
  <c r="J87" i="27"/>
  <c r="J79" i="27"/>
  <c r="U101" i="25"/>
  <c r="X21" i="25"/>
  <c r="AV81" i="29"/>
  <c r="AA23" i="27"/>
  <c r="X20" i="27"/>
  <c r="D72" i="27" s="1"/>
  <c r="L54" i="27"/>
  <c r="L61" i="27"/>
  <c r="R50" i="27"/>
  <c r="L84" i="27"/>
  <c r="L52" i="27"/>
  <c r="L83" i="27"/>
  <c r="L70" i="27"/>
  <c r="AL21" i="25"/>
  <c r="H42" i="27"/>
  <c r="J36" i="27"/>
  <c r="H54" i="27"/>
  <c r="S36" i="27"/>
  <c r="N36" i="27"/>
  <c r="H74" i="27"/>
  <c r="H47" i="27"/>
  <c r="H65" i="27"/>
  <c r="H70" i="27"/>
  <c r="X50" i="25"/>
  <c r="P103" i="25"/>
  <c r="W101" i="27"/>
  <c r="AD177" i="29"/>
  <c r="N85" i="27"/>
  <c r="N72" i="27"/>
  <c r="N78" i="27"/>
  <c r="T50" i="27"/>
  <c r="L74" i="27"/>
  <c r="L57" i="27"/>
  <c r="Y50" i="27"/>
  <c r="L59" i="27"/>
  <c r="L69" i="27"/>
  <c r="R100" i="27"/>
  <c r="T86" i="25"/>
  <c r="S29" i="27"/>
  <c r="F36" i="27"/>
  <c r="G29" i="27"/>
  <c r="F47" i="27"/>
  <c r="X29" i="27"/>
  <c r="F39" i="27"/>
  <c r="F46" i="27"/>
  <c r="F72" i="27"/>
  <c r="F69" i="27"/>
  <c r="F48" i="25"/>
  <c r="F59" i="25"/>
  <c r="F55" i="25"/>
  <c r="F61" i="25"/>
  <c r="L66" i="29"/>
  <c r="F48" i="29"/>
  <c r="F74" i="29"/>
  <c r="H29" i="29"/>
  <c r="F38" i="29"/>
  <c r="F67" i="29"/>
  <c r="I29" i="29"/>
  <c r="O29" i="29"/>
  <c r="F66" i="29"/>
  <c r="F60" i="29"/>
  <c r="G29" i="29"/>
  <c r="W85" i="27"/>
  <c r="H39" i="27"/>
  <c r="H67" i="27"/>
  <c r="W36" i="27"/>
  <c r="Y36" i="27"/>
  <c r="H73" i="27"/>
  <c r="H46" i="27"/>
  <c r="X36" i="27"/>
  <c r="H75" i="27"/>
  <c r="AO36" i="25"/>
  <c r="BD38" i="25"/>
  <c r="R80" i="27"/>
  <c r="Y71" i="27"/>
  <c r="W71" i="27"/>
  <c r="V50" i="25"/>
  <c r="AP78" i="27"/>
  <c r="P81" i="29"/>
  <c r="N86" i="29"/>
  <c r="U57" i="29"/>
  <c r="N82" i="29"/>
  <c r="N72" i="29"/>
  <c r="N67" i="29"/>
  <c r="M50" i="25"/>
  <c r="AA20" i="27"/>
  <c r="L78" i="27"/>
  <c r="L80" i="27"/>
  <c r="L71" i="27"/>
  <c r="L79" i="27"/>
  <c r="L86" i="27"/>
  <c r="L85" i="27"/>
  <c r="L67" i="27"/>
  <c r="H40" i="27"/>
  <c r="P36" i="27"/>
  <c r="H86" i="27"/>
  <c r="H61" i="27"/>
  <c r="H44" i="27"/>
  <c r="I36" i="27"/>
  <c r="H50" i="27"/>
  <c r="H51" i="27"/>
  <c r="L65" i="25"/>
  <c r="N74" i="27"/>
  <c r="N75" i="27"/>
  <c r="W21" i="27"/>
  <c r="N83" i="27"/>
  <c r="N60" i="27"/>
  <c r="T57" i="27"/>
  <c r="N84" i="27"/>
  <c r="N67" i="27"/>
  <c r="Y21" i="27"/>
  <c r="O50" i="27"/>
  <c r="X50" i="27"/>
  <c r="U50" i="27"/>
  <c r="L87" i="27"/>
  <c r="W50" i="27"/>
  <c r="L60" i="27"/>
  <c r="T81" i="25"/>
  <c r="V29" i="27"/>
  <c r="F66" i="27"/>
  <c r="F61" i="27"/>
  <c r="F35" i="27"/>
  <c r="F43" i="27"/>
  <c r="F55" i="27"/>
  <c r="F80" i="27"/>
  <c r="F53" i="27"/>
  <c r="F85" i="27"/>
  <c r="F58" i="25"/>
  <c r="F45" i="25"/>
  <c r="W29" i="25"/>
  <c r="F31" i="25"/>
  <c r="L84" i="29"/>
  <c r="U29" i="29"/>
  <c r="F51" i="29"/>
  <c r="F61" i="29"/>
  <c r="F85" i="29"/>
  <c r="F40" i="29"/>
  <c r="F37" i="29"/>
  <c r="F31" i="29"/>
  <c r="F80" i="29"/>
  <c r="F54" i="29"/>
  <c r="F30" i="29"/>
  <c r="H78" i="27"/>
  <c r="H79" i="27"/>
  <c r="O36" i="27"/>
  <c r="H57" i="27"/>
  <c r="H55" i="27"/>
  <c r="H41" i="27"/>
  <c r="H84" i="27"/>
  <c r="H43" i="27"/>
  <c r="H68" i="27"/>
  <c r="BD61" i="25"/>
  <c r="BD37" i="25"/>
  <c r="R84" i="27"/>
  <c r="R83" i="27"/>
  <c r="T71" i="27"/>
  <c r="L67" i="25"/>
  <c r="U64" i="29"/>
  <c r="N84" i="29"/>
  <c r="Q57" i="29"/>
  <c r="W57" i="29"/>
  <c r="V57" i="29"/>
  <c r="N71" i="29"/>
  <c r="AH177" i="27"/>
  <c r="AC20" i="27"/>
  <c r="H77" i="27"/>
  <c r="H80" i="27"/>
  <c r="H62" i="27"/>
  <c r="H60" i="27"/>
  <c r="H72" i="27"/>
  <c r="H48" i="27"/>
  <c r="H66" i="27"/>
  <c r="H81" i="27"/>
  <c r="U36" i="27"/>
  <c r="L54" i="25"/>
  <c r="N58" i="27"/>
  <c r="N77" i="27"/>
  <c r="N87" i="27"/>
  <c r="N65" i="27"/>
  <c r="L58" i="27"/>
  <c r="V50" i="27"/>
  <c r="L81" i="27"/>
  <c r="L51" i="27"/>
  <c r="P50" i="27"/>
  <c r="T87" i="25"/>
  <c r="R29" i="27"/>
  <c r="W29" i="27"/>
  <c r="N29" i="27"/>
  <c r="F68" i="27"/>
  <c r="F74" i="27"/>
  <c r="F33" i="27"/>
  <c r="F86" i="27"/>
  <c r="F83" i="27"/>
  <c r="I29" i="27"/>
  <c r="F52" i="25"/>
  <c r="F46" i="25"/>
  <c r="F42" i="25"/>
  <c r="F69" i="25"/>
  <c r="S50" i="29"/>
  <c r="F81" i="29"/>
  <c r="F71" i="29"/>
  <c r="F73" i="29"/>
  <c r="N29" i="29"/>
  <c r="F49" i="29"/>
  <c r="Q29" i="29"/>
  <c r="F62" i="29"/>
  <c r="F70" i="29"/>
  <c r="K29" i="29"/>
  <c r="H53" i="27"/>
  <c r="H85" i="27"/>
  <c r="H52" i="27"/>
  <c r="L36" i="27"/>
  <c r="H63" i="27"/>
  <c r="H71" i="27"/>
  <c r="H38" i="27"/>
  <c r="H69" i="27"/>
  <c r="BD56" i="25"/>
  <c r="BD77" i="25"/>
  <c r="R82" i="27"/>
  <c r="X71" i="27"/>
  <c r="L82" i="25"/>
  <c r="L57" i="25"/>
  <c r="P67" i="29"/>
  <c r="P72" i="29"/>
  <c r="X57" i="29"/>
  <c r="N80" i="29"/>
  <c r="T57" i="29"/>
  <c r="O57" i="29"/>
  <c r="AD30" i="29"/>
  <c r="AO78" i="29"/>
  <c r="AC23" i="25"/>
  <c r="L64" i="25"/>
  <c r="L80" i="25"/>
  <c r="L62" i="25"/>
  <c r="V115" i="25"/>
  <c r="P65" i="29"/>
  <c r="W64" i="29"/>
  <c r="P71" i="29"/>
  <c r="P74" i="29"/>
  <c r="P79" i="29"/>
  <c r="T115" i="27"/>
  <c r="X20" i="25"/>
  <c r="X22" i="25" s="1"/>
  <c r="X85" i="29"/>
  <c r="L79" i="25"/>
  <c r="L61" i="25"/>
  <c r="N50" i="25"/>
  <c r="P109" i="25"/>
  <c r="P75" i="29"/>
  <c r="P86" i="29"/>
  <c r="P78" i="29"/>
  <c r="V64" i="29"/>
  <c r="AD30" i="25"/>
  <c r="BF63" i="25"/>
  <c r="V115" i="27"/>
  <c r="L70" i="25"/>
  <c r="L81" i="25"/>
  <c r="L63" i="25"/>
  <c r="P69" i="29"/>
  <c r="Q64" i="29"/>
  <c r="R64" i="29"/>
  <c r="P73" i="29"/>
  <c r="AK78" i="29"/>
  <c r="AC20" i="25"/>
  <c r="AP29" i="25"/>
  <c r="P92" i="27"/>
  <c r="L69" i="25"/>
  <c r="L55" i="25"/>
  <c r="L86" i="25"/>
  <c r="P64" i="29"/>
  <c r="P85" i="29"/>
  <c r="P66" i="29"/>
  <c r="X64" i="29"/>
  <c r="BF52" i="25"/>
  <c r="AR86" i="29"/>
  <c r="L56" i="25"/>
  <c r="L72" i="25"/>
  <c r="Y50" i="25"/>
  <c r="Y64" i="29"/>
  <c r="S64" i="29"/>
  <c r="P83" i="29"/>
  <c r="AD30" i="27"/>
  <c r="X178" i="29"/>
  <c r="X180" i="29"/>
  <c r="AD182" i="29"/>
  <c r="J48" i="24"/>
  <c r="X101" i="27"/>
  <c r="R71" i="29"/>
  <c r="J65" i="27"/>
  <c r="J74" i="27"/>
  <c r="J80" i="27"/>
  <c r="J44" i="27"/>
  <c r="BD84" i="25"/>
  <c r="T43" i="25"/>
  <c r="J51" i="27"/>
  <c r="J63" i="27"/>
  <c r="J60" i="27"/>
  <c r="J78" i="27"/>
  <c r="S64" i="25"/>
  <c r="AR97" i="27"/>
  <c r="AN36" i="25"/>
  <c r="J77" i="25"/>
  <c r="R76" i="29"/>
  <c r="P83" i="25"/>
  <c r="P82" i="25"/>
  <c r="W64" i="25"/>
  <c r="P81" i="25"/>
  <c r="AR83" i="29"/>
  <c r="T91" i="29"/>
  <c r="X101" i="29"/>
  <c r="AD23" i="25"/>
  <c r="AR100" i="27"/>
  <c r="AQ101" i="27"/>
  <c r="AK115" i="25"/>
  <c r="AR64" i="29"/>
  <c r="AV70" i="29"/>
  <c r="AV75" i="29"/>
  <c r="BD39" i="29"/>
  <c r="W85" i="25"/>
  <c r="Y78" i="27"/>
  <c r="T78" i="27"/>
  <c r="BD42" i="25"/>
  <c r="BD82" i="25"/>
  <c r="BD49" i="25"/>
  <c r="AZ36" i="25"/>
  <c r="BD46" i="25"/>
  <c r="BD60" i="25"/>
  <c r="BD53" i="25"/>
  <c r="BD57" i="25"/>
  <c r="BD36" i="25"/>
  <c r="AR83" i="25"/>
  <c r="AP94" i="25"/>
  <c r="J86" i="25"/>
  <c r="O43" i="25"/>
  <c r="L43" i="25"/>
  <c r="J48" i="25"/>
  <c r="J65" i="25"/>
  <c r="J53" i="25"/>
  <c r="J75" i="25"/>
  <c r="T98" i="27"/>
  <c r="T101" i="27"/>
  <c r="R81" i="29"/>
  <c r="AM94" i="25"/>
  <c r="N43" i="25"/>
  <c r="U43" i="25"/>
  <c r="J83" i="25"/>
  <c r="Q43" i="25"/>
  <c r="J47" i="25"/>
  <c r="J52" i="25"/>
  <c r="J55" i="25"/>
  <c r="T94" i="27"/>
  <c r="AM21" i="29"/>
  <c r="Q43" i="27"/>
  <c r="AV64" i="29"/>
  <c r="BD41" i="25"/>
  <c r="BD62" i="25"/>
  <c r="AT36" i="25"/>
  <c r="BD74" i="25"/>
  <c r="BD86" i="25"/>
  <c r="J74" i="25"/>
  <c r="AI20" i="29"/>
  <c r="J81" i="27"/>
  <c r="P69" i="25"/>
  <c r="Y101" i="29"/>
  <c r="AK64" i="29"/>
  <c r="T80" i="27"/>
  <c r="AV36" i="25"/>
  <c r="BD71" i="25"/>
  <c r="BD81" i="25"/>
  <c r="AP36" i="25"/>
  <c r="AL36" i="25"/>
  <c r="BD66" i="25"/>
  <c r="J84" i="27"/>
  <c r="J50" i="27"/>
  <c r="J76" i="27"/>
  <c r="J66" i="27"/>
  <c r="J56" i="27"/>
  <c r="J67" i="27"/>
  <c r="J64" i="27"/>
  <c r="P80" i="25"/>
  <c r="AR80" i="29"/>
  <c r="T100" i="29"/>
  <c r="T99" i="29"/>
  <c r="Y21" i="25"/>
  <c r="AR98" i="27"/>
  <c r="AR96" i="27"/>
  <c r="AU64" i="29"/>
  <c r="AP64" i="29"/>
  <c r="AV82" i="29"/>
  <c r="AV83" i="29"/>
  <c r="BD80" i="29"/>
  <c r="V87" i="25"/>
  <c r="T83" i="27"/>
  <c r="T86" i="27"/>
  <c r="BD47" i="25"/>
  <c r="BD40" i="25"/>
  <c r="BD67" i="25"/>
  <c r="BD79" i="25"/>
  <c r="BD51" i="25"/>
  <c r="BD52" i="25"/>
  <c r="BD55" i="25"/>
  <c r="AS36" i="25"/>
  <c r="BD87" i="25"/>
  <c r="AK94" i="25"/>
  <c r="AP91" i="25"/>
  <c r="J81" i="25"/>
  <c r="J58" i="25"/>
  <c r="J64" i="25"/>
  <c r="J79" i="25"/>
  <c r="J63" i="25"/>
  <c r="K43" i="25"/>
  <c r="S43" i="25"/>
  <c r="T93" i="27"/>
  <c r="T96" i="27"/>
  <c r="T71" i="29"/>
  <c r="X183" i="29"/>
  <c r="AO101" i="27"/>
  <c r="AQ64" i="29"/>
  <c r="AV85" i="29"/>
  <c r="T82" i="27"/>
  <c r="AX36" i="25"/>
  <c r="BD73" i="25"/>
  <c r="AO94" i="25"/>
  <c r="V43" i="25"/>
  <c r="J45" i="25"/>
  <c r="T97" i="27"/>
  <c r="R82" i="29"/>
  <c r="J62" i="27"/>
  <c r="J72" i="27"/>
  <c r="X64" i="25"/>
  <c r="P64" i="25"/>
  <c r="AS64" i="29"/>
  <c r="V85" i="25"/>
  <c r="BD43" i="25"/>
  <c r="AP93" i="25"/>
  <c r="J69" i="25"/>
  <c r="P43" i="25"/>
  <c r="J76" i="25"/>
  <c r="T100" i="27"/>
  <c r="J83" i="27"/>
  <c r="O43" i="27"/>
  <c r="J57" i="29"/>
  <c r="J55" i="27"/>
  <c r="J52" i="27"/>
  <c r="S43" i="27"/>
  <c r="J77" i="27"/>
  <c r="T64" i="25"/>
  <c r="P70" i="25"/>
  <c r="J46" i="29"/>
  <c r="J70" i="27"/>
  <c r="X43" i="27"/>
  <c r="W43" i="27"/>
  <c r="J75" i="27"/>
  <c r="J85" i="27"/>
  <c r="U43" i="27"/>
  <c r="N43" i="27"/>
  <c r="J59" i="27"/>
  <c r="P74" i="25"/>
  <c r="P84" i="25"/>
  <c r="Y64" i="25"/>
  <c r="V64" i="25"/>
  <c r="AR78" i="29"/>
  <c r="U101" i="29"/>
  <c r="T92" i="29"/>
  <c r="W21" i="25"/>
  <c r="AR99" i="27"/>
  <c r="AR93" i="27"/>
  <c r="AO64" i="29"/>
  <c r="AV84" i="29"/>
  <c r="AV74" i="29"/>
  <c r="AV87" i="29"/>
  <c r="R72" i="25"/>
  <c r="V86" i="25"/>
  <c r="X78" i="27"/>
  <c r="T85" i="27"/>
  <c r="BD63" i="25"/>
  <c r="BD69" i="25"/>
  <c r="AR36" i="25"/>
  <c r="AM36" i="25"/>
  <c r="AY36" i="25"/>
  <c r="BC36" i="25"/>
  <c r="BD54" i="25"/>
  <c r="BD58" i="25"/>
  <c r="BD70" i="25"/>
  <c r="AP92" i="25"/>
  <c r="J54" i="25"/>
  <c r="J72" i="25"/>
  <c r="J59" i="25"/>
  <c r="J70" i="25"/>
  <c r="J87" i="25"/>
  <c r="J82" i="25"/>
  <c r="R43" i="25"/>
  <c r="J85" i="25"/>
  <c r="T95" i="27"/>
  <c r="T99" i="27"/>
  <c r="V71" i="29"/>
  <c r="X185" i="29"/>
  <c r="AP78" i="25"/>
  <c r="J43" i="25"/>
  <c r="J46" i="27"/>
  <c r="Y43" i="27"/>
  <c r="AK101" i="27"/>
  <c r="AM115" i="25"/>
  <c r="AN64" i="29"/>
  <c r="BD65" i="25"/>
  <c r="AQ78" i="25"/>
  <c r="J62" i="25"/>
  <c r="J46" i="25"/>
  <c r="J78" i="25"/>
  <c r="T92" i="27"/>
  <c r="T96" i="29"/>
  <c r="AR101" i="27"/>
  <c r="AV100" i="25"/>
  <c r="AL64" i="29"/>
  <c r="AV77" i="29"/>
  <c r="BD50" i="25"/>
  <c r="AR86" i="25"/>
  <c r="W43" i="25"/>
  <c r="J61" i="25"/>
  <c r="J66" i="25"/>
  <c r="Y101" i="27"/>
  <c r="J59" i="29"/>
  <c r="P43" i="27"/>
  <c r="J82" i="27"/>
  <c r="AT29" i="25"/>
  <c r="J57" i="27"/>
  <c r="P75" i="25"/>
  <c r="P43" i="29"/>
  <c r="J53" i="27"/>
  <c r="V43" i="27"/>
  <c r="T43" i="27"/>
  <c r="J43" i="27"/>
  <c r="L43" i="27"/>
  <c r="J73" i="27"/>
  <c r="J48" i="27"/>
  <c r="P86" i="25"/>
  <c r="R64" i="25"/>
  <c r="P76" i="25"/>
  <c r="P66" i="25"/>
  <c r="AN78" i="29"/>
  <c r="AZ59" i="29"/>
  <c r="T95" i="29"/>
  <c r="AR95" i="27"/>
  <c r="AN101" i="27"/>
  <c r="AV66" i="29"/>
  <c r="AV80" i="29"/>
  <c r="AV72" i="29"/>
  <c r="AV73" i="29"/>
  <c r="R71" i="25"/>
  <c r="V78" i="27"/>
  <c r="R97" i="25"/>
  <c r="BD44" i="25"/>
  <c r="BD64" i="25"/>
  <c r="BD59" i="25"/>
  <c r="AK36" i="25"/>
  <c r="BD80" i="25"/>
  <c r="AU36" i="25"/>
  <c r="BA36" i="25"/>
  <c r="BD85" i="25"/>
  <c r="J73" i="25"/>
  <c r="M43" i="25"/>
  <c r="J56" i="25"/>
  <c r="X43" i="25"/>
  <c r="J49" i="25"/>
  <c r="J50" i="25"/>
  <c r="J68" i="25"/>
  <c r="T91" i="27"/>
  <c r="R80" i="29"/>
  <c r="X187" i="29"/>
  <c r="Y190" i="29" s="1"/>
  <c r="AQ88" i="29"/>
  <c r="J72" i="29"/>
  <c r="K43" i="29"/>
  <c r="R74" i="25"/>
  <c r="J67" i="29"/>
  <c r="R86" i="25"/>
  <c r="R104" i="25"/>
  <c r="V93" i="29"/>
  <c r="L43" i="29"/>
  <c r="J63" i="29"/>
  <c r="R73" i="25"/>
  <c r="U108" i="25"/>
  <c r="R107" i="25"/>
  <c r="V94" i="29"/>
  <c r="J77" i="29"/>
  <c r="J82" i="29"/>
  <c r="O43" i="29"/>
  <c r="T71" i="25"/>
  <c r="W71" i="25"/>
  <c r="J70" i="29"/>
  <c r="Y43" i="29"/>
  <c r="V71" i="25"/>
  <c r="R105" i="25"/>
  <c r="X94" i="29"/>
  <c r="J52" i="29"/>
  <c r="R87" i="25"/>
  <c r="BB43" i="27"/>
  <c r="R94" i="25"/>
  <c r="J80" i="29"/>
  <c r="J61" i="29"/>
  <c r="J56" i="29"/>
  <c r="J85" i="29"/>
  <c r="R77" i="25"/>
  <c r="R80" i="25"/>
  <c r="V108" i="25"/>
  <c r="J74" i="29"/>
  <c r="M43" i="29"/>
  <c r="J73" i="29"/>
  <c r="T43" i="29"/>
  <c r="BF40" i="25"/>
  <c r="BF30" i="25"/>
  <c r="AM78" i="29"/>
  <c r="AR85" i="29"/>
  <c r="X115" i="27"/>
  <c r="R93" i="27"/>
  <c r="V78" i="25"/>
  <c r="T85" i="25"/>
  <c r="R95" i="25"/>
  <c r="W94" i="29"/>
  <c r="X85" i="27"/>
  <c r="U50" i="25"/>
  <c r="R50" i="25"/>
  <c r="L78" i="25"/>
  <c r="W50" i="25"/>
  <c r="L59" i="25"/>
  <c r="L71" i="25"/>
  <c r="S71" i="25"/>
  <c r="R76" i="25"/>
  <c r="R82" i="25"/>
  <c r="R98" i="25"/>
  <c r="J64" i="29"/>
  <c r="J43" i="29"/>
  <c r="J55" i="29"/>
  <c r="BF70" i="25"/>
  <c r="AQ78" i="29"/>
  <c r="AP78" i="29"/>
  <c r="R105" i="27"/>
  <c r="W78" i="25"/>
  <c r="T84" i="25"/>
  <c r="X71" i="25"/>
  <c r="R85" i="25"/>
  <c r="R75" i="25"/>
  <c r="AZ77" i="27"/>
  <c r="R99" i="25"/>
  <c r="R102" i="25"/>
  <c r="V91" i="29"/>
  <c r="S50" i="25"/>
  <c r="L84" i="25"/>
  <c r="L74" i="25"/>
  <c r="L68" i="25"/>
  <c r="L83" i="25"/>
  <c r="L53" i="25"/>
  <c r="T50" i="25"/>
  <c r="S43" i="29"/>
  <c r="J76" i="29"/>
  <c r="J84" i="29"/>
  <c r="J50" i="29"/>
  <c r="N43" i="29"/>
  <c r="BF54" i="25"/>
  <c r="AR82" i="29"/>
  <c r="AR84" i="29"/>
  <c r="Y78" i="25"/>
  <c r="T78" i="25"/>
  <c r="U71" i="25"/>
  <c r="R78" i="25"/>
  <c r="R79" i="25"/>
  <c r="AN43" i="25"/>
  <c r="R100" i="25"/>
  <c r="R101" i="25"/>
  <c r="L76" i="25"/>
  <c r="L77" i="25"/>
  <c r="L60" i="25"/>
  <c r="L75" i="25"/>
  <c r="O50" i="25"/>
  <c r="Q50" i="25"/>
  <c r="L50" i="25"/>
  <c r="J87" i="29"/>
  <c r="X43" i="29"/>
  <c r="R43" i="29"/>
  <c r="J75" i="29"/>
  <c r="J62" i="29"/>
  <c r="BD29" i="25"/>
  <c r="AR81" i="29"/>
  <c r="U78" i="25"/>
  <c r="Y71" i="25"/>
  <c r="R84" i="25"/>
  <c r="AY43" i="25"/>
  <c r="R96" i="25"/>
  <c r="T108" i="25"/>
  <c r="L51" i="25"/>
  <c r="L73" i="25"/>
  <c r="L85" i="25"/>
  <c r="L87" i="25"/>
  <c r="L58" i="25"/>
  <c r="P50" i="25"/>
  <c r="F82" i="25"/>
  <c r="F80" i="25"/>
  <c r="F70" i="25"/>
  <c r="H29" i="25"/>
  <c r="U29" i="25"/>
  <c r="F32" i="25"/>
  <c r="F71" i="25"/>
  <c r="F75" i="25"/>
  <c r="F73" i="25"/>
  <c r="N29" i="25"/>
  <c r="L69" i="29"/>
  <c r="V50" i="29"/>
  <c r="L55" i="29"/>
  <c r="N77" i="25"/>
  <c r="W94" i="27"/>
  <c r="F86" i="25"/>
  <c r="J29" i="25"/>
  <c r="F33" i="25"/>
  <c r="Q29" i="25"/>
  <c r="X29" i="25"/>
  <c r="T29" i="25"/>
  <c r="F39" i="25"/>
  <c r="Y29" i="25"/>
  <c r="F76" i="25"/>
  <c r="S29" i="25"/>
  <c r="L73" i="29"/>
  <c r="L87" i="29"/>
  <c r="W57" i="25"/>
  <c r="V94" i="27"/>
  <c r="F38" i="25"/>
  <c r="O29" i="25"/>
  <c r="M29" i="25"/>
  <c r="F40" i="25"/>
  <c r="P29" i="25"/>
  <c r="K29" i="25"/>
  <c r="F84" i="25"/>
  <c r="R29" i="25"/>
  <c r="F87" i="25"/>
  <c r="L74" i="29"/>
  <c r="L65" i="29"/>
  <c r="V93" i="27"/>
  <c r="F54" i="25"/>
  <c r="F53" i="25"/>
  <c r="G29" i="25"/>
  <c r="F37" i="25"/>
  <c r="F63" i="25"/>
  <c r="F67" i="25"/>
  <c r="F36" i="25"/>
  <c r="F62" i="25"/>
  <c r="F51" i="25"/>
  <c r="L58" i="29"/>
  <c r="L78" i="29"/>
  <c r="V92" i="27"/>
  <c r="N71" i="25"/>
  <c r="X94" i="27"/>
  <c r="F57" i="25"/>
  <c r="V29" i="25"/>
  <c r="F68" i="25"/>
  <c r="F56" i="25"/>
  <c r="F60" i="25"/>
  <c r="F74" i="25"/>
  <c r="F29" i="25"/>
  <c r="F30" i="25"/>
  <c r="F77" i="25"/>
  <c r="N50" i="29"/>
  <c r="L77" i="29"/>
  <c r="AM78" i="27"/>
  <c r="Q115" i="27"/>
  <c r="P107" i="27"/>
  <c r="P99" i="27"/>
  <c r="P106" i="27"/>
  <c r="R99" i="27"/>
  <c r="U108" i="27"/>
  <c r="R107" i="27"/>
  <c r="Y85" i="29"/>
  <c r="P106" i="25"/>
  <c r="P98" i="25"/>
  <c r="P107" i="25"/>
  <c r="P102" i="25"/>
  <c r="P115" i="25"/>
  <c r="J53" i="29"/>
  <c r="J71" i="29"/>
  <c r="J65" i="29"/>
  <c r="J86" i="29"/>
  <c r="J44" i="29"/>
  <c r="J68" i="29"/>
  <c r="U43" i="29"/>
  <c r="P104" i="27"/>
  <c r="Y115" i="27"/>
  <c r="P108" i="27"/>
  <c r="P101" i="27"/>
  <c r="R104" i="27"/>
  <c r="Y108" i="27"/>
  <c r="V108" i="27"/>
  <c r="R91" i="25"/>
  <c r="S108" i="25"/>
  <c r="Y108" i="25"/>
  <c r="V86" i="29"/>
  <c r="Y94" i="29"/>
  <c r="N67" i="25"/>
  <c r="S115" i="25"/>
  <c r="P108" i="25"/>
  <c r="P105" i="25"/>
  <c r="P92" i="25"/>
  <c r="Y115" i="25"/>
  <c r="AM78" i="25"/>
  <c r="Y71" i="29"/>
  <c r="P97" i="25"/>
  <c r="T115" i="25"/>
  <c r="P114" i="25"/>
  <c r="AK78" i="25"/>
  <c r="R77" i="29"/>
  <c r="AG23" i="29"/>
  <c r="R115" i="27"/>
  <c r="P94" i="27"/>
  <c r="R103" i="27"/>
  <c r="W85" i="29"/>
  <c r="P95" i="25"/>
  <c r="P100" i="25"/>
  <c r="W115" i="25"/>
  <c r="P93" i="25"/>
  <c r="J79" i="29"/>
  <c r="J48" i="29"/>
  <c r="V43" i="29"/>
  <c r="J81" i="29"/>
  <c r="J45" i="29"/>
  <c r="J49" i="29"/>
  <c r="J78" i="29"/>
  <c r="W43" i="29"/>
  <c r="S115" i="27"/>
  <c r="P111" i="27"/>
  <c r="P103" i="27"/>
  <c r="P115" i="27"/>
  <c r="P96" i="27"/>
  <c r="S108" i="27"/>
  <c r="R97" i="27"/>
  <c r="X108" i="27"/>
  <c r="R98" i="27"/>
  <c r="AS115" i="25"/>
  <c r="BB87" i="25"/>
  <c r="T87" i="27"/>
  <c r="T79" i="27"/>
  <c r="R92" i="25"/>
  <c r="W108" i="25"/>
  <c r="R108" i="25"/>
  <c r="V87" i="29"/>
  <c r="N70" i="25"/>
  <c r="P99" i="25"/>
  <c r="J69" i="29"/>
  <c r="J51" i="29"/>
  <c r="J58" i="29"/>
  <c r="J66" i="29"/>
  <c r="J83" i="29"/>
  <c r="J60" i="29"/>
  <c r="J47" i="29"/>
  <c r="P102" i="27"/>
  <c r="P105" i="27"/>
  <c r="P98" i="27"/>
  <c r="P97" i="27"/>
  <c r="P114" i="27"/>
  <c r="R94" i="27"/>
  <c r="R102" i="27"/>
  <c r="R91" i="27"/>
  <c r="AR94" i="27"/>
  <c r="AV108" i="25"/>
  <c r="AM64" i="29"/>
  <c r="AV71" i="29"/>
  <c r="AV79" i="29"/>
  <c r="BD73" i="29"/>
  <c r="AV43" i="25"/>
  <c r="W78" i="27"/>
  <c r="R106" i="25"/>
  <c r="R103" i="25"/>
  <c r="N68" i="25"/>
  <c r="BF40" i="29"/>
  <c r="P101" i="25"/>
  <c r="P91" i="25"/>
  <c r="P94" i="25"/>
  <c r="P111" i="25"/>
  <c r="AR85" i="25"/>
  <c r="R72" i="29"/>
  <c r="R83" i="29"/>
  <c r="AJ23" i="29"/>
  <c r="P112" i="27"/>
  <c r="P95" i="27"/>
  <c r="R92" i="27"/>
  <c r="R106" i="27"/>
  <c r="AL94" i="27"/>
  <c r="W115" i="27"/>
  <c r="P109" i="27"/>
  <c r="P100" i="27"/>
  <c r="P91" i="27"/>
  <c r="W108" i="27"/>
  <c r="R101" i="27"/>
  <c r="T108" i="27"/>
  <c r="BC29" i="29"/>
  <c r="P110" i="25"/>
  <c r="Q115" i="25"/>
  <c r="P112" i="25"/>
  <c r="X115" i="25"/>
  <c r="P110" i="27"/>
  <c r="P93" i="27"/>
  <c r="U115" i="27"/>
  <c r="R96" i="27"/>
  <c r="R95" i="27"/>
  <c r="BF49" i="29"/>
  <c r="P96" i="25"/>
  <c r="R115" i="25"/>
  <c r="U115" i="25"/>
  <c r="N72" i="25"/>
  <c r="N66" i="25"/>
  <c r="O57" i="25"/>
  <c r="N60" i="25"/>
  <c r="AI20" i="25"/>
  <c r="L64" i="29"/>
  <c r="L50" i="29"/>
  <c r="N87" i="25"/>
  <c r="AX78" i="29"/>
  <c r="AV95" i="25"/>
  <c r="AN115" i="25"/>
  <c r="AG20" i="25"/>
  <c r="AG23" i="25"/>
  <c r="U50" i="29"/>
  <c r="L60" i="29"/>
  <c r="L53" i="29"/>
  <c r="L70" i="29"/>
  <c r="L83" i="29"/>
  <c r="L71" i="29"/>
  <c r="L76" i="29"/>
  <c r="S57" i="25"/>
  <c r="N74" i="25"/>
  <c r="N61" i="25"/>
  <c r="Y57" i="25"/>
  <c r="N73" i="25"/>
  <c r="AR81" i="25"/>
  <c r="AR78" i="25"/>
  <c r="R78" i="29"/>
  <c r="R87" i="29"/>
  <c r="R84" i="29"/>
  <c r="AL20" i="29"/>
  <c r="BH48" i="29" s="1"/>
  <c r="N62" i="25"/>
  <c r="N58" i="25"/>
  <c r="Q50" i="29"/>
  <c r="L61" i="29"/>
  <c r="U57" i="25"/>
  <c r="N64" i="25"/>
  <c r="AV109" i="25"/>
  <c r="AV99" i="25"/>
  <c r="AM21" i="25"/>
  <c r="L56" i="29"/>
  <c r="L52" i="29"/>
  <c r="T50" i="29"/>
  <c r="L68" i="29"/>
  <c r="L82" i="29"/>
  <c r="L51" i="29"/>
  <c r="L81" i="29"/>
  <c r="N84" i="25"/>
  <c r="N78" i="25"/>
  <c r="T57" i="25"/>
  <c r="N83" i="25"/>
  <c r="P57" i="25"/>
  <c r="AR82" i="25"/>
  <c r="AO78" i="25"/>
  <c r="AR84" i="25"/>
  <c r="W71" i="29"/>
  <c r="R74" i="29"/>
  <c r="R75" i="29"/>
  <c r="AG20" i="29"/>
  <c r="N65" i="25"/>
  <c r="N81" i="25"/>
  <c r="P50" i="29"/>
  <c r="N59" i="25"/>
  <c r="AV57" i="29"/>
  <c r="AV94" i="25"/>
  <c r="AV113" i="25"/>
  <c r="AK21" i="25"/>
  <c r="L72" i="29"/>
  <c r="L86" i="29"/>
  <c r="L54" i="29"/>
  <c r="X50" i="29"/>
  <c r="M50" i="29"/>
  <c r="L62" i="29"/>
  <c r="L80" i="29"/>
  <c r="N86" i="25"/>
  <c r="Q57" i="25"/>
  <c r="X57" i="25"/>
  <c r="N63" i="25"/>
  <c r="N79" i="25"/>
  <c r="AR87" i="25"/>
  <c r="AR79" i="25"/>
  <c r="R73" i="29"/>
  <c r="U71" i="29"/>
  <c r="R79" i="29"/>
  <c r="AL21" i="29"/>
  <c r="AN115" i="29"/>
  <c r="N57" i="25"/>
  <c r="AL20" i="25"/>
  <c r="BH58" i="25" s="1"/>
  <c r="N85" i="25"/>
  <c r="L75" i="29"/>
  <c r="R57" i="25"/>
  <c r="AT99" i="29"/>
  <c r="AX75" i="29"/>
  <c r="AU115" i="25"/>
  <c r="AV93" i="25"/>
  <c r="L79" i="29"/>
  <c r="R50" i="29"/>
  <c r="L67" i="29"/>
  <c r="L59" i="29"/>
  <c r="L63" i="29"/>
  <c r="N75" i="25"/>
  <c r="N76" i="25"/>
  <c r="V57" i="25"/>
  <c r="N80" i="25"/>
  <c r="N82" i="25"/>
  <c r="AR80" i="25"/>
  <c r="R86" i="29"/>
  <c r="S71" i="29"/>
  <c r="BB29" i="25"/>
  <c r="AS29" i="25"/>
  <c r="BF65" i="25"/>
  <c r="AW29" i="25"/>
  <c r="BF53" i="25"/>
  <c r="AM29" i="25"/>
  <c r="BF66" i="25"/>
  <c r="BF62" i="29"/>
  <c r="BF78" i="29"/>
  <c r="AO78" i="27"/>
  <c r="BF79" i="25"/>
  <c r="BF75" i="25"/>
  <c r="BF39" i="25"/>
  <c r="BF71" i="25"/>
  <c r="BF51" i="25"/>
  <c r="BF62" i="25"/>
  <c r="AZ29" i="25"/>
  <c r="BF80" i="25"/>
  <c r="BF48" i="25"/>
  <c r="BF37" i="25"/>
  <c r="BF83" i="25"/>
  <c r="AU29" i="25"/>
  <c r="AN29" i="25"/>
  <c r="AX29" i="25"/>
  <c r="BF50" i="25"/>
  <c r="AQ29" i="25"/>
  <c r="BF86" i="25"/>
  <c r="BE29" i="25"/>
  <c r="BF44" i="25"/>
  <c r="BF43" i="25"/>
  <c r="BF48" i="29"/>
  <c r="BF58" i="29"/>
  <c r="AR86" i="27"/>
  <c r="AV65" i="27"/>
  <c r="BF38" i="25"/>
  <c r="AK29" i="25"/>
  <c r="BF47" i="25"/>
  <c r="BF32" i="25"/>
  <c r="BF34" i="25"/>
  <c r="BF42" i="25"/>
  <c r="BF77" i="25"/>
  <c r="BF78" i="25"/>
  <c r="BF56" i="25"/>
  <c r="BF36" i="25"/>
  <c r="AM94" i="27"/>
  <c r="BF67" i="25"/>
  <c r="AY29" i="25"/>
  <c r="BF76" i="25"/>
  <c r="BF60" i="25"/>
  <c r="BF72" i="25"/>
  <c r="BF87" i="25"/>
  <c r="BF61" i="25"/>
  <c r="BF58" i="25"/>
  <c r="BF45" i="25"/>
  <c r="BF85" i="25"/>
  <c r="AU29" i="29"/>
  <c r="AL78" i="27"/>
  <c r="BF84" i="25"/>
  <c r="BF73" i="25"/>
  <c r="BF74" i="25"/>
  <c r="BF59" i="25"/>
  <c r="BF57" i="25"/>
  <c r="AR29" i="25"/>
  <c r="BF35" i="25"/>
  <c r="BF31" i="25"/>
  <c r="BF49" i="25"/>
  <c r="BF68" i="25"/>
  <c r="BF47" i="29"/>
  <c r="BF41" i="25"/>
  <c r="BF55" i="25"/>
  <c r="AV29" i="25"/>
  <c r="AO29" i="25"/>
  <c r="BF64" i="25"/>
  <c r="BF69" i="25"/>
  <c r="BF81" i="25"/>
  <c r="AL29" i="25"/>
  <c r="BF82" i="25"/>
  <c r="BF46" i="25"/>
  <c r="BF29" i="25"/>
  <c r="BA29" i="25"/>
  <c r="BF69" i="29"/>
  <c r="AR81" i="27"/>
  <c r="AQ115" i="29"/>
  <c r="AT93" i="29"/>
  <c r="AN85" i="25"/>
  <c r="AZ54" i="27"/>
  <c r="BB51" i="25"/>
  <c r="AR87" i="27"/>
  <c r="AR78" i="27"/>
  <c r="AR84" i="27"/>
  <c r="AP115" i="29"/>
  <c r="AK108" i="29"/>
  <c r="AP87" i="25"/>
  <c r="AT105" i="29"/>
  <c r="AP86" i="25"/>
  <c r="BB48" i="27"/>
  <c r="AQ50" i="27"/>
  <c r="BB67" i="25"/>
  <c r="AR79" i="27"/>
  <c r="AR83" i="27"/>
  <c r="AV91" i="29"/>
  <c r="AR108" i="29"/>
  <c r="AT101" i="29"/>
  <c r="AT108" i="29"/>
  <c r="BB47" i="27"/>
  <c r="BB54" i="25"/>
  <c r="BB78" i="25"/>
  <c r="AN78" i="27"/>
  <c r="AR80" i="27"/>
  <c r="AT106" i="29"/>
  <c r="AP108" i="29"/>
  <c r="AS108" i="29"/>
  <c r="AT115" i="27"/>
  <c r="AZ43" i="27"/>
  <c r="BB63" i="25"/>
  <c r="BB70" i="25"/>
  <c r="AR82" i="27"/>
  <c r="AR85" i="27"/>
  <c r="AT107" i="29"/>
  <c r="AT97" i="29"/>
  <c r="AV101" i="27"/>
  <c r="BB71" i="25"/>
  <c r="AL43" i="25"/>
  <c r="AQ78" i="27"/>
  <c r="AX58" i="27"/>
  <c r="BF29" i="29"/>
  <c r="BF61" i="29"/>
  <c r="AV78" i="27"/>
  <c r="BA29" i="29"/>
  <c r="AX81" i="27"/>
  <c r="AP92" i="27"/>
  <c r="BB29" i="29"/>
  <c r="BF41" i="29"/>
  <c r="BF85" i="29"/>
  <c r="BF84" i="29"/>
  <c r="AO29" i="29"/>
  <c r="AV87" i="27"/>
  <c r="J52" i="24"/>
  <c r="AP29" i="29"/>
  <c r="BF74" i="29"/>
  <c r="BF37" i="29"/>
  <c r="BF71" i="29"/>
  <c r="AR29" i="29"/>
  <c r="AV85" i="27"/>
  <c r="AK64" i="27"/>
  <c r="AN94" i="27"/>
  <c r="AL29" i="29"/>
  <c r="BF32" i="29"/>
  <c r="AW29" i="29"/>
  <c r="BF77" i="29"/>
  <c r="BF72" i="29"/>
  <c r="AP64" i="27"/>
  <c r="V30" i="24"/>
  <c r="AC167" i="25" s="1"/>
  <c r="AB184" i="25" s="1"/>
  <c r="AD182" i="25" s="1"/>
  <c r="N47" i="24"/>
  <c r="AX69" i="27"/>
  <c r="AP93" i="27"/>
  <c r="BF66" i="29"/>
  <c r="BF79" i="29"/>
  <c r="BF46" i="29"/>
  <c r="BF45" i="29"/>
  <c r="AM29" i="29"/>
  <c r="BF34" i="29"/>
  <c r="BF43" i="27"/>
  <c r="AT71" i="25"/>
  <c r="AV72" i="27"/>
  <c r="BF30" i="29"/>
  <c r="AN29" i="29"/>
  <c r="BF39" i="29"/>
  <c r="BF87" i="29"/>
  <c r="BF70" i="29"/>
  <c r="BF67" i="29"/>
  <c r="BF83" i="27"/>
  <c r="AV71" i="27"/>
  <c r="AR64" i="27"/>
  <c r="AQ115" i="27"/>
  <c r="BD43" i="29"/>
  <c r="BD36" i="29"/>
  <c r="BD39" i="27"/>
  <c r="BC36" i="29"/>
  <c r="AV91" i="27"/>
  <c r="BD54" i="27"/>
  <c r="BB36" i="29"/>
  <c r="AQ36" i="29"/>
  <c r="BD55" i="29"/>
  <c r="AQ57" i="29"/>
  <c r="AZ74" i="29"/>
  <c r="AV105" i="27"/>
  <c r="AV99" i="27"/>
  <c r="AV102" i="25"/>
  <c r="AV111" i="25"/>
  <c r="AV105" i="25"/>
  <c r="AL115" i="25"/>
  <c r="AV92" i="27"/>
  <c r="AZ83" i="29"/>
  <c r="AV100" i="27"/>
  <c r="AP115" i="25"/>
  <c r="AT115" i="25"/>
  <c r="AQ115" i="25"/>
  <c r="AV97" i="25"/>
  <c r="AQ71" i="25"/>
  <c r="AG30" i="24"/>
  <c r="AZ61" i="29"/>
  <c r="AV106" i="27"/>
  <c r="AV106" i="25"/>
  <c r="AV114" i="25"/>
  <c r="AR115" i="25"/>
  <c r="AV98" i="25"/>
  <c r="AO115" i="25"/>
  <c r="AV115" i="27"/>
  <c r="AZ60" i="29"/>
  <c r="AV94" i="27"/>
  <c r="AV109" i="27"/>
  <c r="AV112" i="25"/>
  <c r="AV104" i="25"/>
  <c r="AV103" i="25"/>
  <c r="AV92" i="25"/>
  <c r="AV107" i="25"/>
  <c r="AT82" i="25"/>
  <c r="AX87" i="29"/>
  <c r="AP115" i="27"/>
  <c r="AV112" i="27"/>
  <c r="AV115" i="25"/>
  <c r="AV91" i="25"/>
  <c r="AV110" i="25"/>
  <c r="AV96" i="25"/>
  <c r="BD62" i="27"/>
  <c r="BD37" i="27"/>
  <c r="BD81" i="29"/>
  <c r="BD62" i="29"/>
  <c r="BD72" i="29"/>
  <c r="BD77" i="29"/>
  <c r="BD60" i="29"/>
  <c r="BD37" i="29"/>
  <c r="BD83" i="29"/>
  <c r="BD61" i="29"/>
  <c r="AT36" i="29"/>
  <c r="AV98" i="27"/>
  <c r="AV104" i="27"/>
  <c r="AV103" i="27"/>
  <c r="AV93" i="27"/>
  <c r="AK115" i="27"/>
  <c r="BD59" i="27"/>
  <c r="AT36" i="27"/>
  <c r="BD63" i="29"/>
  <c r="BD54" i="29"/>
  <c r="BD65" i="29"/>
  <c r="BD84" i="29"/>
  <c r="BD86" i="29"/>
  <c r="AR36" i="29"/>
  <c r="BD47" i="29"/>
  <c r="BD74" i="29"/>
  <c r="BD51" i="29"/>
  <c r="BB46" i="27"/>
  <c r="AK50" i="27"/>
  <c r="BB77" i="25"/>
  <c r="BB76" i="25"/>
  <c r="BB65" i="25"/>
  <c r="BB84" i="25"/>
  <c r="BD38" i="29"/>
  <c r="AP36" i="29"/>
  <c r="AV111" i="27"/>
  <c r="AV108" i="27"/>
  <c r="AO115" i="27"/>
  <c r="BD72" i="27"/>
  <c r="BD55" i="27"/>
  <c r="BD52" i="29"/>
  <c r="AL36" i="29"/>
  <c r="BD57" i="29"/>
  <c r="BD68" i="29"/>
  <c r="BD69" i="29"/>
  <c r="AO36" i="29"/>
  <c r="BD41" i="29"/>
  <c r="BD82" i="29"/>
  <c r="BD71" i="29"/>
  <c r="BB61" i="27"/>
  <c r="AZ51" i="27"/>
  <c r="AZ62" i="27"/>
  <c r="BB68" i="25"/>
  <c r="BB62" i="25"/>
  <c r="AS43" i="25"/>
  <c r="BB59" i="25"/>
  <c r="AU64" i="25"/>
  <c r="BD81" i="27"/>
  <c r="BD87" i="29"/>
  <c r="AV97" i="27"/>
  <c r="AL115" i="27"/>
  <c r="AS115" i="27"/>
  <c r="AV102" i="27"/>
  <c r="AV113" i="27"/>
  <c r="AM115" i="27"/>
  <c r="BD69" i="27"/>
  <c r="BD73" i="27"/>
  <c r="BD82" i="27"/>
  <c r="BD64" i="29"/>
  <c r="BD56" i="29"/>
  <c r="BD76" i="29"/>
  <c r="BD46" i="29"/>
  <c r="BD75" i="29"/>
  <c r="BD48" i="29"/>
  <c r="AS36" i="29"/>
  <c r="BD66" i="29"/>
  <c r="BD67" i="29"/>
  <c r="AK43" i="27"/>
  <c r="BB77" i="27"/>
  <c r="AZ50" i="27"/>
  <c r="AZ61" i="27"/>
  <c r="AT43" i="25"/>
  <c r="AW43" i="25"/>
  <c r="BB82" i="25"/>
  <c r="BB75" i="25"/>
  <c r="J50" i="24"/>
  <c r="BD42" i="27"/>
  <c r="AV36" i="29"/>
  <c r="AN36" i="29"/>
  <c r="AK36" i="29"/>
  <c r="AR115" i="27"/>
  <c r="AV107" i="27"/>
  <c r="AV96" i="27"/>
  <c r="AV114" i="27"/>
  <c r="BD47" i="27"/>
  <c r="BD67" i="27"/>
  <c r="AL36" i="27"/>
  <c r="AW36" i="29"/>
  <c r="BD59" i="29"/>
  <c r="BD53" i="29"/>
  <c r="BA36" i="29"/>
  <c r="AZ36" i="29"/>
  <c r="AU36" i="29"/>
  <c r="BD70" i="29"/>
  <c r="BD45" i="29"/>
  <c r="AW43" i="27"/>
  <c r="BB66" i="27"/>
  <c r="AZ87" i="27"/>
  <c r="AZ78" i="27"/>
  <c r="AQ43" i="25"/>
  <c r="BA43" i="25"/>
  <c r="BB43" i="25"/>
  <c r="BD85" i="29"/>
  <c r="AY36" i="29"/>
  <c r="BD49" i="29"/>
  <c r="AU115" i="27"/>
  <c r="AN115" i="27"/>
  <c r="AV95" i="27"/>
  <c r="BD65" i="27"/>
  <c r="BD45" i="27"/>
  <c r="BD79" i="29"/>
  <c r="BD40" i="29"/>
  <c r="AX36" i="29"/>
  <c r="BD50" i="29"/>
  <c r="BD58" i="29"/>
  <c r="AM36" i="29"/>
  <c r="BD44" i="29"/>
  <c r="BD42" i="29"/>
  <c r="BB52" i="27"/>
  <c r="BB62" i="27"/>
  <c r="AP50" i="27"/>
  <c r="BB53" i="25"/>
  <c r="BB57" i="25"/>
  <c r="AM43" i="25"/>
  <c r="BB86" i="25"/>
  <c r="AN71" i="25"/>
  <c r="AT72" i="25"/>
  <c r="AO71" i="25"/>
  <c r="AT73" i="25"/>
  <c r="AR57" i="27"/>
  <c r="AP85" i="25"/>
  <c r="BF64" i="27"/>
  <c r="AT77" i="25"/>
  <c r="AT78" i="25"/>
  <c r="AL71" i="25"/>
  <c r="AT87" i="25"/>
  <c r="AN64" i="27"/>
  <c r="AV66" i="27"/>
  <c r="AS64" i="27"/>
  <c r="AM64" i="27"/>
  <c r="AK115" i="29"/>
  <c r="BF44" i="27"/>
  <c r="AL108" i="29"/>
  <c r="AN108" i="29"/>
  <c r="AO108" i="29"/>
  <c r="AT98" i="29"/>
  <c r="AK85" i="25"/>
  <c r="BC29" i="27"/>
  <c r="AT79" i="25"/>
  <c r="AP71" i="25"/>
  <c r="AT84" i="25"/>
  <c r="AV67" i="27"/>
  <c r="AU64" i="27"/>
  <c r="AV69" i="27"/>
  <c r="AO64" i="27"/>
  <c r="AL64" i="27"/>
  <c r="AV103" i="29"/>
  <c r="AT81" i="25"/>
  <c r="AV77" i="27"/>
  <c r="AT64" i="27"/>
  <c r="AV84" i="27"/>
  <c r="AT104" i="29"/>
  <c r="AR96" i="25"/>
  <c r="BF55" i="27"/>
  <c r="BF47" i="27"/>
  <c r="AM85" i="29"/>
  <c r="AT75" i="25"/>
  <c r="AR71" i="25"/>
  <c r="AM71" i="25"/>
  <c r="AV76" i="27"/>
  <c r="AV64" i="27"/>
  <c r="AV86" i="27"/>
  <c r="AV81" i="27"/>
  <c r="AV100" i="29"/>
  <c r="AV93" i="29"/>
  <c r="J46" i="24"/>
  <c r="AT80" i="25"/>
  <c r="AV82" i="27"/>
  <c r="AT96" i="29"/>
  <c r="AT100" i="29"/>
  <c r="AT102" i="29"/>
  <c r="AT91" i="29"/>
  <c r="AQ108" i="29"/>
  <c r="AT94" i="29"/>
  <c r="AO85" i="25"/>
  <c r="AR100" i="25"/>
  <c r="BF68" i="27"/>
  <c r="BF74" i="27"/>
  <c r="AR96" i="29"/>
  <c r="AS71" i="25"/>
  <c r="AT86" i="25"/>
  <c r="AK71" i="25"/>
  <c r="AQ64" i="27"/>
  <c r="AV70" i="27"/>
  <c r="AV83" i="27"/>
  <c r="AV74" i="27"/>
  <c r="AV99" i="29"/>
  <c r="AV108" i="29"/>
  <c r="AT74" i="25"/>
  <c r="AV68" i="27"/>
  <c r="AM108" i="29"/>
  <c r="AL85" i="25"/>
  <c r="AT92" i="29"/>
  <c r="AT103" i="29"/>
  <c r="AL57" i="27"/>
  <c r="BF84" i="27"/>
  <c r="AR98" i="29"/>
  <c r="AT85" i="25"/>
  <c r="AT76" i="25"/>
  <c r="AV79" i="27"/>
  <c r="AV73" i="27"/>
  <c r="AV75" i="27"/>
  <c r="AV113" i="29"/>
  <c r="AL115" i="29"/>
  <c r="N54" i="24"/>
  <c r="AZ79" i="29"/>
  <c r="AT50" i="29"/>
  <c r="AZ85" i="29"/>
  <c r="AZ54" i="29"/>
  <c r="AX80" i="29"/>
  <c r="AX84" i="29"/>
  <c r="AX74" i="29"/>
  <c r="AZ56" i="29"/>
  <c r="AX50" i="29"/>
  <c r="AZ67" i="29"/>
  <c r="AO50" i="29"/>
  <c r="BD56" i="27"/>
  <c r="AK108" i="25"/>
  <c r="AO94" i="27"/>
  <c r="AX77" i="29"/>
  <c r="AX82" i="29"/>
  <c r="AU57" i="29"/>
  <c r="AX85" i="29"/>
  <c r="AS57" i="29"/>
  <c r="AX61" i="29"/>
  <c r="AZ53" i="29"/>
  <c r="AU50" i="29"/>
  <c r="AZ63" i="29"/>
  <c r="AZ57" i="29"/>
  <c r="AZ64" i="29"/>
  <c r="AK50" i="29"/>
  <c r="AZ80" i="29"/>
  <c r="AX36" i="27"/>
  <c r="AU36" i="27"/>
  <c r="BD64" i="27"/>
  <c r="AQ36" i="27"/>
  <c r="BD75" i="27"/>
  <c r="BD83" i="27"/>
  <c r="AR36" i="27"/>
  <c r="BD84" i="27"/>
  <c r="AY36" i="27"/>
  <c r="BB70" i="27"/>
  <c r="BB72" i="27"/>
  <c r="BB45" i="27"/>
  <c r="AU50" i="27"/>
  <c r="AZ76" i="27"/>
  <c r="AZ67" i="27"/>
  <c r="BB44" i="25"/>
  <c r="BB72" i="25"/>
  <c r="BB74" i="25"/>
  <c r="AK43" i="25"/>
  <c r="BB61" i="25"/>
  <c r="BB60" i="25"/>
  <c r="BB46" i="25"/>
  <c r="BF31" i="29"/>
  <c r="BF81" i="29"/>
  <c r="AV29" i="29"/>
  <c r="BF76" i="29"/>
  <c r="BF55" i="29"/>
  <c r="BF64" i="29"/>
  <c r="BE29" i="29"/>
  <c r="BF36" i="29"/>
  <c r="BF59" i="29"/>
  <c r="AS29" i="29"/>
  <c r="AQ108" i="25"/>
  <c r="BB52" i="29"/>
  <c r="N49" i="24"/>
  <c r="AX58" i="29"/>
  <c r="AX67" i="29"/>
  <c r="AN50" i="29"/>
  <c r="AZ77" i="29"/>
  <c r="BD79" i="27"/>
  <c r="AN36" i="27"/>
  <c r="AN57" i="29"/>
  <c r="AX68" i="29"/>
  <c r="AX81" i="29"/>
  <c r="AW57" i="29"/>
  <c r="AQ50" i="29"/>
  <c r="AS36" i="27"/>
  <c r="BD74" i="27"/>
  <c r="AL85" i="27"/>
  <c r="BD30" i="24"/>
  <c r="AJ30" i="29"/>
  <c r="AX70" i="29"/>
  <c r="AO57" i="29"/>
  <c r="BD57" i="27"/>
  <c r="AL50" i="29"/>
  <c r="AZ84" i="29"/>
  <c r="BD43" i="27"/>
  <c r="AR57" i="29"/>
  <c r="AT57" i="29"/>
  <c r="AX71" i="29"/>
  <c r="AX72" i="29"/>
  <c r="AX86" i="29"/>
  <c r="AX62" i="29"/>
  <c r="AM50" i="29"/>
  <c r="AZ81" i="29"/>
  <c r="AZ86" i="29"/>
  <c r="AZ50" i="29"/>
  <c r="AS50" i="29"/>
  <c r="AV50" i="29"/>
  <c r="AZ36" i="27"/>
  <c r="BD77" i="27"/>
  <c r="AW36" i="27"/>
  <c r="AP36" i="27"/>
  <c r="BD85" i="27"/>
  <c r="BD36" i="27"/>
  <c r="BD78" i="27"/>
  <c r="BD76" i="27"/>
  <c r="BD49" i="27"/>
  <c r="BB64" i="27"/>
  <c r="AP43" i="27"/>
  <c r="AX43" i="27"/>
  <c r="AZ80" i="27"/>
  <c r="AZ68" i="27"/>
  <c r="BB83" i="25"/>
  <c r="BB64" i="25"/>
  <c r="AU43" i="25"/>
  <c r="BB48" i="25"/>
  <c r="BB66" i="25"/>
  <c r="BB50" i="25"/>
  <c r="BB80" i="25"/>
  <c r="BB73" i="25"/>
  <c r="AK85" i="27"/>
  <c r="AQ29" i="29"/>
  <c r="BF51" i="29"/>
  <c r="BF57" i="29"/>
  <c r="BF60" i="29"/>
  <c r="BF80" i="29"/>
  <c r="AZ29" i="29"/>
  <c r="AK29" i="29"/>
  <c r="AT29" i="29"/>
  <c r="BF82" i="29"/>
  <c r="BF43" i="29"/>
  <c r="J53" i="24"/>
  <c r="AU33" i="24"/>
  <c r="AM89" i="27"/>
  <c r="AZ70" i="29"/>
  <c r="AL57" i="29"/>
  <c r="AZ55" i="29"/>
  <c r="BB36" i="27"/>
  <c r="BD48" i="27"/>
  <c r="BD71" i="27"/>
  <c r="BD61" i="27"/>
  <c r="AZ58" i="29"/>
  <c r="AZ62" i="29"/>
  <c r="BD87" i="27"/>
  <c r="BD58" i="27"/>
  <c r="AK36" i="27"/>
  <c r="BD51" i="27"/>
  <c r="AP94" i="27"/>
  <c r="AP91" i="27"/>
  <c r="AX73" i="29"/>
  <c r="AX63" i="29"/>
  <c r="AX65" i="29"/>
  <c r="AX57" i="29"/>
  <c r="AX69" i="29"/>
  <c r="AZ78" i="29"/>
  <c r="AZ73" i="29"/>
  <c r="AZ66" i="29"/>
  <c r="AP50" i="29"/>
  <c r="AZ68" i="29"/>
  <c r="AZ69" i="29"/>
  <c r="BD46" i="27"/>
  <c r="BD52" i="27"/>
  <c r="BD40" i="27"/>
  <c r="BD38" i="27"/>
  <c r="BD63" i="27"/>
  <c r="BD80" i="27"/>
  <c r="BD60" i="27"/>
  <c r="BD86" i="27"/>
  <c r="BB80" i="27"/>
  <c r="BB55" i="27"/>
  <c r="BB74" i="27"/>
  <c r="AZ82" i="27"/>
  <c r="AZ75" i="27"/>
  <c r="AP43" i="25"/>
  <c r="BB49" i="25"/>
  <c r="AX43" i="25"/>
  <c r="BB69" i="25"/>
  <c r="BB45" i="25"/>
  <c r="AZ43" i="25"/>
  <c r="BB85" i="25"/>
  <c r="AR43" i="25"/>
  <c r="AP85" i="27"/>
  <c r="BF86" i="29"/>
  <c r="AY29" i="29"/>
  <c r="BF56" i="29"/>
  <c r="BF63" i="29"/>
  <c r="BF33" i="29"/>
  <c r="BF44" i="29"/>
  <c r="BF65" i="29"/>
  <c r="AX29" i="29"/>
  <c r="BF73" i="29"/>
  <c r="BF42" i="29"/>
  <c r="AM89" i="25"/>
  <c r="Y31" i="24"/>
  <c r="Z31" i="24"/>
  <c r="Y29" i="24"/>
  <c r="Y30" i="24" s="1"/>
  <c r="Z29" i="24"/>
  <c r="AM57" i="29"/>
  <c r="AX64" i="29"/>
  <c r="AZ51" i="29"/>
  <c r="AK57" i="29"/>
  <c r="AZ72" i="29"/>
  <c r="BD70" i="27"/>
  <c r="AP57" i="29"/>
  <c r="AX79" i="29"/>
  <c r="AZ65" i="29"/>
  <c r="AV36" i="27"/>
  <c r="AM36" i="27"/>
  <c r="AX83" i="29"/>
  <c r="AX76" i="29"/>
  <c r="AX66" i="29"/>
  <c r="AX59" i="29"/>
  <c r="AR50" i="29"/>
  <c r="AW50" i="29"/>
  <c r="AZ71" i="29"/>
  <c r="AZ52" i="29"/>
  <c r="AZ76" i="29"/>
  <c r="AZ82" i="29"/>
  <c r="BD53" i="27"/>
  <c r="AO36" i="27"/>
  <c r="BD41" i="27"/>
  <c r="BA36" i="27"/>
  <c r="BD66" i="27"/>
  <c r="BD44" i="27"/>
  <c r="BD50" i="27"/>
  <c r="BC36" i="27"/>
  <c r="BB79" i="27"/>
  <c r="BB51" i="27"/>
  <c r="AV43" i="27"/>
  <c r="AZ58" i="27"/>
  <c r="AZ84" i="27"/>
  <c r="AZ59" i="27"/>
  <c r="BB81" i="25"/>
  <c r="BB79" i="25"/>
  <c r="BB56" i="25"/>
  <c r="BB52" i="25"/>
  <c r="BB58" i="25"/>
  <c r="BB55" i="25"/>
  <c r="BB47" i="25"/>
  <c r="AP87" i="27"/>
  <c r="BF83" i="29"/>
  <c r="BF50" i="29"/>
  <c r="BF52" i="29"/>
  <c r="BD29" i="29"/>
  <c r="BF68" i="29"/>
  <c r="BF38" i="29"/>
  <c r="BF75" i="29"/>
  <c r="BF53" i="29"/>
  <c r="BF54" i="29"/>
  <c r="AS115" i="29"/>
  <c r="AV95" i="29"/>
  <c r="AV106" i="29"/>
  <c r="AV105" i="29"/>
  <c r="AV98" i="29"/>
  <c r="AV101" i="29"/>
  <c r="AV112" i="29"/>
  <c r="AV92" i="29"/>
  <c r="AV107" i="29"/>
  <c r="AV109" i="29"/>
  <c r="AV102" i="29"/>
  <c r="AV111" i="29"/>
  <c r="AM115" i="29"/>
  <c r="AV104" i="29"/>
  <c r="AV115" i="29"/>
  <c r="AV110" i="29"/>
  <c r="AV114" i="29"/>
  <c r="AV97" i="29"/>
  <c r="AT115" i="29"/>
  <c r="AV96" i="29"/>
  <c r="AR115" i="29"/>
  <c r="AV94" i="29"/>
  <c r="AU115" i="29"/>
  <c r="AP92" i="29"/>
  <c r="AV80" i="25"/>
  <c r="AO64" i="25"/>
  <c r="AV73" i="25"/>
  <c r="AR108" i="25"/>
  <c r="AN85" i="27"/>
  <c r="AT104" i="25"/>
  <c r="AP86" i="27"/>
  <c r="AT103" i="25"/>
  <c r="AM85" i="27"/>
  <c r="AT108" i="25"/>
  <c r="AT92" i="25"/>
  <c r="AT95" i="25"/>
  <c r="AU43" i="29"/>
  <c r="AT106" i="25"/>
  <c r="BB73" i="29"/>
  <c r="AX74" i="27"/>
  <c r="AK101" i="25"/>
  <c r="AL101" i="25"/>
  <c r="AT29" i="27"/>
  <c r="BF78" i="27"/>
  <c r="BF81" i="27"/>
  <c r="BF79" i="27"/>
  <c r="BF82" i="27"/>
  <c r="AU29" i="27"/>
  <c r="BF37" i="27"/>
  <c r="AM29" i="27"/>
  <c r="AR29" i="27"/>
  <c r="AO29" i="27"/>
  <c r="AP86" i="29"/>
  <c r="AR91" i="29"/>
  <c r="AR92" i="29"/>
  <c r="AS43" i="29"/>
  <c r="AX86" i="27"/>
  <c r="AX83" i="27"/>
  <c r="AX61" i="27"/>
  <c r="AX87" i="27"/>
  <c r="AW57" i="27"/>
  <c r="AX65" i="27"/>
  <c r="AU57" i="27"/>
  <c r="AX57" i="27"/>
  <c r="AK57" i="27"/>
  <c r="AX85" i="27"/>
  <c r="AX66" i="27"/>
  <c r="AR95" i="25"/>
  <c r="AR91" i="25"/>
  <c r="BF73" i="27"/>
  <c r="BF50" i="27"/>
  <c r="BF41" i="27"/>
  <c r="BF66" i="27"/>
  <c r="BF80" i="27"/>
  <c r="BF59" i="27"/>
  <c r="BF63" i="27"/>
  <c r="BF52" i="27"/>
  <c r="BF77" i="27"/>
  <c r="BF34" i="27"/>
  <c r="AP87" i="29"/>
  <c r="AR93" i="29"/>
  <c r="AR95" i="29"/>
  <c r="AN101" i="29"/>
  <c r="AT43" i="29"/>
  <c r="AX71" i="27"/>
  <c r="AX60" i="27"/>
  <c r="AP57" i="27"/>
  <c r="AS57" i="27"/>
  <c r="AR101" i="25"/>
  <c r="AR97" i="25"/>
  <c r="AR99" i="25"/>
  <c r="BF51" i="27"/>
  <c r="BF54" i="27"/>
  <c r="AS29" i="27"/>
  <c r="BF53" i="27"/>
  <c r="AQ29" i="27"/>
  <c r="AN29" i="27"/>
  <c r="BF33" i="27"/>
  <c r="BB29" i="27"/>
  <c r="BF61" i="27"/>
  <c r="BF42" i="27"/>
  <c r="AK85" i="29"/>
  <c r="AK101" i="29"/>
  <c r="AR97" i="29"/>
  <c r="AL101" i="29"/>
  <c r="AN57" i="27"/>
  <c r="AQ57" i="27"/>
  <c r="AX77" i="27"/>
  <c r="AX76" i="27"/>
  <c r="AX62" i="27"/>
  <c r="AX59" i="27"/>
  <c r="AX84" i="27"/>
  <c r="AX63" i="27"/>
  <c r="AM57" i="27"/>
  <c r="AR94" i="25"/>
  <c r="AR98" i="25"/>
  <c r="AP101" i="25"/>
  <c r="AP29" i="27"/>
  <c r="BF70" i="27"/>
  <c r="BF46" i="27"/>
  <c r="BF32" i="27"/>
  <c r="BF69" i="27"/>
  <c r="BF35" i="27"/>
  <c r="AL29" i="27"/>
  <c r="BF71" i="27"/>
  <c r="BF40" i="27"/>
  <c r="AK29" i="27"/>
  <c r="AL85" i="29"/>
  <c r="AR101" i="29"/>
  <c r="AR100" i="29"/>
  <c r="BB48" i="29"/>
  <c r="AX78" i="27"/>
  <c r="AX67" i="27"/>
  <c r="AX64" i="27"/>
  <c r="AX73" i="27"/>
  <c r="AX82" i="27"/>
  <c r="AX70" i="27"/>
  <c r="AX80" i="27"/>
  <c r="AV57" i="27"/>
  <c r="AO101" i="25"/>
  <c r="AR93" i="25"/>
  <c r="BF72" i="27"/>
  <c r="BF56" i="27"/>
  <c r="BF85" i="27"/>
  <c r="BF36" i="27"/>
  <c r="BF38" i="27"/>
  <c r="BF39" i="27"/>
  <c r="BF58" i="27"/>
  <c r="BF76" i="27"/>
  <c r="BF87" i="27"/>
  <c r="BF29" i="27"/>
  <c r="AN85" i="29"/>
  <c r="AM101" i="29"/>
  <c r="AP101" i="29"/>
  <c r="BB82" i="29"/>
  <c r="AT57" i="27"/>
  <c r="AR92" i="25"/>
  <c r="AN101" i="25"/>
  <c r="BF45" i="27"/>
  <c r="BF86" i="27"/>
  <c r="BF62" i="27"/>
  <c r="AW29" i="27"/>
  <c r="BF30" i="27"/>
  <c r="BD29" i="27"/>
  <c r="AY29" i="27"/>
  <c r="AZ29" i="27"/>
  <c r="BF65" i="27"/>
  <c r="BE29" i="27"/>
  <c r="AO85" i="29"/>
  <c r="AR94" i="29"/>
  <c r="AO101" i="29"/>
  <c r="AX72" i="27"/>
  <c r="AX79" i="27"/>
  <c r="AX68" i="27"/>
  <c r="AX75" i="27"/>
  <c r="AM101" i="25"/>
  <c r="AX29" i="27"/>
  <c r="BF31" i="27"/>
  <c r="BF67" i="27"/>
  <c r="AV29" i="27"/>
  <c r="BF75" i="27"/>
  <c r="BF48" i="27"/>
  <c r="BF60" i="27"/>
  <c r="BF57" i="27"/>
  <c r="BF49" i="27"/>
  <c r="AQ101" i="29"/>
  <c r="BB86" i="29"/>
  <c r="AP43" i="29"/>
  <c r="BB65" i="29"/>
  <c r="BB58" i="29"/>
  <c r="BB71" i="29"/>
  <c r="AX43" i="29"/>
  <c r="BB66" i="29"/>
  <c r="AY43" i="29"/>
  <c r="BB83" i="29"/>
  <c r="BB54" i="29"/>
  <c r="BB59" i="29"/>
  <c r="AQ43" i="27"/>
  <c r="BB50" i="27"/>
  <c r="AS43" i="27"/>
  <c r="BB59" i="27"/>
  <c r="BB86" i="27"/>
  <c r="BB56" i="27"/>
  <c r="BB73" i="27"/>
  <c r="AZ63" i="27"/>
  <c r="AZ72" i="27"/>
  <c r="AT50" i="27"/>
  <c r="AR50" i="27"/>
  <c r="AZ57" i="27"/>
  <c r="AZ52" i="27"/>
  <c r="BB79" i="29"/>
  <c r="BB56" i="29"/>
  <c r="BB57" i="29"/>
  <c r="AQ43" i="29"/>
  <c r="BB64" i="29"/>
  <c r="BB67" i="29"/>
  <c r="BB81" i="29"/>
  <c r="BB85" i="29"/>
  <c r="BB83" i="27"/>
  <c r="BB60" i="27"/>
  <c r="AR43" i="27"/>
  <c r="BB67" i="27"/>
  <c r="BB71" i="27"/>
  <c r="BB44" i="27"/>
  <c r="BB58" i="27"/>
  <c r="AV50" i="27"/>
  <c r="AZ60" i="27"/>
  <c r="AZ53" i="27"/>
  <c r="AZ65" i="27"/>
  <c r="AW50" i="27"/>
  <c r="AM50" i="27"/>
  <c r="AV43" i="29"/>
  <c r="BB44" i="29"/>
  <c r="BB63" i="29"/>
  <c r="BB68" i="29"/>
  <c r="AM43" i="29"/>
  <c r="BB45" i="29"/>
  <c r="BA43" i="29"/>
  <c r="BB77" i="29"/>
  <c r="AR43" i="29"/>
  <c r="BB61" i="29"/>
  <c r="BB76" i="27"/>
  <c r="BB53" i="27"/>
  <c r="BB49" i="27"/>
  <c r="BA43" i="27"/>
  <c r="BB84" i="27"/>
  <c r="BB54" i="27"/>
  <c r="AN43" i="27"/>
  <c r="AL43" i="27"/>
  <c r="AZ71" i="27"/>
  <c r="AZ64" i="27"/>
  <c r="AN50" i="27"/>
  <c r="AO50" i="27"/>
  <c r="AZ85" i="27"/>
  <c r="AZ79" i="27"/>
  <c r="BB80" i="29"/>
  <c r="BB49" i="29"/>
  <c r="BB60" i="29"/>
  <c r="BB46" i="29"/>
  <c r="BB62" i="29"/>
  <c r="BB47" i="29"/>
  <c r="BB87" i="29"/>
  <c r="BB74" i="29"/>
  <c r="AN43" i="29"/>
  <c r="BB85" i="27"/>
  <c r="BB87" i="27"/>
  <c r="BB81" i="27"/>
  <c r="BB69" i="27"/>
  <c r="AO43" i="27"/>
  <c r="AY43" i="27"/>
  <c r="BB75" i="27"/>
  <c r="AT43" i="27"/>
  <c r="AS50" i="27"/>
  <c r="AZ66" i="27"/>
  <c r="AZ86" i="27"/>
  <c r="AZ56" i="27"/>
  <c r="AZ55" i="27"/>
  <c r="AZ81" i="27"/>
  <c r="AL50" i="27"/>
  <c r="AW43" i="29"/>
  <c r="BB72" i="29"/>
  <c r="BB78" i="29"/>
  <c r="BB75" i="29"/>
  <c r="BB51" i="29"/>
  <c r="AK43" i="29"/>
  <c r="BB69" i="29"/>
  <c r="AZ43" i="29"/>
  <c r="BB84" i="29"/>
  <c r="BB78" i="27"/>
  <c r="BB68" i="27"/>
  <c r="BB82" i="27"/>
  <c r="AU43" i="27"/>
  <c r="AM43" i="27"/>
  <c r="BB65" i="27"/>
  <c r="BB57" i="27"/>
  <c r="AZ70" i="27"/>
  <c r="AZ69" i="27"/>
  <c r="AY50" i="27"/>
  <c r="AZ74" i="27"/>
  <c r="AX50" i="27"/>
  <c r="AZ83" i="27"/>
  <c r="BB55" i="29"/>
  <c r="BB50" i="29"/>
  <c r="BB76" i="29"/>
  <c r="AL43" i="29"/>
  <c r="BB70" i="29"/>
  <c r="BB53" i="29"/>
  <c r="BB43" i="29"/>
  <c r="AV84" i="25"/>
  <c r="AP94" i="29"/>
  <c r="AN64" i="25"/>
  <c r="AP93" i="29"/>
  <c r="AN94" i="29"/>
  <c r="AO108" i="25"/>
  <c r="AS108" i="25"/>
  <c r="AM108" i="25"/>
  <c r="AV66" i="25"/>
  <c r="AV87" i="25"/>
  <c r="AQ64" i="25"/>
  <c r="AR64" i="25"/>
  <c r="AO94" i="29"/>
  <c r="AN108" i="25"/>
  <c r="AT91" i="25"/>
  <c r="AT100" i="25"/>
  <c r="AT99" i="25"/>
  <c r="AS64" i="25"/>
  <c r="AV64" i="25"/>
  <c r="AV68" i="25"/>
  <c r="AV79" i="25"/>
  <c r="AV69" i="25"/>
  <c r="AP91" i="29"/>
  <c r="AM64" i="25"/>
  <c r="AL64" i="25"/>
  <c r="AK94" i="29"/>
  <c r="AT96" i="25"/>
  <c r="AT93" i="25"/>
  <c r="AT98" i="25"/>
  <c r="AT107" i="25"/>
  <c r="AV78" i="25"/>
  <c r="AV67" i="25"/>
  <c r="AV71" i="25"/>
  <c r="AV70" i="25"/>
  <c r="AV85" i="25"/>
  <c r="AK64" i="25"/>
  <c r="AM94" i="29"/>
  <c r="AL108" i="25"/>
  <c r="AT101" i="25"/>
  <c r="AT105" i="25"/>
  <c r="AT94" i="25"/>
  <c r="AV65" i="25"/>
  <c r="AV76" i="25"/>
  <c r="AV75" i="25"/>
  <c r="AV74" i="25"/>
  <c r="AV77" i="25"/>
  <c r="AV83" i="25"/>
  <c r="AP64" i="25"/>
  <c r="AV86" i="25"/>
  <c r="AP108" i="25"/>
  <c r="AT102" i="25"/>
  <c r="AV81" i="25"/>
  <c r="AT64" i="25"/>
  <c r="AV82" i="25"/>
  <c r="R208" i="22"/>
  <c r="R211" i="22"/>
  <c r="R210" i="22"/>
  <c r="R209" i="22"/>
  <c r="J211" i="22"/>
  <c r="Q201" i="22"/>
  <c r="H200" i="22"/>
  <c r="H209" i="22"/>
  <c r="H211" i="22"/>
  <c r="H208" i="22"/>
  <c r="H210" i="22"/>
  <c r="E206" i="22"/>
  <c r="D40" i="29"/>
  <c r="D73" i="29"/>
  <c r="D23" i="29"/>
  <c r="X22" i="29"/>
  <c r="D82" i="29"/>
  <c r="N22" i="29"/>
  <c r="D80" i="29"/>
  <c r="D45" i="29"/>
  <c r="D39" i="29"/>
  <c r="D65" i="29"/>
  <c r="D61" i="29"/>
  <c r="D71" i="29"/>
  <c r="D35" i="29"/>
  <c r="R22" i="29"/>
  <c r="D25" i="29"/>
  <c r="I22" i="29"/>
  <c r="D52" i="29"/>
  <c r="D83" i="29"/>
  <c r="D56" i="29"/>
  <c r="D66" i="29"/>
  <c r="D84" i="29"/>
  <c r="D75" i="29"/>
  <c r="D33" i="29"/>
  <c r="T22" i="29"/>
  <c r="G22" i="29"/>
  <c r="D32" i="29"/>
  <c r="D31" i="29"/>
  <c r="F22" i="29"/>
  <c r="D37" i="29"/>
  <c r="D63" i="29"/>
  <c r="W22" i="29"/>
  <c r="E22" i="29"/>
  <c r="J22" i="29"/>
  <c r="Y22" i="29"/>
  <c r="D38" i="29"/>
  <c r="D24" i="29"/>
  <c r="D72" i="29"/>
  <c r="D78" i="29"/>
  <c r="D42" i="29"/>
  <c r="D60" i="29"/>
  <c r="D29" i="29"/>
  <c r="D55" i="29"/>
  <c r="D41" i="29"/>
  <c r="D86" i="29"/>
  <c r="D67" i="29"/>
  <c r="L22" i="29"/>
  <c r="D64" i="29"/>
  <c r="P22" i="29"/>
  <c r="D68" i="29"/>
  <c r="D47" i="29"/>
  <c r="U22" i="29"/>
  <c r="D51" i="29"/>
  <c r="D53" i="29"/>
  <c r="D28" i="29"/>
  <c r="D74" i="29"/>
  <c r="D54" i="29"/>
  <c r="Q22" i="29"/>
  <c r="D30" i="29"/>
  <c r="H22" i="29"/>
  <c r="D87" i="29"/>
  <c r="D77" i="29"/>
  <c r="S22" i="29"/>
  <c r="M22" i="29"/>
  <c r="K22" i="29"/>
  <c r="D57" i="29"/>
  <c r="D50" i="29"/>
  <c r="D44" i="29"/>
  <c r="D79" i="29"/>
  <c r="D43" i="29"/>
  <c r="D81" i="29"/>
  <c r="D70" i="29"/>
  <c r="D34" i="29"/>
  <c r="D59" i="29"/>
  <c r="D36" i="29"/>
  <c r="V22" i="29"/>
  <c r="D85" i="29"/>
  <c r="D48" i="29"/>
  <c r="D62" i="29"/>
  <c r="D49" i="29"/>
  <c r="D22" i="29"/>
  <c r="D26" i="29"/>
  <c r="D76" i="29"/>
  <c r="D58" i="29"/>
  <c r="D69" i="29"/>
  <c r="D27" i="29"/>
  <c r="D46" i="29"/>
  <c r="O22" i="29"/>
  <c r="BH27" i="27"/>
  <c r="BH30" i="27"/>
  <c r="BH48" i="27"/>
  <c r="BH35" i="27"/>
  <c r="BH72" i="27"/>
  <c r="AW22" i="27"/>
  <c r="BG22" i="27"/>
  <c r="AT22" i="27"/>
  <c r="BH38" i="27"/>
  <c r="AX22" i="27"/>
  <c r="BH52" i="27"/>
  <c r="BD22" i="27"/>
  <c r="BH59" i="27"/>
  <c r="BH41" i="27"/>
  <c r="AU22" i="27"/>
  <c r="BH71" i="27"/>
  <c r="BH22" i="27"/>
  <c r="BH68" i="27"/>
  <c r="AR22" i="27"/>
  <c r="BH69" i="27"/>
  <c r="BH42" i="27"/>
  <c r="BH79" i="27"/>
  <c r="AK22" i="27"/>
  <c r="BH56" i="27"/>
  <c r="AS22" i="27"/>
  <c r="BH65" i="27"/>
  <c r="BH49" i="27"/>
  <c r="BH85" i="27"/>
  <c r="BH80" i="27"/>
  <c r="BH57" i="27"/>
  <c r="BH29" i="27"/>
  <c r="BH87" i="27"/>
  <c r="BH44" i="27"/>
  <c r="AN22" i="27"/>
  <c r="BH73" i="27"/>
  <c r="BH45" i="27"/>
  <c r="AV22" i="27"/>
  <c r="AO22" i="27"/>
  <c r="BH61" i="27"/>
  <c r="AY22" i="27"/>
  <c r="BC22" i="27"/>
  <c r="BH75" i="27"/>
  <c r="BH37" i="27"/>
  <c r="BH76" i="27"/>
  <c r="BH33" i="27"/>
  <c r="BH47" i="27"/>
  <c r="BH25" i="27"/>
  <c r="BH23" i="27"/>
  <c r="BH58" i="27"/>
  <c r="BH60" i="27"/>
  <c r="BH36" i="27"/>
  <c r="BH70" i="27"/>
  <c r="BH83" i="27"/>
  <c r="BH74" i="27"/>
  <c r="BH66" i="27"/>
  <c r="BH24" i="27"/>
  <c r="BH53" i="27"/>
  <c r="BH51" i="27"/>
  <c r="BH77" i="27"/>
  <c r="AP22" i="27"/>
  <c r="BH67" i="27"/>
  <c r="BH55" i="27"/>
  <c r="BH50" i="27"/>
  <c r="BH63" i="27"/>
  <c r="BH82" i="27"/>
  <c r="BH81" i="27"/>
  <c r="AZ22" i="27"/>
  <c r="BF22" i="27"/>
  <c r="BH84" i="27"/>
  <c r="AQ22" i="27"/>
  <c r="BH64" i="27"/>
  <c r="BE22" i="27"/>
  <c r="BH54" i="27"/>
  <c r="BH31" i="27"/>
  <c r="BB22" i="27"/>
  <c r="BH40" i="27"/>
  <c r="BH26" i="27"/>
  <c r="BH28" i="27"/>
  <c r="BH39" i="27"/>
  <c r="BH34" i="27"/>
  <c r="BA22" i="27"/>
  <c r="BH86" i="27"/>
  <c r="BH43" i="27"/>
  <c r="AL22" i="27"/>
  <c r="BH78" i="27"/>
  <c r="BH46" i="27"/>
  <c r="BH32" i="27"/>
  <c r="AM22" i="27"/>
  <c r="BH62" i="27"/>
  <c r="AJ180" i="27" l="1"/>
  <c r="AK180" i="27" s="1"/>
  <c r="AH182" i="27"/>
  <c r="J22" i="27"/>
  <c r="D61" i="27"/>
  <c r="D64" i="27"/>
  <c r="D35" i="27"/>
  <c r="D45" i="27"/>
  <c r="P22" i="27"/>
  <c r="D80" i="27"/>
  <c r="D36" i="27"/>
  <c r="AR30" i="24"/>
  <c r="AC167" i="27" s="1"/>
  <c r="AK170" i="27" s="1"/>
  <c r="AM167" i="27" s="1"/>
  <c r="AU35" i="24"/>
  <c r="AV35" i="24" s="1"/>
  <c r="AU34" i="24"/>
  <c r="AV34" i="24" s="1"/>
  <c r="BI35" i="24"/>
  <c r="AG187" i="29"/>
  <c r="AK232" i="29"/>
  <c r="AL230" i="29" s="1"/>
  <c r="AM230" i="29" s="1"/>
  <c r="AH177" i="29"/>
  <c r="AH182" i="29" s="1"/>
  <c r="D86" i="27"/>
  <c r="D69" i="27"/>
  <c r="D62" i="27"/>
  <c r="D27" i="27"/>
  <c r="D87" i="27"/>
  <c r="D34" i="27"/>
  <c r="S22" i="27"/>
  <c r="D65" i="27"/>
  <c r="D85" i="27"/>
  <c r="D38" i="27"/>
  <c r="D76" i="27"/>
  <c r="AL182" i="29"/>
  <c r="AG182" i="29" s="1"/>
  <c r="Y33" i="24"/>
  <c r="Y180" i="27"/>
  <c r="O22" i="27"/>
  <c r="V22" i="27"/>
  <c r="D54" i="27"/>
  <c r="L22" i="27"/>
  <c r="D55" i="27"/>
  <c r="D70" i="27"/>
  <c r="D63" i="27"/>
  <c r="D33" i="27"/>
  <c r="D58" i="27"/>
  <c r="R22" i="27"/>
  <c r="X178" i="27"/>
  <c r="D74" i="27"/>
  <c r="D48" i="27"/>
  <c r="D24" i="27"/>
  <c r="D67" i="27"/>
  <c r="D53" i="27"/>
  <c r="D59" i="27"/>
  <c r="D31" i="27"/>
  <c r="D78" i="27"/>
  <c r="AD177" i="27"/>
  <c r="D52" i="27"/>
  <c r="Y22" i="27"/>
  <c r="D57" i="27"/>
  <c r="D22" i="27"/>
  <c r="D51" i="27"/>
  <c r="D40" i="27"/>
  <c r="M22" i="27"/>
  <c r="T22" i="27"/>
  <c r="D82" i="27"/>
  <c r="E22" i="27"/>
  <c r="D44" i="27"/>
  <c r="D43" i="27"/>
  <c r="D63" i="25"/>
  <c r="D68" i="25"/>
  <c r="AL182" i="27"/>
  <c r="AG182" i="27" s="1"/>
  <c r="D26" i="25"/>
  <c r="D76" i="25"/>
  <c r="D40" i="25"/>
  <c r="D51" i="25"/>
  <c r="D75" i="25"/>
  <c r="I22" i="25"/>
  <c r="D56" i="25"/>
  <c r="D46" i="25"/>
  <c r="D60" i="25"/>
  <c r="D79" i="25"/>
  <c r="D72" i="25"/>
  <c r="D32" i="25"/>
  <c r="D77" i="25"/>
  <c r="D47" i="25"/>
  <c r="D70" i="25"/>
  <c r="AH178" i="27"/>
  <c r="D30" i="25"/>
  <c r="D44" i="25"/>
  <c r="D53" i="25"/>
  <c r="D49" i="25"/>
  <c r="D83" i="25"/>
  <c r="D55" i="25"/>
  <c r="Q22" i="25"/>
  <c r="L22" i="25"/>
  <c r="D80" i="25"/>
  <c r="T22" i="25"/>
  <c r="AM177" i="27"/>
  <c r="D54" i="25"/>
  <c r="O22" i="25"/>
  <c r="D69" i="25"/>
  <c r="D73" i="25"/>
  <c r="D50" i="25"/>
  <c r="D37" i="25"/>
  <c r="D66" i="25"/>
  <c r="H22" i="25"/>
  <c r="R22" i="25"/>
  <c r="K22" i="25"/>
  <c r="M22" i="25"/>
  <c r="D43" i="25"/>
  <c r="D38" i="25"/>
  <c r="D52" i="25"/>
  <c r="D29" i="25"/>
  <c r="D73" i="27"/>
  <c r="D66" i="27"/>
  <c r="D25" i="27"/>
  <c r="D77" i="27"/>
  <c r="D28" i="27"/>
  <c r="N22" i="27"/>
  <c r="D75" i="27"/>
  <c r="D71" i="27"/>
  <c r="AI180" i="27"/>
  <c r="D24" i="25"/>
  <c r="D81" i="25"/>
  <c r="D28" i="25"/>
  <c r="D33" i="25"/>
  <c r="D74" i="25"/>
  <c r="D41" i="25"/>
  <c r="U22" i="27"/>
  <c r="H22" i="27"/>
  <c r="X22" i="27"/>
  <c r="D41" i="27"/>
  <c r="D37" i="27"/>
  <c r="D60" i="27"/>
  <c r="D56" i="27"/>
  <c r="D83" i="27"/>
  <c r="D49" i="27"/>
  <c r="AH180" i="27"/>
  <c r="D57" i="25"/>
  <c r="D34" i="25"/>
  <c r="D84" i="25"/>
  <c r="D85" i="25"/>
  <c r="W22" i="25"/>
  <c r="D62" i="25"/>
  <c r="D64" i="25"/>
  <c r="D71" i="25"/>
  <c r="D67" i="25"/>
  <c r="D87" i="25"/>
  <c r="P22" i="25"/>
  <c r="D39" i="25"/>
  <c r="D65" i="25"/>
  <c r="D86" i="25"/>
  <c r="G22" i="25"/>
  <c r="D36" i="25"/>
  <c r="D82" i="25"/>
  <c r="D25" i="25"/>
  <c r="D59" i="25"/>
  <c r="D31" i="25"/>
  <c r="S22" i="25"/>
  <c r="V22" i="25"/>
  <c r="D58" i="25"/>
  <c r="D35" i="25"/>
  <c r="D42" i="25"/>
  <c r="D27" i="25"/>
  <c r="U22" i="25"/>
  <c r="D23" i="25"/>
  <c r="D48" i="25"/>
  <c r="BH25" i="25"/>
  <c r="D78" i="25"/>
  <c r="N22" i="25"/>
  <c r="Y22" i="25"/>
  <c r="E22" i="25"/>
  <c r="F22" i="25"/>
  <c r="D61" i="25"/>
  <c r="D22" i="25"/>
  <c r="D45" i="25"/>
  <c r="J22" i="25"/>
  <c r="BC22" i="25"/>
  <c r="AW22" i="29"/>
  <c r="BG22" i="25"/>
  <c r="BH63" i="25"/>
  <c r="BH54" i="25"/>
  <c r="BH50" i="25"/>
  <c r="BH34" i="25"/>
  <c r="BH49" i="25"/>
  <c r="F22" i="27"/>
  <c r="D47" i="27"/>
  <c r="D81" i="27"/>
  <c r="K22" i="27"/>
  <c r="D46" i="27"/>
  <c r="D26" i="27"/>
  <c r="D30" i="27"/>
  <c r="D39" i="27"/>
  <c r="Q22" i="27"/>
  <c r="D42" i="27"/>
  <c r="W22" i="27"/>
  <c r="AP22" i="25"/>
  <c r="BH33" i="25"/>
  <c r="D68" i="27"/>
  <c r="D32" i="27"/>
  <c r="I22" i="27"/>
  <c r="G22" i="27"/>
  <c r="D50" i="27"/>
  <c r="D84" i="27"/>
  <c r="D23" i="27"/>
  <c r="D29" i="27"/>
  <c r="D79" i="27"/>
  <c r="BH44" i="29"/>
  <c r="AV22" i="29"/>
  <c r="BH60" i="29"/>
  <c r="BH34" i="29"/>
  <c r="BH52" i="29"/>
  <c r="BH56" i="29"/>
  <c r="BH58" i="29"/>
  <c r="AP22" i="29"/>
  <c r="BH86" i="29"/>
  <c r="AD187" i="29"/>
  <c r="X190" i="29"/>
  <c r="BH27" i="29"/>
  <c r="BH59" i="29"/>
  <c r="BE22" i="29"/>
  <c r="BH23" i="29"/>
  <c r="BH25" i="29"/>
  <c r="BH46" i="29"/>
  <c r="BH76" i="29"/>
  <c r="AL22" i="29"/>
  <c r="BH80" i="29"/>
  <c r="BH31" i="29"/>
  <c r="BH84" i="29"/>
  <c r="BH65" i="29"/>
  <c r="BH33" i="29"/>
  <c r="BH26" i="29"/>
  <c r="AR22" i="29"/>
  <c r="BA22" i="29"/>
  <c r="BH40" i="29"/>
  <c r="AM22" i="29"/>
  <c r="BH46" i="25"/>
  <c r="BH44" i="25"/>
  <c r="BD22" i="25"/>
  <c r="BH79" i="25"/>
  <c r="AX22" i="25"/>
  <c r="AT22" i="25"/>
  <c r="BH78" i="25"/>
  <c r="BH69" i="25"/>
  <c r="BE22" i="25"/>
  <c r="BH65" i="25"/>
  <c r="BH48" i="25"/>
  <c r="AB193" i="25"/>
  <c r="AD191" i="25" s="1"/>
  <c r="BH67" i="29"/>
  <c r="BH63" i="29"/>
  <c r="AK22" i="29"/>
  <c r="BH77" i="29"/>
  <c r="BH62" i="29"/>
  <c r="BH81" i="29"/>
  <c r="BH74" i="29"/>
  <c r="AZ22" i="29"/>
  <c r="AY22" i="29"/>
  <c r="BH78" i="29"/>
  <c r="BH35" i="29"/>
  <c r="AT22" i="29"/>
  <c r="BH69" i="29"/>
  <c r="BH71" i="29"/>
  <c r="AD167" i="25"/>
  <c r="BH79" i="29"/>
  <c r="BH47" i="29"/>
  <c r="BH70" i="29"/>
  <c r="BD22" i="29"/>
  <c r="BH85" i="29"/>
  <c r="BH57" i="29"/>
  <c r="BH24" i="29"/>
  <c r="AK169" i="25"/>
  <c r="AM167" i="25" s="1"/>
  <c r="BH42" i="29"/>
  <c r="AQ22" i="29"/>
  <c r="BH49" i="29"/>
  <c r="BH51" i="29"/>
  <c r="BH36" i="29"/>
  <c r="BH54" i="29"/>
  <c r="BH71" i="25"/>
  <c r="BH56" i="25"/>
  <c r="BH40" i="25"/>
  <c r="BH24" i="25"/>
  <c r="BH23" i="25"/>
  <c r="BH82" i="25"/>
  <c r="BH59" i="25"/>
  <c r="AM22" i="25"/>
  <c r="BH83" i="25"/>
  <c r="BC22" i="29"/>
  <c r="BH82" i="29"/>
  <c r="BH39" i="29"/>
  <c r="BH32" i="29"/>
  <c r="BH45" i="29"/>
  <c r="BB22" i="29"/>
  <c r="BH83" i="29"/>
  <c r="BH55" i="29"/>
  <c r="BH22" i="29"/>
  <c r="AN22" i="29"/>
  <c r="AX22" i="29"/>
  <c r="BH64" i="25"/>
  <c r="AR22" i="25"/>
  <c r="BH55" i="25"/>
  <c r="BH38" i="25"/>
  <c r="BH87" i="25"/>
  <c r="BH74" i="25"/>
  <c r="AV22" i="25"/>
  <c r="AS22" i="25"/>
  <c r="BH43" i="25"/>
  <c r="BH30" i="25"/>
  <c r="AL22" i="25"/>
  <c r="AN22" i="25"/>
  <c r="BH72" i="29"/>
  <c r="AU22" i="29"/>
  <c r="BH37" i="29"/>
  <c r="BH50" i="29"/>
  <c r="BH53" i="29"/>
  <c r="BH75" i="29"/>
  <c r="AS22" i="29"/>
  <c r="BH61" i="29"/>
  <c r="BH43" i="29"/>
  <c r="BH41" i="29"/>
  <c r="BH30" i="29"/>
  <c r="AO22" i="25"/>
  <c r="BH53" i="25"/>
  <c r="BH80" i="25"/>
  <c r="BH67" i="25"/>
  <c r="BH31" i="25"/>
  <c r="AY22" i="25"/>
  <c r="BH73" i="25"/>
  <c r="BH36" i="25"/>
  <c r="BH29" i="25"/>
  <c r="BH42" i="25"/>
  <c r="BH70" i="25"/>
  <c r="BH52" i="25"/>
  <c r="BH72" i="25"/>
  <c r="AW22" i="25"/>
  <c r="BH68" i="29"/>
  <c r="BH87" i="29"/>
  <c r="BH38" i="29"/>
  <c r="BH29" i="29"/>
  <c r="BH73" i="29"/>
  <c r="BG22" i="29"/>
  <c r="AO22" i="29"/>
  <c r="BH66" i="29"/>
  <c r="BF22" i="29"/>
  <c r="BH64" i="29"/>
  <c r="BH28" i="29"/>
  <c r="AA31" i="24"/>
  <c r="AA33" i="24" s="1"/>
  <c r="AB34" i="24" s="1"/>
  <c r="AA47" i="24" s="1"/>
  <c r="AQ88" i="25" s="1"/>
  <c r="BH84" i="25"/>
  <c r="BH26" i="25"/>
  <c r="BH39" i="25"/>
  <c r="BH32" i="25"/>
  <c r="BH45" i="25"/>
  <c r="BH35" i="25"/>
  <c r="AU22" i="25"/>
  <c r="BH77" i="25"/>
  <c r="BH61" i="25"/>
  <c r="BB22" i="25"/>
  <c r="BH47" i="25"/>
  <c r="BH51" i="25"/>
  <c r="BH37" i="25"/>
  <c r="BH62" i="25"/>
  <c r="BH75" i="25"/>
  <c r="BH68" i="25"/>
  <c r="BA22" i="25"/>
  <c r="BH22" i="25"/>
  <c r="BH41" i="25"/>
  <c r="BH60" i="25"/>
  <c r="BH81" i="25"/>
  <c r="BH85" i="25"/>
  <c r="BH28" i="25"/>
  <c r="AK22" i="25"/>
  <c r="BH66" i="25"/>
  <c r="AZ22" i="25"/>
  <c r="BH27" i="25"/>
  <c r="BF22" i="25"/>
  <c r="AQ22" i="25"/>
  <c r="BH86" i="25"/>
  <c r="BH57" i="25"/>
  <c r="BH76" i="25"/>
  <c r="AD192" i="29"/>
  <c r="X195" i="29"/>
  <c r="J56" i="24" a="1"/>
  <c r="J56" i="24" s="1"/>
  <c r="AK84" i="24" s="1"/>
  <c r="K137" i="29" s="1"/>
  <c r="AH187" i="29"/>
  <c r="AQ88" i="27"/>
  <c r="X187" i="27"/>
  <c r="BC30" i="24"/>
  <c r="AC167" i="29" s="1"/>
  <c r="Z30" i="24"/>
  <c r="AI90" i="25"/>
  <c r="AU36" i="24"/>
  <c r="AV36" i="24" s="1"/>
  <c r="AL187" i="27" s="1"/>
  <c r="AI190" i="29" l="1"/>
  <c r="AH192" i="29"/>
  <c r="AH193" i="29" s="1"/>
  <c r="AD167" i="27"/>
  <c r="Z34" i="24"/>
  <c r="Y48" i="24" s="1"/>
  <c r="E90" i="25" s="1"/>
  <c r="AH183" i="29"/>
  <c r="AM182" i="29"/>
  <c r="AH185" i="29"/>
  <c r="AH178" i="29"/>
  <c r="AH180" i="29"/>
  <c r="AJ180" i="29"/>
  <c r="AK180" i="29" s="1"/>
  <c r="AM177" i="29" s="1"/>
  <c r="AI180" i="29"/>
  <c r="AM182" i="27"/>
  <c r="AH183" i="27"/>
  <c r="AH185" i="27"/>
  <c r="AL177" i="25"/>
  <c r="AM177" i="25" s="1"/>
  <c r="AA48" i="24"/>
  <c r="AQ90" i="25" s="1"/>
  <c r="AQ89" i="25" s="1"/>
  <c r="AH190" i="29"/>
  <c r="AJ190" i="29"/>
  <c r="AK190" i="29" s="1"/>
  <c r="AM187" i="29" s="1"/>
  <c r="AH188" i="29"/>
  <c r="V84" i="24"/>
  <c r="K137" i="27" s="1"/>
  <c r="J83" i="24"/>
  <c r="K137" i="25" s="1"/>
  <c r="X193" i="27"/>
  <c r="X195" i="27"/>
  <c r="AD192" i="27"/>
  <c r="AK170" i="29"/>
  <c r="AD167" i="29"/>
  <c r="AK232" i="27"/>
  <c r="AL230" i="27" s="1"/>
  <c r="AM230" i="27" s="1"/>
  <c r="AL192" i="27"/>
  <c r="AG192" i="27" s="1"/>
  <c r="AG187" i="27"/>
  <c r="AD187" i="27"/>
  <c r="X188" i="27"/>
  <c r="Y190" i="27"/>
  <c r="X190" i="27"/>
  <c r="AQ90" i="27"/>
  <c r="AQ89" i="27" s="1"/>
  <c r="AH187" i="27"/>
  <c r="AH192" i="27" s="1"/>
  <c r="AH195" i="29" l="1"/>
  <c r="AM192" i="29"/>
  <c r="AL167" i="29"/>
  <c r="AM167" i="29" s="1"/>
  <c r="AC177" i="25"/>
  <c r="AL217" i="25" s="1"/>
  <c r="AM215" i="25" s="1"/>
  <c r="Y47" i="24"/>
  <c r="E88" i="25" s="1"/>
  <c r="E89" i="25" s="1"/>
  <c r="AM192" i="27"/>
  <c r="AH195" i="27"/>
  <c r="AH193" i="27"/>
  <c r="AI190" i="27"/>
  <c r="AH190" i="27"/>
  <c r="AJ190" i="27"/>
  <c r="AK190" i="27" s="1"/>
  <c r="AM187" i="27" s="1"/>
  <c r="AH188" i="27"/>
  <c r="AK235" i="29" l="1"/>
  <c r="AL1" i="29" s="1"/>
  <c r="AD177" i="25"/>
  <c r="AK235" i="25" s="1"/>
  <c r="AL1" i="25" s="1"/>
  <c r="AK235" i="27"/>
  <c r="AL1" i="2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Dawid_Pantera</author>
  </authors>
  <commentList>
    <comment ref="M15" authorId="0" shapeId="0" xr:uid="{00000000-0006-0000-0500-000001000000}">
      <text>
        <r>
          <rPr>
            <b/>
            <sz val="9"/>
            <color indexed="81"/>
            <rFont val="Tahoma"/>
            <family val="2"/>
            <charset val="238"/>
          </rPr>
          <t>20 m3/h/osobę</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<sst xmlns="http://schemas.openxmlformats.org/spreadsheetml/2006/main" count="2136" uniqueCount="694">
  <si>
    <t>Model</t>
  </si>
  <si>
    <t>kWh/m2*rok</t>
  </si>
  <si>
    <t>Maksymalna wartość natężenia przepływu</t>
  </si>
  <si>
    <t>m3/h</t>
  </si>
  <si>
    <t>W</t>
  </si>
  <si>
    <t>dB(A)</t>
  </si>
  <si>
    <t>Roczne oszczędności w ogrzewaniu - klimat umiarkowany</t>
  </si>
  <si>
    <t>Roczne oszczędności w ogrzewaniu - klimat zimny</t>
  </si>
  <si>
    <t>A</t>
  </si>
  <si>
    <t>Maksymalny wewnętrzny przeciek powietrza</t>
  </si>
  <si>
    <t>Maksymalny zewnętrzny przeciek powietrza</t>
  </si>
  <si>
    <t>%</t>
  </si>
  <si>
    <t>H32S A400</t>
  </si>
  <si>
    <t>H32S A300</t>
  </si>
  <si>
    <t>Klasa by-pass</t>
  </si>
  <si>
    <t>Nawiew</t>
  </si>
  <si>
    <t>Wywiew</t>
  </si>
  <si>
    <t>Norma (wartości minimalne)</t>
  </si>
  <si>
    <t>Zalecenia</t>
  </si>
  <si>
    <t>[m3/h]</t>
  </si>
  <si>
    <t>[1/h]</t>
  </si>
  <si>
    <t>Łazienka</t>
  </si>
  <si>
    <t>WC (bez wanny lub kabiny prysznicowej)</t>
  </si>
  <si>
    <t>min</t>
  </si>
  <si>
    <t>max</t>
  </si>
  <si>
    <t>Wiatrołap</t>
  </si>
  <si>
    <t>Pomieszczenie gospodarcze</t>
  </si>
  <si>
    <t>Spiżarnia</t>
  </si>
  <si>
    <t>Klatka schodowa, hol</t>
  </si>
  <si>
    <t>Strumień powietrza</t>
  </si>
  <si>
    <t>Krotność wymiany</t>
  </si>
  <si>
    <t>1 / osobę</t>
  </si>
  <si>
    <t>1/ osobę</t>
  </si>
  <si>
    <t>Garaż</t>
  </si>
  <si>
    <t>Kotłownia z kotłem grupy C</t>
  </si>
  <si>
    <t>[m2]</t>
  </si>
  <si>
    <t>[m3]</t>
  </si>
  <si>
    <t>Salon</t>
  </si>
  <si>
    <t>Gabinet</t>
  </si>
  <si>
    <t>Sypialnia</t>
  </si>
  <si>
    <t>Nazwa pomieszczenia</t>
  </si>
  <si>
    <t>Ilość osób</t>
  </si>
  <si>
    <t>Nazwa materiału</t>
  </si>
  <si>
    <t>szt.</t>
  </si>
  <si>
    <t>Elastyczny kanał okrągły DN63</t>
  </si>
  <si>
    <t>50m/rolka</t>
  </si>
  <si>
    <t>Skrzynka do anemostatu</t>
  </si>
  <si>
    <t>Skrzynka rozdzielcza 18x63</t>
  </si>
  <si>
    <t>Skrzynka rozdzielcza 12x63</t>
  </si>
  <si>
    <t>Kratka 200x100 podłączenie z góry</t>
  </si>
  <si>
    <t>Kratka 200x100 podłączenie z tyłu</t>
  </si>
  <si>
    <t>Łącznik kanałów DN63</t>
  </si>
  <si>
    <t>Nóż do kanałów DN63</t>
  </si>
  <si>
    <t>Uchwyt mocujący do kanałów DN63</t>
  </si>
  <si>
    <t>Kanał izolowany 200/174</t>
  </si>
  <si>
    <t>2m/szt.</t>
  </si>
  <si>
    <t>Kolano izolowane z mufą 90 stopni</t>
  </si>
  <si>
    <t>Kolano izolowane z mufą 45 stopni</t>
  </si>
  <si>
    <t>Mufa łącząca 200/200</t>
  </si>
  <si>
    <t>Mufa/redukcja 200/150</t>
  </si>
  <si>
    <t>Czerpnia/wyrzutnia ścienna</t>
  </si>
  <si>
    <t>Wyrzutnia dachowa</t>
  </si>
  <si>
    <t>Moduł LB1</t>
  </si>
  <si>
    <t>Z015318</t>
  </si>
  <si>
    <t>ZK02789</t>
  </si>
  <si>
    <t>Czujnik wilgotności</t>
  </si>
  <si>
    <t>ZK02539</t>
  </si>
  <si>
    <t>Czujnik CO2/wilgoci</t>
  </si>
  <si>
    <t>Nr zamówieniowy</t>
  </si>
  <si>
    <t>Jednostka</t>
  </si>
  <si>
    <t>Ilość kondygnacji</t>
  </si>
  <si>
    <t>Parter</t>
  </si>
  <si>
    <t>Poddasze</t>
  </si>
  <si>
    <t>f</t>
  </si>
  <si>
    <t>asd</t>
  </si>
  <si>
    <t>Bilans powietrza</t>
  </si>
  <si>
    <t>Nr pom.</t>
  </si>
  <si>
    <t>Nazwa pom.</t>
  </si>
  <si>
    <t>Pow.</t>
  </si>
  <si>
    <t>Kubatura</t>
  </si>
  <si>
    <t>Założona krot.wym.</t>
  </si>
  <si>
    <t>Wydatek z krotności</t>
  </si>
  <si>
    <t>Wydatek z ilości os.</t>
  </si>
  <si>
    <t>Założony nawiew</t>
  </si>
  <si>
    <t>Założony wywiew</t>
  </si>
  <si>
    <t>Ilość anemostatów</t>
  </si>
  <si>
    <t>Ilość kanałów</t>
  </si>
  <si>
    <t>naw.</t>
  </si>
  <si>
    <t>wyw.</t>
  </si>
  <si>
    <t>0.1</t>
  </si>
  <si>
    <t>0.2</t>
  </si>
  <si>
    <t>0.3</t>
  </si>
  <si>
    <t>0.4</t>
  </si>
  <si>
    <t>0.5</t>
  </si>
  <si>
    <t>0.6</t>
  </si>
  <si>
    <t>0.7</t>
  </si>
  <si>
    <t>0.8</t>
  </si>
  <si>
    <t>0.9</t>
  </si>
  <si>
    <t>0.10</t>
  </si>
  <si>
    <t>0.11</t>
  </si>
  <si>
    <t>1.1</t>
  </si>
  <si>
    <t>1.2</t>
  </si>
  <si>
    <t>1.3</t>
  </si>
  <si>
    <t>1.4</t>
  </si>
  <si>
    <t>1.5</t>
  </si>
  <si>
    <t>1.6</t>
  </si>
  <si>
    <t>1.7</t>
  </si>
  <si>
    <t>1.8</t>
  </si>
  <si>
    <t>1.9</t>
  </si>
  <si>
    <t>1.10</t>
  </si>
  <si>
    <t>Projektowa wydajność centrali wentylacyjnej [m3/h]:</t>
  </si>
  <si>
    <t>Założenia:</t>
  </si>
  <si>
    <t xml:space="preserve">1. Ilość mieszkańców: 4 osoby
2. Kuchnia wyposażona w kuchenkę elektryczną
3. Ewentualny kominek będzie pobierał powietrze do spalania odzielnym kanałem z zewnątrz
4. Okap będzie pracował na powietrzu obiegowym
5. Lokalizacja centrali - kotłownia na parterze
6. Dokładne lokalizacje nawieników i wywiewników, należy ustalić w koordynacji z innymi branżami oraz aranżacją wnętrz
7. Inwestor zapewni 80mm przestrzeni w warstwach posadzkowych na system kanałów wentylacyjnych
</t>
  </si>
  <si>
    <t>Założona krotność wymiany</t>
  </si>
  <si>
    <t>Wydatek z ilości osób</t>
  </si>
  <si>
    <t>Wydatek
z krotności</t>
  </si>
  <si>
    <t>Wybierz pomieszczenie z listy i wprowadź wartości</t>
  </si>
  <si>
    <t>suma</t>
  </si>
  <si>
    <t>Lokalizacja centrali</t>
  </si>
  <si>
    <t>Arkusz obliczeniowy systemu wentylacji centralnej z odzyskiem ciepła</t>
  </si>
  <si>
    <t>Pokój dzienny</t>
  </si>
  <si>
    <t>Jadalnia</t>
  </si>
  <si>
    <t>Garderoba</t>
  </si>
  <si>
    <t>Pomieszczenie rekreacyjne</t>
  </si>
  <si>
    <t>Wydatek
minimalny</t>
  </si>
  <si>
    <t>dane do wprowadzenia</t>
  </si>
  <si>
    <t>dane obliczone</t>
  </si>
  <si>
    <r>
      <rPr>
        <b/>
        <sz val="11"/>
        <color theme="0" tint="-0.499984740745262"/>
        <rFont val="Calibri"/>
        <family val="2"/>
        <charset val="238"/>
        <scheme val="minor"/>
      </rPr>
      <t>Wartości istotne :</t>
    </r>
    <r>
      <rPr>
        <sz val="11"/>
        <color theme="0" tint="-0.499984740745262"/>
        <rFont val="Calibri"/>
        <family val="2"/>
        <charset val="238"/>
        <scheme val="minor"/>
      </rPr>
      <t xml:space="preserve">
1. Ilość mieszkańców, pomieszczenia stale wykorzystywane w ciągu dnia itd
2. Rodzaj kuchnia, otwarta/zamknięta, z kuchenką elektryczną/gazową
3. Ewentualny kominek będzie pobierał powietrze do spalania odzielnym kanałem z zewnątrz
4. Okap kuchenny będzie pracował na powietrzu obiegowym
5. Lokalizacja centrali parter/poddasze
6. Dokładne lokalizacje nawieników i wywiewników, należy ustalić w koordynacji z innymi branżami oraz aranżacją wnętrz
7. Inwestor zapewni 80mm przestrzeni w warstwach posadzkowych na system kanałów wentylacyjnych</t>
    </r>
  </si>
  <si>
    <t>Kuchnia otwarta z kuchenką gazową</t>
  </si>
  <si>
    <t>Kuchnia otwarta z kuchenką elektryczną</t>
  </si>
  <si>
    <t>wywiew</t>
  </si>
  <si>
    <t>nawiew</t>
  </si>
  <si>
    <t>Ruch powietrza</t>
  </si>
  <si>
    <t>Powierzchnia</t>
  </si>
  <si>
    <t>Centrala wentylacyjna Vitovent 300-W</t>
  </si>
  <si>
    <t>Klapa bypass (100%) do pracy z pominięciem wymiennika</t>
  </si>
  <si>
    <t>Filtr powietrza usuwanego z pomieszczeń</t>
  </si>
  <si>
    <t>DN160</t>
  </si>
  <si>
    <t>DN180</t>
  </si>
  <si>
    <t>G4</t>
  </si>
  <si>
    <t>Filtr powietrza świeżego z zewnątrz</t>
  </si>
  <si>
    <t>Odprowadzenie kondensatu</t>
  </si>
  <si>
    <t>Moduł obsługowy LB1 do sterowania i parametryzowania pracy</t>
  </si>
  <si>
    <t>Wysokość</t>
  </si>
  <si>
    <t>[m]</t>
  </si>
  <si>
    <t>Anemostat metalowy nawiewny</t>
  </si>
  <si>
    <t>Anemostat metalowy wywiewny</t>
  </si>
  <si>
    <t>Pralnia, suszarnia</t>
  </si>
  <si>
    <t>do 20m3 3 Pa, do 25 m3/h 4 Pa/m</t>
  </si>
  <si>
    <t>10 Pa</t>
  </si>
  <si>
    <t>4 Pa/m</t>
  </si>
  <si>
    <t>5 Pa/m</t>
  </si>
  <si>
    <t>3 Pa/m</t>
  </si>
  <si>
    <t>15 Pa</t>
  </si>
  <si>
    <t>typ</t>
  </si>
  <si>
    <r>
      <t>1</t>
    </r>
    <r>
      <rPr>
        <sz val="11"/>
        <color theme="1" tint="0.499984740745262"/>
        <rFont val="Calibri"/>
        <family val="2"/>
        <charset val="238"/>
      </rPr>
      <t>¼</t>
    </r>
  </si>
  <si>
    <t>XI</t>
  </si>
  <si>
    <t>XII</t>
  </si>
  <si>
    <t>I</t>
  </si>
  <si>
    <t>II</t>
  </si>
  <si>
    <t>III</t>
  </si>
  <si>
    <t>IV</t>
  </si>
  <si>
    <t>a=</t>
  </si>
  <si>
    <t>b=</t>
  </si>
  <si>
    <t>300m3/h</t>
  </si>
  <si>
    <t>400m3/h</t>
  </si>
  <si>
    <r>
      <rPr>
        <sz val="11"/>
        <color theme="1"/>
        <rFont val="Calibri"/>
        <family val="2"/>
        <charset val="238"/>
      </rPr>
      <t>•</t>
    </r>
    <r>
      <rPr>
        <sz val="9.35"/>
        <color theme="1"/>
        <rFont val="Calibri"/>
        <family val="2"/>
        <charset val="238"/>
      </rPr>
      <t xml:space="preserve"> </t>
    </r>
    <r>
      <rPr>
        <sz val="11"/>
        <color theme="1"/>
        <rFont val="Calibri"/>
        <family val="2"/>
        <charset val="238"/>
        <scheme val="minor"/>
      </rPr>
      <t>Ewentualny kominek będzie pobierał powietrze do spalania odzielnym kanałem z zewnątrz</t>
    </r>
  </si>
  <si>
    <t>• Dokładne lokalizacje nawieników i wywiewników, należy ustalić w koordynacji z innymi branżami oraz aranżacją wnętrz</t>
  </si>
  <si>
    <t>• Inwestor zapewni 80mm przestrzeni w warstwach posadzkowych na system kanałów wentylacyjnych</t>
  </si>
  <si>
    <t>• Okap kuchenny będzie pracował na powietrzu obiegowym</t>
  </si>
  <si>
    <t>• Centralę wentylacyjną należy ustawiać wewnątrz pomieszczeń ogrzewanych</t>
  </si>
  <si>
    <t>• Należy zapewnić swobodny dostęp do centrali wentylacyjnej w celu wykonania prac konserwacyjnych</t>
  </si>
  <si>
    <t>• Przewodów DN 63 bez izolacji nie wolno prowadzić w przestrzeni powietrznej poddasza</t>
  </si>
  <si>
    <t>• Rozdzielacze będę zlokalizowane bezpośrednio na stropie parteru, wewnątrz izolacji termicznej spełniającej warunki paroszczelności</t>
  </si>
  <si>
    <t>• Czerpnia i wyrzutnia elewacyjne będą zlokalizowane, co najmniej 2 m ponad poziomem terenu</t>
  </si>
  <si>
    <t>• Należy kontrolować jakość filtrów i w razie konieczności wymienić na nowe</t>
  </si>
  <si>
    <t>• Panel zdalnego sterowania należy umieścić w ogólnodostępnym miejscu</t>
  </si>
  <si>
    <t>• Centralę wentylacyjną można zamontować w pozycji stojącej lub wiszącej</t>
  </si>
  <si>
    <t>• Podczas montażu instalacji wentylacji należy systematycznie zaślepiać wszystkie otwory, aby zabezpieczyć ją przed zapyleniem.</t>
  </si>
  <si>
    <t>• Aby umożliwić przepływ powietrza z obszarów nawiewnych do obszarów wywiewnych, należy zapewnić szczeliną pod drzwiami.</t>
  </si>
  <si>
    <t>• Zaprojektować przewody rurowe tak, aby się nie krzyżowały.</t>
  </si>
  <si>
    <t>[kWh]</t>
  </si>
  <si>
    <t>Koszty eksploatacyjne wentylacji grawitacyjnej</t>
  </si>
  <si>
    <t>Q=V/3600*1,2*1*deltaT</t>
  </si>
  <si>
    <t>V obliczony =</t>
  </si>
  <si>
    <t>V do obliczeń kosztów pod grawitację =</t>
  </si>
  <si>
    <t>Kubatura =</t>
  </si>
  <si>
    <t>krotność dla rekuperacji</t>
  </si>
  <si>
    <t>krotność dla grawitacji</t>
  </si>
  <si>
    <t>X</t>
  </si>
  <si>
    <t>średnie miesięczne temeratury dla Wawy 1981-2010</t>
  </si>
  <si>
    <t>dla budynku zakładamy</t>
  </si>
  <si>
    <t>[stC]</t>
  </si>
  <si>
    <t>Suma</t>
  </si>
  <si>
    <t>1. Koszt - sprawność reku, różnicę trzeba zagrzać</t>
  </si>
  <si>
    <t>12h z wydajnością 50% i 12h z wydajnością 100%</t>
  </si>
  <si>
    <t>sprawność całoroczna (z karty ErP)</t>
  </si>
  <si>
    <t>[kWh/rok]</t>
  </si>
  <si>
    <t>dla deltaT=3K</t>
  </si>
  <si>
    <t>2. Koszt - praca wentylatorów</t>
  </si>
  <si>
    <t>[W]</t>
  </si>
  <si>
    <t>1/2 roku = 1/2*8650h</t>
  </si>
  <si>
    <t>3. Koszt - praca grzałki elektrycznej</t>
  </si>
  <si>
    <t>Kraków od 0 do -5stC</t>
  </si>
  <si>
    <t>[h]</t>
  </si>
  <si>
    <t>Kraków od -5 do -10stC</t>
  </si>
  <si>
    <t>Kraków od -10 do -20stC</t>
  </si>
  <si>
    <t>• Nie stosować dłuższych odcinków przewodów DN63 niż 25m</t>
  </si>
  <si>
    <t>Uwagi i zalecenia dotyczące centrali wentylacyjnej</t>
  </si>
  <si>
    <t>Uwagi i zalecenia dotyczące eksploatacji centrali wentylacyjnej</t>
  </si>
  <si>
    <t>Uwagi i zalecenia dotyczące instalacji rozprowadzania powietrza</t>
  </si>
  <si>
    <t>Koszty eksploatacyjne wentylacji mechanicznej</t>
  </si>
  <si>
    <t>temperatura zabez. przed zamar.</t>
  </si>
  <si>
    <t>Roczne zużycie energii elektrycznej - klimat umiarkowany</t>
  </si>
  <si>
    <t>Roczne zużycie energii elektrycznej - klimat zimny</t>
  </si>
  <si>
    <t>kWh/100m2*rok</t>
  </si>
  <si>
    <t>- sterowanie czasowe</t>
  </si>
  <si>
    <t>- sterowanie centralne zapotrzebowaniem</t>
  </si>
  <si>
    <t>A+</t>
  </si>
  <si>
    <t>- sterowanie lokalne zapotrzebowaniem</t>
  </si>
  <si>
    <t>Jednostkowe zużycie energii - klimat umiarkowany</t>
  </si>
  <si>
    <t>Jednostkowe zużycie energii - klimat zimny</t>
  </si>
  <si>
    <t>Srawność odzysku ciepła UOC</t>
  </si>
  <si>
    <t>Poziom mocy akustycznej L(WA)</t>
  </si>
  <si>
    <t>Jednostkowy pobór mocy JPM</t>
  </si>
  <si>
    <t>W/m3/h</t>
  </si>
  <si>
    <t>Wyposażenie</t>
  </si>
  <si>
    <t>Grzałka elektryczna powietrza zewnętrznego</t>
  </si>
  <si>
    <t>Tak</t>
  </si>
  <si>
    <t>Sterowanie z kotła</t>
  </si>
  <si>
    <t>Nie</t>
  </si>
  <si>
    <t>Regulator w komplecie ?</t>
  </si>
  <si>
    <t>Typ regulatora</t>
  </si>
  <si>
    <t>LB1</t>
  </si>
  <si>
    <t>Sterowanie z poziomu pompy ciepła</t>
  </si>
  <si>
    <t>n.d.</t>
  </si>
  <si>
    <t>Króciec powietrza wywiewanego z pomieszczeń</t>
  </si>
  <si>
    <t>Króciec powietrza nawiewanego do pomieszczeń</t>
  </si>
  <si>
    <t>Przewód komunikacyjny Mod-bus do sterowania centralną z regulatora pompy ciepła</t>
  </si>
  <si>
    <t>Wydajność masymalna</t>
  </si>
  <si>
    <t>300-F</t>
  </si>
  <si>
    <t>300-C</t>
  </si>
  <si>
    <t>Moc wentylatorów trybie normalnym</t>
  </si>
  <si>
    <t>Moc wentylatorów w trybie zredukowanym</t>
  </si>
  <si>
    <t>• Zaleca się stosowanie tłumików na odcinku od centrali wentylacyjnej do rozdzielacza powietrza nawiewanego do pomieszczeń</t>
  </si>
  <si>
    <t>Pomieszczenie / nawiew</t>
  </si>
  <si>
    <t>Pomieszczenie / wywiew</t>
  </si>
  <si>
    <t>Kotłownia z kotłem grupy C lub pompą ciepła</t>
  </si>
  <si>
    <t>średnia ważona</t>
  </si>
  <si>
    <t>1/2 z 50% wydajnością i 1/2 ze 100% wydajnością</t>
  </si>
  <si>
    <t>- - - - - - - - - - - - - - - NAWIEW - - - - - - - - - - - - - - -</t>
  </si>
  <si>
    <t>- - - - - - - - - - - - - - - WYWIEW - - - - - - - - - - - - - - -</t>
  </si>
  <si>
    <t>300-W</t>
  </si>
  <si>
    <t>H32S B280</t>
  </si>
  <si>
    <t>Wymiary</t>
  </si>
  <si>
    <t>Szerokość</t>
  </si>
  <si>
    <t>Głębokość</t>
  </si>
  <si>
    <t>Masa całkowita</t>
  </si>
  <si>
    <t>mm</t>
  </si>
  <si>
    <t>kg</t>
  </si>
  <si>
    <t>Mufa/redukcja 200/180</t>
  </si>
  <si>
    <t>Tłumik dźwięku, giętki; 1,1m; DN180; 25mm</t>
  </si>
  <si>
    <t>Tłumik dźwięku, giętki; 1,1m; DN180; 50mm</t>
  </si>
  <si>
    <t>ZK03037</t>
  </si>
  <si>
    <t>Gaz ziemny</t>
  </si>
  <si>
    <t>Króciec przyłączeniowy do przedłużania DN125</t>
  </si>
  <si>
    <t>Trójnik izolowany 200/174 bez mufy</t>
  </si>
  <si>
    <t>H32S C400</t>
  </si>
  <si>
    <t>H32S C325</t>
  </si>
  <si>
    <t>Wersja Lewa</t>
  </si>
  <si>
    <t>Wersja Prawa</t>
  </si>
  <si>
    <t>Centrala Vitovent model B300/B400 (do 08-2020)</t>
  </si>
  <si>
    <t xml:space="preserve">Króciec do czerpni (powietrze świeże z zewnątrz) </t>
  </si>
  <si>
    <t>Króciec do wyrzutni (powietrze zużyte na zewnątrz)</t>
  </si>
  <si>
    <t>Grzałka elektryczna, modulowana 125-1000 [W] powietrza świeżego</t>
  </si>
  <si>
    <t>Krzyżowy wymiennik ciepła</t>
  </si>
  <si>
    <t>Energooszczędne wentylatory promieniowe prądu stałego</t>
  </si>
  <si>
    <r>
      <t xml:space="preserve">wersja </t>
    </r>
    <r>
      <rPr>
        <b/>
        <sz val="14"/>
        <color rgb="FFC00000"/>
        <rFont val="Calibri"/>
        <family val="2"/>
        <charset val="238"/>
        <scheme val="minor"/>
      </rPr>
      <t>PRAWA</t>
    </r>
  </si>
  <si>
    <r>
      <t xml:space="preserve">wersja </t>
    </r>
    <r>
      <rPr>
        <b/>
        <sz val="14"/>
        <color rgb="FFC00000"/>
        <rFont val="Calibri"/>
        <family val="2"/>
        <charset val="238"/>
        <scheme val="minor"/>
      </rPr>
      <t>LEWA</t>
    </r>
  </si>
  <si>
    <t>Klasa energetyczna - klimat umiarkowany</t>
  </si>
  <si>
    <t>Efektywna moc wejściowa -max. pobór mocy wentylatorów</t>
  </si>
  <si>
    <t>Sprawność energetyczna wg EN308:1997</t>
  </si>
  <si>
    <t>do 98</t>
  </si>
  <si>
    <t>do 99</t>
  </si>
  <si>
    <t>Komunikacja centrali Vitovent z pompą ciepła przewodem Mod-bus umożliwia sterowanie przez aplikację ViCare</t>
  </si>
  <si>
    <t>Vitovent 300-W 325m3/h lewa</t>
  </si>
  <si>
    <t>Vitovent 300-W 400m3/h prawa</t>
  </si>
  <si>
    <t>Vitovent 300-W 400m3/h lewa</t>
  </si>
  <si>
    <t>Vitovent 300-W 325m3/h prawa</t>
  </si>
  <si>
    <t>Vitovent 300-W 225m3/h lewa</t>
  </si>
  <si>
    <t>Vitovent 300-W 225m3/h prawa</t>
  </si>
  <si>
    <t>DN125</t>
  </si>
  <si>
    <t>Nazwa</t>
  </si>
  <si>
    <t>Typ</t>
  </si>
  <si>
    <t xml:space="preserve">Data:   </t>
  </si>
  <si>
    <t>Symulację przygotowano dla…</t>
  </si>
  <si>
    <r>
      <t>[ m</t>
    </r>
    <r>
      <rPr>
        <vertAlign val="superscript"/>
        <sz val="11"/>
        <color theme="1" tint="0.34998626667073579"/>
        <rFont val="Roboto Condensed"/>
        <charset val="238"/>
      </rPr>
      <t xml:space="preserve">2 </t>
    </r>
    <r>
      <rPr>
        <sz val="11"/>
        <color theme="1" tint="0.34998626667073579"/>
        <rFont val="Roboto Condensed"/>
        <charset val="238"/>
      </rPr>
      <t>]</t>
    </r>
  </si>
  <si>
    <t>35 - 500</t>
  </si>
  <si>
    <t>Liczba mieszkańców</t>
  </si>
  <si>
    <t>1 - 10</t>
  </si>
  <si>
    <t>Autor:</t>
  </si>
  <si>
    <t>Tabela z obliczeniami jako podstwa do każdej kalkulacji</t>
  </si>
  <si>
    <t>Tłumik dźwięku DN125, L=1,1m, 50mm</t>
  </si>
  <si>
    <t>ZK03036</t>
  </si>
  <si>
    <t>Mufa łącząca z EPP DN125</t>
  </si>
  <si>
    <t>Mufa łącząca z EPP DN160</t>
  </si>
  <si>
    <t>Mufa łącząca z EPP DN180</t>
  </si>
  <si>
    <t>Mufa łącząca, przesuwna z EPP DN125</t>
  </si>
  <si>
    <t>Mufa łącząca, przesuwna z EPP DN160</t>
  </si>
  <si>
    <t>Mufa łącząca, przesuwna z EPP DN180</t>
  </si>
  <si>
    <t>ZK01770</t>
  </si>
  <si>
    <t>ZK01890</t>
  </si>
  <si>
    <t>ZK01891</t>
  </si>
  <si>
    <t>Kabłąk mocujący do ściany lub stropu</t>
  </si>
  <si>
    <t>Rura z mufą łączącą z EPP DN=125, L=1m</t>
  </si>
  <si>
    <t>Rura z mufą łączącą z EPP DN=160, L=1m</t>
  </si>
  <si>
    <t>Rura z mufą łączącą z EPP DN=180, L=1m</t>
  </si>
  <si>
    <t>Tłumik dźwięku DN180, L=1,1m, 50 mm</t>
  </si>
  <si>
    <t>Tłumik dźwięku DN160, L=1,1m, 50mm</t>
  </si>
  <si>
    <t>Nazwa materiału, przewody główne centrali</t>
  </si>
  <si>
    <r>
      <t>Kolano 90°</t>
    </r>
    <r>
      <rPr>
        <sz val="9.9"/>
        <color indexed="8"/>
        <rFont val="Roboto Condensed"/>
        <charset val="238"/>
      </rPr>
      <t xml:space="preserve"> z mufą łączącą z EPP, DN125</t>
    </r>
  </si>
  <si>
    <r>
      <t>Kolano 90°</t>
    </r>
    <r>
      <rPr>
        <sz val="9.9"/>
        <color indexed="8"/>
        <rFont val="Roboto Condensed"/>
        <charset val="238"/>
      </rPr>
      <t xml:space="preserve"> z mufą łączącą z EPP, DN160</t>
    </r>
  </si>
  <si>
    <r>
      <t>Kolano 90°</t>
    </r>
    <r>
      <rPr>
        <sz val="9.9"/>
        <color indexed="8"/>
        <rFont val="Roboto Condensed"/>
        <charset val="238"/>
      </rPr>
      <t xml:space="preserve"> z mufą łączącą z EPP, DN180</t>
    </r>
  </si>
  <si>
    <r>
      <t>•</t>
    </r>
    <r>
      <rPr>
        <sz val="9.35"/>
        <color theme="1"/>
        <rFont val="Roboto Condensed"/>
        <charset val="238"/>
      </rPr>
      <t xml:space="preserve"> </t>
    </r>
    <r>
      <rPr>
        <sz val="11"/>
        <color theme="1"/>
        <rFont val="Roboto Condensed"/>
        <charset val="238"/>
      </rPr>
      <t>Ewentualny kominek będzie pobierał powietrze do spalania odzielnym kanałem z zewnątrz</t>
    </r>
  </si>
  <si>
    <t>Lista wentylowanych pomieszczeń</t>
  </si>
  <si>
    <r>
      <t>m</t>
    </r>
    <r>
      <rPr>
        <vertAlign val="superscript"/>
        <sz val="9"/>
        <color rgb="FF585858"/>
        <rFont val="Roboto Condensed"/>
        <charset val="238"/>
      </rPr>
      <t>3</t>
    </r>
    <r>
      <rPr>
        <sz val="9"/>
        <color rgb="FF585858"/>
        <rFont val="Roboto Condensed"/>
        <charset val="238"/>
      </rPr>
      <t>/h</t>
    </r>
  </si>
  <si>
    <r>
      <t>[m</t>
    </r>
    <r>
      <rPr>
        <vertAlign val="superscript"/>
        <sz val="9"/>
        <color theme="1" tint="0.34998626667073579"/>
        <rFont val="Roboto Condensed"/>
        <charset val="238"/>
      </rPr>
      <t>2</t>
    </r>
    <r>
      <rPr>
        <sz val="9"/>
        <color theme="1" tint="0.34998626667073579"/>
        <rFont val="Roboto Condensed"/>
        <charset val="238"/>
      </rPr>
      <t>]</t>
    </r>
  </si>
  <si>
    <r>
      <t>[m</t>
    </r>
    <r>
      <rPr>
        <vertAlign val="superscript"/>
        <sz val="9"/>
        <color theme="1" tint="0.34998626667073579"/>
        <rFont val="Roboto Condensed"/>
        <charset val="238"/>
      </rPr>
      <t>3</t>
    </r>
    <r>
      <rPr>
        <sz val="9"/>
        <color theme="1" tint="0.34998626667073579"/>
        <rFont val="Roboto Condensed"/>
        <charset val="238"/>
      </rPr>
      <t>]</t>
    </r>
  </si>
  <si>
    <t>Program doborowy centralnej wentylacji mechanicznej z odzyskiem ciepła</t>
  </si>
  <si>
    <t>Funkcja</t>
  </si>
  <si>
    <r>
      <t>min. m</t>
    </r>
    <r>
      <rPr>
        <vertAlign val="superscript"/>
        <sz val="9"/>
        <color rgb="FF585858"/>
        <rFont val="Roboto Condensed"/>
        <charset val="238"/>
      </rPr>
      <t>3</t>
    </r>
    <r>
      <rPr>
        <sz val="9"/>
        <color rgb="FF585858"/>
        <rFont val="Roboto Condensed"/>
        <charset val="238"/>
      </rPr>
      <t>/h</t>
    </r>
  </si>
  <si>
    <t>-------- NAWIEW --------</t>
  </si>
  <si>
    <t>-------- WYWIEW --------</t>
  </si>
  <si>
    <r>
      <t>norma m</t>
    </r>
    <r>
      <rPr>
        <vertAlign val="superscript"/>
        <sz val="9"/>
        <color rgb="FF585858"/>
        <rFont val="Roboto Condensed"/>
        <charset val="238"/>
      </rPr>
      <t>3</t>
    </r>
    <r>
      <rPr>
        <sz val="9"/>
        <color rgb="FF585858"/>
        <rFont val="Roboto Condensed"/>
        <charset val="238"/>
      </rPr>
      <t>/h</t>
    </r>
  </si>
  <si>
    <t>naw.wyw.</t>
  </si>
  <si>
    <t>Łączna powierzchnia wentylowana</t>
  </si>
  <si>
    <t>Łączna kubatura wentylowana</t>
  </si>
  <si>
    <t>Pom.</t>
  </si>
  <si>
    <t>Ilość osob</t>
  </si>
  <si>
    <t>Norma</t>
  </si>
  <si>
    <t>Branża</t>
  </si>
  <si>
    <r>
      <t>[m</t>
    </r>
    <r>
      <rPr>
        <vertAlign val="superscript"/>
        <sz val="9"/>
        <color rgb="FF585858"/>
        <rFont val="Roboto Condensed"/>
        <charset val="238"/>
      </rPr>
      <t>2</t>
    </r>
    <r>
      <rPr>
        <sz val="9"/>
        <color rgb="FF585858"/>
        <rFont val="Roboto Condensed"/>
        <charset val="238"/>
      </rPr>
      <t>]</t>
    </r>
  </si>
  <si>
    <r>
      <t>[m</t>
    </r>
    <r>
      <rPr>
        <vertAlign val="superscript"/>
        <sz val="9"/>
        <color rgb="FF585858"/>
        <rFont val="Roboto Condensed"/>
        <charset val="238"/>
      </rPr>
      <t>3</t>
    </r>
    <r>
      <rPr>
        <sz val="9"/>
        <color rgb="FF585858"/>
        <rFont val="Roboto Condensed"/>
        <charset val="238"/>
      </rPr>
      <t>]</t>
    </r>
  </si>
  <si>
    <r>
      <t>[m</t>
    </r>
    <r>
      <rPr>
        <vertAlign val="superscript"/>
        <sz val="9"/>
        <color rgb="FF585858"/>
        <rFont val="Roboto Condensed"/>
        <charset val="238"/>
      </rPr>
      <t>3</t>
    </r>
    <r>
      <rPr>
        <sz val="9"/>
        <color rgb="FF585858"/>
        <rFont val="Roboto Condensed"/>
        <charset val="238"/>
      </rPr>
      <t>/h]</t>
    </r>
  </si>
  <si>
    <t>Wskaźnik wymiany</t>
  </si>
  <si>
    <t>[1/]</t>
  </si>
  <si>
    <t>Rura 63</t>
  </si>
  <si>
    <t>przepływ normalny</t>
  </si>
  <si>
    <t>przepływ cichy</t>
  </si>
  <si>
    <t>Ilość rur (normalny)</t>
  </si>
  <si>
    <t>Ilość zaworów (normalny)</t>
  </si>
  <si>
    <t>Ilość rur (cichy)</t>
  </si>
  <si>
    <t>Ilość zaworów (cichy)</t>
  </si>
  <si>
    <t>Ilość zaworów (nawiew)</t>
  </si>
  <si>
    <t>normalny 25m3/h</t>
  </si>
  <si>
    <t>Ilość zaworów (wywiew)</t>
  </si>
  <si>
    <t>Ilość rozdzielaczy 12x (nawiew)</t>
  </si>
  <si>
    <t>Ilość rozdzielaczy 12x (wywiew)</t>
  </si>
  <si>
    <t>Ilość rozdzielaczy 18x (nawiew)</t>
  </si>
  <si>
    <t>Ilość rozdzielaczy 18x (wywiew)</t>
  </si>
  <si>
    <t>cichy 20m3/h</t>
  </si>
  <si>
    <t>Ilość wentylowanych pomieszczeń</t>
  </si>
  <si>
    <t>0.12</t>
  </si>
  <si>
    <t>Wybór</t>
  </si>
  <si>
    <t>Ilość rur (normalny) nawiew</t>
  </si>
  <si>
    <t>Ilość rur (normalny) wywiew</t>
  </si>
  <si>
    <t>Ilość rur (cichy) nawiew</t>
  </si>
  <si>
    <t>Ilość rur (cichy) wywiew</t>
  </si>
  <si>
    <t>Rura 75</t>
  </si>
  <si>
    <t>normalny 35m3/h</t>
  </si>
  <si>
    <t>Lista N</t>
  </si>
  <si>
    <t>Nr</t>
  </si>
  <si>
    <t>Lista W</t>
  </si>
  <si>
    <r>
      <t>m</t>
    </r>
    <r>
      <rPr>
        <i/>
        <vertAlign val="superscript"/>
        <sz val="10"/>
        <color rgb="FF585858"/>
        <rFont val="Roboto Condensed"/>
        <charset val="238"/>
      </rPr>
      <t>3</t>
    </r>
    <r>
      <rPr>
        <i/>
        <sz val="10"/>
        <color rgb="FF585858"/>
        <rFont val="Roboto Condensed"/>
        <charset val="238"/>
      </rPr>
      <t>/h</t>
    </r>
  </si>
  <si>
    <t>Uproszczony schemat instalacji</t>
  </si>
  <si>
    <t>Sortowanie_nawiew</t>
  </si>
  <si>
    <t>Sortowanie_wywiew</t>
  </si>
  <si>
    <t>System dystrybucji powietrza  |  okrągły Φ63</t>
  </si>
  <si>
    <t>Powierzchnia wentylowana budynku</t>
  </si>
  <si>
    <t>Strumień powietrza nawiewanego do pomieszczeń</t>
  </si>
  <si>
    <t>Strumień powietrza wywiewanego z pomieszczeń</t>
  </si>
  <si>
    <r>
      <t xml:space="preserve">BUDYNEK </t>
    </r>
    <r>
      <rPr>
        <sz val="14"/>
        <color theme="1" tint="0.34998626667073579"/>
        <rFont val="Roboto Condensed"/>
        <charset val="238"/>
      </rPr>
      <t>podsumowanie</t>
    </r>
  </si>
  <si>
    <t>Wprowadzona wentylowana powierzchnia budynku</t>
  </si>
  <si>
    <t>Różnica</t>
  </si>
  <si>
    <t>Szacowana krotność wymiany powietrza</t>
  </si>
  <si>
    <t>Wymiana grawitacja</t>
  </si>
  <si>
    <t>m3</t>
  </si>
  <si>
    <t>Energia elektryczna zużywana przez centralę wentylacyjną</t>
  </si>
  <si>
    <t>Energia elektryczna zużywana przez nagrzewnicą wstępną</t>
  </si>
  <si>
    <t>Energia cieplna utracona w wyniku niekontrolowanej wymiany powietrza</t>
  </si>
  <si>
    <t>Energia cieplna utracona wynikająca ze sprawnoości centrali wentylacyjnej</t>
  </si>
  <si>
    <r>
      <t xml:space="preserve">[kWh </t>
    </r>
    <r>
      <rPr>
        <vertAlign val="subscript"/>
        <sz val="9"/>
        <color rgb="FF585858"/>
        <rFont val="Roboto Condensed"/>
        <charset val="238"/>
      </rPr>
      <t xml:space="preserve">termiczna </t>
    </r>
    <r>
      <rPr>
        <sz val="9"/>
        <color rgb="FF585858"/>
        <rFont val="Roboto Condensed"/>
        <charset val="238"/>
      </rPr>
      <t>]</t>
    </r>
  </si>
  <si>
    <r>
      <t xml:space="preserve">[kWh </t>
    </r>
    <r>
      <rPr>
        <vertAlign val="subscript"/>
        <sz val="9"/>
        <color rgb="FF585858"/>
        <rFont val="Roboto Condensed"/>
        <charset val="238"/>
      </rPr>
      <t xml:space="preserve">elektryczna </t>
    </r>
    <r>
      <rPr>
        <sz val="9"/>
        <color rgb="FF585858"/>
        <rFont val="Roboto Condensed"/>
        <charset val="238"/>
      </rPr>
      <t>]</t>
    </r>
  </si>
  <si>
    <t>Bilans energetyczny</t>
  </si>
  <si>
    <t xml:space="preserve">Arkusz kalkulacyjny nie może zastąpić fachowego projektu instalacji wentylacji mechanicznej wykonanego przez projektanta z odpowiednimi uprawnieniami.
Autor arkusza kalkulacyjnego nie ponosi odpowiedzialności za błędy ukryte w arkuszu, oraz za wszelkie negatywne skutki i straty wynikające z jego użytkowania. </t>
  </si>
  <si>
    <t>Pompa ciepła AW</t>
  </si>
  <si>
    <t>Pompa ciepła BW</t>
  </si>
  <si>
    <t>Powietrze nawiewane</t>
  </si>
  <si>
    <t>Powietrze wywiewane</t>
  </si>
  <si>
    <t>Szacunkowy dobór centrali wentylacyjnej i systemu dystrybucji powietrza</t>
  </si>
  <si>
    <t>do sterowania i diagnostyki centrali Vitovent</t>
  </si>
  <si>
    <t>Centrala wentylacyjna</t>
  </si>
  <si>
    <t>Sterowanie</t>
  </si>
  <si>
    <t>Moc akustyczna</t>
  </si>
  <si>
    <t>Element usztywniający do skrzynki anemostatu</t>
  </si>
  <si>
    <t>Czerpnia/wyrzutnia ścienna z rurą</t>
  </si>
  <si>
    <t>Elementy uzupełniające</t>
  </si>
  <si>
    <t>Przewód połączeniowy Vitocal (WO1C)</t>
  </si>
  <si>
    <t>ZK06219</t>
  </si>
  <si>
    <t>ZK06220</t>
  </si>
  <si>
    <t>ZK06221</t>
  </si>
  <si>
    <t>Przewód komunikacyjny Can-Bus 30m</t>
  </si>
  <si>
    <t>Przewód komunikacyjny Can-Bus 15m</t>
  </si>
  <si>
    <t>Przewód komunikacyjny Can-Bus 5m</t>
  </si>
  <si>
    <t>Nagrzewnica elektryczna powietrza 1,8kW</t>
  </si>
  <si>
    <t>Vitoair FS 300E MA 300m3/h</t>
  </si>
  <si>
    <t>Vitotrol 300-E</t>
  </si>
  <si>
    <t>Dobór centrali</t>
  </si>
  <si>
    <t>Zasilacz do 300-E do montażu podtynkowego</t>
  </si>
  <si>
    <t>ZK03842</t>
  </si>
  <si>
    <t>Przełącznik 4-stopniowy</t>
  </si>
  <si>
    <t>Wybor:</t>
  </si>
  <si>
    <t>Moduł obsługowy ścienny LB1</t>
  </si>
  <si>
    <t>Vitoair</t>
  </si>
  <si>
    <t>Vitovent</t>
  </si>
  <si>
    <t>x</t>
  </si>
  <si>
    <t>spr.</t>
  </si>
  <si>
    <t>wydajność</t>
  </si>
  <si>
    <t>opór</t>
  </si>
  <si>
    <t>spr. Ciepło</t>
  </si>
  <si>
    <t>spr. Wilgoć</t>
  </si>
  <si>
    <t>Wymiary DxWxS</t>
  </si>
  <si>
    <t>1254 x 244 x 800</t>
  </si>
  <si>
    <t>Odpływ kondensatu</t>
  </si>
  <si>
    <t>Rodzaj wymiennika</t>
  </si>
  <si>
    <t>Krzyżowy, entalpiczny</t>
  </si>
  <si>
    <t>Krzyżowy</t>
  </si>
  <si>
    <t>Klapa bypas</t>
  </si>
  <si>
    <t>Nagrzewnica elektryczna</t>
  </si>
  <si>
    <t>Tak, 1kW</t>
  </si>
  <si>
    <t>Sterowanie ręczne</t>
  </si>
  <si>
    <t>Sterowanie czasowe</t>
  </si>
  <si>
    <t>Sterowanie centralne wg zapotrzebowania</t>
  </si>
  <si>
    <t>Sterowanie lokalne według zapotrzebowania</t>
  </si>
  <si>
    <t>-</t>
  </si>
  <si>
    <t>560 x 695 x 750</t>
  </si>
  <si>
    <t>455 x 650 x 600</t>
  </si>
  <si>
    <t>Wymiary zewnętrzne D x W x S</t>
  </si>
  <si>
    <t>Rodzaj wymiennika ciepła</t>
  </si>
  <si>
    <t>Klapa bypass</t>
  </si>
  <si>
    <t>Nagrzewnica powietrza zewnęrznego</t>
  </si>
  <si>
    <t>Opcja 1,8kW</t>
  </si>
  <si>
    <t>Sprawność temperaturowa ErP</t>
  </si>
  <si>
    <t>Stopień zmiany wilgotności</t>
  </si>
  <si>
    <t>[%]</t>
  </si>
  <si>
    <t>[mm]</t>
  </si>
  <si>
    <t>do obsługi zdalnej centrali wentylacyjnej</t>
  </si>
  <si>
    <t>Can-Bus</t>
  </si>
  <si>
    <t>ViCare</t>
  </si>
  <si>
    <t>Mod-Bus</t>
  </si>
  <si>
    <t>Stand Alone</t>
  </si>
  <si>
    <t>Radio</t>
  </si>
  <si>
    <t>Przełącznik
4-pozycyjny</t>
  </si>
  <si>
    <t>Komunikacja</t>
  </si>
  <si>
    <t>Sterowanie 2</t>
  </si>
  <si>
    <t>Sprawdzenie kompatybilności</t>
  </si>
  <si>
    <t>System dystrybucji  //  po stronie pomieszczeń</t>
  </si>
  <si>
    <t>System dystrybucji  //  po stronie zewnętrznej</t>
  </si>
  <si>
    <t>Cena:</t>
  </si>
  <si>
    <t>1 rolka = 50 m długości</t>
  </si>
  <si>
    <t>Pozdzielacz powietrza pojedynczy</t>
  </si>
  <si>
    <t>Rozdzielacz powietrza podwójny</t>
  </si>
  <si>
    <t>Do nawiewania powietrza świeżego do pomieszczenia</t>
  </si>
  <si>
    <t>Poprawia osadzanie anemostatów w skrzynkach</t>
  </si>
  <si>
    <t>Skrzynka rozprężna do mocowania anemostatu</t>
  </si>
  <si>
    <t>Do bezpośredniego podłączenia kanału izolowanego 200/174</t>
  </si>
  <si>
    <t>Do przyłączenia kanału 200/174 do króćców centrali</t>
  </si>
  <si>
    <r>
      <t>1 sztuka = 2 m długości, przepływ maksymalny 400 m</t>
    </r>
    <r>
      <rPr>
        <i/>
        <vertAlign val="superscript"/>
        <sz val="9"/>
        <color theme="1" tint="0.34998626667073579"/>
        <rFont val="Roboto Condensed"/>
        <charset val="238"/>
      </rPr>
      <t>3</t>
    </r>
    <r>
      <rPr>
        <i/>
        <sz val="9"/>
        <color theme="1" tint="0.34998626667073579"/>
        <rFont val="Roboto Condensed"/>
        <charset val="238"/>
      </rPr>
      <t>/h</t>
    </r>
  </si>
  <si>
    <t>Do szybkiego i precyzyjnego obcinania rur</t>
  </si>
  <si>
    <t>Do szczelnego łączenia kanałów elastycznych DN63</t>
  </si>
  <si>
    <t>Do przedłużenia króćca przyłączeniowego skrzynki rozpr.</t>
  </si>
  <si>
    <t>Do zmiany kierunku kanałów izolowanych 200/174</t>
  </si>
  <si>
    <t>Do rozdzielenia kanału izolowanego 200/174</t>
  </si>
  <si>
    <t>Sterowanie przez aplikację ViCare</t>
  </si>
  <si>
    <t>Adres inwestycji</t>
  </si>
  <si>
    <t>Partner Viessmann</t>
  </si>
  <si>
    <t>Koszt utraconej energii</t>
  </si>
  <si>
    <t>Koszt pracy centrali</t>
  </si>
  <si>
    <t>wentylacja mechaniczna</t>
  </si>
  <si>
    <t xml:space="preserve">     wentylacja naturalna</t>
  </si>
  <si>
    <t>3A</t>
  </si>
  <si>
    <t>ZK03025</t>
  </si>
  <si>
    <t>Przpust przez ścianę zewnętrzną EPP DN125</t>
  </si>
  <si>
    <t>Przpust przez ścianę zewnętrzną EPP DN160</t>
  </si>
  <si>
    <t>Przpust przez ścianę zewnętrzną EPP DN180</t>
  </si>
  <si>
    <t>ZK03026</t>
  </si>
  <si>
    <t>ZK03027</t>
  </si>
  <si>
    <t>Element przyłączeniowy rozdzielacza DN125</t>
  </si>
  <si>
    <t>ZK01866</t>
  </si>
  <si>
    <t>Element przyłączeniowy rozdzielacza DN160</t>
  </si>
  <si>
    <t>Element przyłączeniowy rozdzielacza DN180</t>
  </si>
  <si>
    <t>ZK01868</t>
  </si>
  <si>
    <t>ZK01867</t>
  </si>
  <si>
    <t>Z023107</t>
  </si>
  <si>
    <t>Kanał elastyczny okrągły DN75, 25 m</t>
  </si>
  <si>
    <t>Kanał elastyczny okrągły DN75, 50 m</t>
  </si>
  <si>
    <t>Łącznik kanałów DN75</t>
  </si>
  <si>
    <t>Kolano 90, DN75</t>
  </si>
  <si>
    <t>Opis</t>
  </si>
  <si>
    <t>Do zmiany kierunki w ciasnych miejscach, możliwość przycięcia i podłączenia wrost do rozdzielacza</t>
  </si>
  <si>
    <t>Do połączenia dwóch kanałów powietrza DN75</t>
  </si>
  <si>
    <t>Krąg o długości 25 m, nadrukowane znaczniki długości, powierzchnia antybakteryjna i antystatyczna</t>
  </si>
  <si>
    <t>Do  późniejszego demontażu systemu rozdziału powietrza</t>
  </si>
  <si>
    <t>Z możliwością podziału i stosowania jako konalo 45</t>
  </si>
  <si>
    <t>Skrzynka rozprężna DN125 dla 2 kanałów DN75</t>
  </si>
  <si>
    <t>Nóż do cięcia kanałów płaskich i okrągłych</t>
  </si>
  <si>
    <t>Zestawienie danych</t>
  </si>
  <si>
    <t>Bilans energetyczny i analiza ekonomiczna</t>
  </si>
  <si>
    <t>Informacje dodatkowe</t>
  </si>
  <si>
    <t>System dystrybucji powietrza  |  okrągły Φ75</t>
  </si>
  <si>
    <t>Króćce</t>
  </si>
  <si>
    <t>Wybor 63:</t>
  </si>
  <si>
    <t>Króćce 63</t>
  </si>
  <si>
    <t>Do wywiewania powietrza z pomieszczenia</t>
  </si>
  <si>
    <t>Krąg o długości 50 m, nadrukowane znaczniki długości, powierzchnia antybakteryjna i antystatyczna</t>
  </si>
  <si>
    <t/>
  </si>
  <si>
    <r>
      <t>[m</t>
    </r>
    <r>
      <rPr>
        <vertAlign val="superscript"/>
        <sz val="10"/>
        <color theme="0"/>
        <rFont val="Roboto Condensed"/>
        <charset val="238"/>
      </rPr>
      <t>3</t>
    </r>
    <r>
      <rPr>
        <sz val="10"/>
        <color theme="0"/>
        <rFont val="Roboto Condensed"/>
        <charset val="238"/>
      </rPr>
      <t>/h]</t>
    </r>
  </si>
  <si>
    <t>Wybor 75:</t>
  </si>
  <si>
    <t>Króćce 75</t>
  </si>
  <si>
    <t>FS</t>
  </si>
  <si>
    <t>300E MA</t>
  </si>
  <si>
    <t>Opcja</t>
  </si>
  <si>
    <t>Tak, double</t>
  </si>
  <si>
    <t>App, 300-E</t>
  </si>
  <si>
    <t>Tak, E3</t>
  </si>
  <si>
    <t>Sprawność odzysku wilgoci</t>
  </si>
  <si>
    <t>(rabat na system)</t>
  </si>
  <si>
    <t>Raport wprowadzonych zmian</t>
  </si>
  <si>
    <t>Start</t>
  </si>
  <si>
    <t>bez ViCare App</t>
  </si>
  <si>
    <t>Bilans ruchu powietrza</t>
  </si>
  <si>
    <t>Vitoair FS 300E MA</t>
  </si>
  <si>
    <t xml:space="preserve">       Vitovent 300-W</t>
  </si>
  <si>
    <t>Potrzebne osoby?</t>
  </si>
  <si>
    <t>Gaz płynny</t>
  </si>
  <si>
    <t>System dystrybucji powietrza  |  okrągły Φ90</t>
  </si>
  <si>
    <t>Rura 90</t>
  </si>
  <si>
    <t>normalny 55m3/h</t>
  </si>
  <si>
    <t>Kanał elastyczny okrągły DN90, 25 m</t>
  </si>
  <si>
    <t>Kanał elastyczny okrągły DN90, 50 m</t>
  </si>
  <si>
    <t>Z023110</t>
  </si>
  <si>
    <t>Skrzynka rozprężna DN125 dla 1 kanału DN90</t>
  </si>
  <si>
    <t>1 króciec przyłączeniowy DN90</t>
  </si>
  <si>
    <t>9A</t>
  </si>
  <si>
    <t>Łącznik kanałów DN90</t>
  </si>
  <si>
    <t>Kolano 90, DN90</t>
  </si>
  <si>
    <t>ZK01816</t>
  </si>
  <si>
    <t>Zalecany w celu wykluczenia odgłosów przepływu powietrza przy dużych różnicach ciśnienia.</t>
  </si>
  <si>
    <t>R system</t>
  </si>
  <si>
    <t>R centrala</t>
  </si>
  <si>
    <t>Dodano obliczenia dla systemu opartego o kanały okrągłe DN90</t>
  </si>
  <si>
    <t>Zmieniono drobne opisy w programie</t>
  </si>
  <si>
    <t>Termin zmiany</t>
  </si>
  <si>
    <t>Komentarz</t>
  </si>
  <si>
    <t>informacyjna</t>
  </si>
  <si>
    <t>istotna</t>
  </si>
  <si>
    <t>Status</t>
  </si>
  <si>
    <t xml:space="preserve">Aktualizacja cen </t>
  </si>
  <si>
    <t>H32S C225</t>
  </si>
  <si>
    <t>Inwestor</t>
  </si>
  <si>
    <t>Usunięcie błędu w oznaczeniach średnic kanałów wybranych central wentylacyjnych</t>
  </si>
  <si>
    <t>Element dławiący okrągły DN75 10 sztuk</t>
  </si>
  <si>
    <t>Element dławiący okrągły DN90 10 sztuk</t>
  </si>
  <si>
    <t>Aktualizacja cen na styczeń 2023</t>
  </si>
  <si>
    <t>PanD, 2023</t>
  </si>
  <si>
    <t>Skrzynka rozdzielacza XS</t>
  </si>
  <si>
    <t>Skrzynka rozdzielacza S</t>
  </si>
  <si>
    <t>Skrzynka rozdzielacza M</t>
  </si>
  <si>
    <t>Skrzynka rozdzielacza L</t>
  </si>
  <si>
    <t>Skrzynka rozdzielacza XL</t>
  </si>
  <si>
    <t>Zintegrowany tłumik hałasów, montaż płyty przyłączeniowej z przodu lub od góry, 266 x 328 x 249</t>
  </si>
  <si>
    <t>Zintegrowany tłumik hałasów, montaż płyty przyłączeniowej z przodu lub od góry, 360 x 238 x 249</t>
  </si>
  <si>
    <t>Zintegrowany tłumik hałasów, montaż płyty przyłączeniowej z przodu lub od góry, 470 x 238 x 249</t>
  </si>
  <si>
    <t>Zintegrowany tłumik hałasów, montaż płyty przyłączeniowej z przodu lub od góry, 582 x 238 x 249</t>
  </si>
  <si>
    <t>Zintegrowany tłumik hałasów, montaż płyty przyłączeniowej z przodu lub od góry, 695 x 238 x 249</t>
  </si>
  <si>
    <t>5XS</t>
  </si>
  <si>
    <t>5S</t>
  </si>
  <si>
    <t>5M</t>
  </si>
  <si>
    <t>5L</t>
  </si>
  <si>
    <t>5XL</t>
  </si>
  <si>
    <t>Płyta przyłączeniowa XS 4 kanały DN75</t>
  </si>
  <si>
    <t>Płyta przyłączeniowa S 6 kanały DN75</t>
  </si>
  <si>
    <t>6XS</t>
  </si>
  <si>
    <t>6S</t>
  </si>
  <si>
    <t>6M</t>
  </si>
  <si>
    <t>6L</t>
  </si>
  <si>
    <t>6XL</t>
  </si>
  <si>
    <t>Płyta przyłączeniowa M 8 kanałów DN75</t>
  </si>
  <si>
    <t>Płyta przyłączeniowa L 10 kanałów DN75</t>
  </si>
  <si>
    <t>Płyta przyłączeniowa XL 12 kanałów DN75</t>
  </si>
  <si>
    <t>Płyta przyłączeniowa S 6 kanały DN90</t>
  </si>
  <si>
    <t>Płyta przyłączeniowa M 8 kanałów DN90</t>
  </si>
  <si>
    <t>Płyta przyłączeniowa L 10 kanałów DN90</t>
  </si>
  <si>
    <t>Płyta przyłączeniowa XL 12 kanałów DN90</t>
  </si>
  <si>
    <t>Do montażu w module skrzynki rozdzielaczowej typu XS, w zakresie dostawy 1 korek zaślepiający</t>
  </si>
  <si>
    <t>Do montażu w module skrzynki rozdzielaczowej typu S, w zakresie dostawy 1 korek zaślepiający</t>
  </si>
  <si>
    <t>Do montażu w module skrzynki rozdzielaczowej typu M, w zakresie dostawy 1 korek zaślepiający</t>
  </si>
  <si>
    <t>Do montażu w module skrzynki rozdzielaczowej typu L, w zakresie dostawy 1 korek zaślepiający</t>
  </si>
  <si>
    <t>Do montażu w module skrzynki rozdzielaczowej typu XL, w zakresie dostawy 1 korek zaślepiający</t>
  </si>
  <si>
    <t>Płyta przyłączeniowa XS 4 kanały DN90</t>
  </si>
  <si>
    <t>7XS</t>
  </si>
  <si>
    <t>7M</t>
  </si>
  <si>
    <t>7L</t>
  </si>
  <si>
    <t>7XL</t>
  </si>
  <si>
    <t>7S</t>
  </si>
  <si>
    <t>Skrzynka rozprężna DN125, prosta dla 2 kanałów DN75</t>
  </si>
  <si>
    <t>2 króćce przyłączeniowe DN75</t>
  </si>
  <si>
    <t>Skrzynka rozprężna DN125, prosta dla 2 kanałów DN90</t>
  </si>
  <si>
    <t>Element dławiący okrągły dla skrzynki rozprężnej</t>
  </si>
  <si>
    <t>Uniwersalny do kanałów okrągłych i płaskich</t>
  </si>
  <si>
    <t>Do przyłączenia kanału powietrza do rozdzielacza</t>
  </si>
  <si>
    <t>Rozdzielacz</t>
  </si>
  <si>
    <t>Rozmiar rozdzielacza (wywiew)</t>
  </si>
  <si>
    <t>Rozmiasr rozdzielacza (nawiew)</t>
  </si>
  <si>
    <t>Vitovent 300-W 600m3/h lewa</t>
  </si>
  <si>
    <t>Vitovent 300-W 600m3/h prawa</t>
  </si>
  <si>
    <t>660 x 800 x 850</t>
  </si>
  <si>
    <t>Wytyczne projektowe</t>
  </si>
  <si>
    <t>Jadalnia - wywiew</t>
  </si>
  <si>
    <t>Jadalnia - nawiew</t>
  </si>
  <si>
    <t>H32S A600</t>
  </si>
  <si>
    <t>Aktualizacja zakresu oferty komponentów systemu dystrybucji powietrza</t>
  </si>
  <si>
    <r>
      <t>Nowa centrala Vitovent 300-W o wydajności 600 m</t>
    </r>
    <r>
      <rPr>
        <vertAlign val="superscript"/>
        <sz val="11"/>
        <color theme="1" tint="0.34998626667073579"/>
        <rFont val="Roboto Condensed"/>
        <charset val="238"/>
      </rPr>
      <t>3</t>
    </r>
    <r>
      <rPr>
        <sz val="11"/>
        <color theme="1" tint="0.34998626667073579"/>
        <rFont val="Roboto Condensed"/>
        <charset val="238"/>
      </rPr>
      <t>/h</t>
    </r>
  </si>
  <si>
    <r>
      <t>Energia cieplna i elektryczna wymagana dla wentylacji</t>
    </r>
    <r>
      <rPr>
        <u/>
        <sz val="11"/>
        <color theme="1" tint="0.34998626667073579"/>
        <rFont val="Roboto Condensed"/>
        <charset val="238"/>
      </rPr>
      <t xml:space="preserve"> </t>
    </r>
    <r>
      <rPr>
        <b/>
        <sz val="11"/>
        <color theme="1" tint="0.34998626667073579"/>
        <rFont val="Roboto Condensed"/>
        <charset val="238"/>
      </rPr>
      <t>mechanicznej</t>
    </r>
    <r>
      <rPr>
        <sz val="11"/>
        <color theme="1" tint="0.34998626667073579"/>
        <rFont val="Roboto Condensed"/>
        <charset val="238"/>
      </rPr>
      <t xml:space="preserve"> z odzyskiem ciepła</t>
    </r>
  </si>
  <si>
    <r>
      <t xml:space="preserve">Energia cieplna wymagana dla wentylacji </t>
    </r>
    <r>
      <rPr>
        <b/>
        <sz val="11"/>
        <color theme="1" tint="0.34998626667073579"/>
        <rFont val="Roboto Condensed"/>
        <charset val="238"/>
      </rPr>
      <t>grawitacyjnej</t>
    </r>
    <r>
      <rPr>
        <sz val="11"/>
        <color theme="1" tint="0.34998626667073579"/>
        <rFont val="Roboto Condensed"/>
        <charset val="238"/>
      </rPr>
      <t xml:space="preserve">
</t>
    </r>
    <r>
      <rPr>
        <i/>
        <sz val="11"/>
        <color theme="1" tint="0.34998626667073579"/>
        <rFont val="Roboto Condensed"/>
        <charset val="238"/>
      </rPr>
      <t>(obliczenia dla poprawnie pracującej wentylacji)</t>
    </r>
  </si>
  <si>
    <t>18x63=</t>
  </si>
  <si>
    <t>12x63=</t>
  </si>
  <si>
    <t>Wybor 90:</t>
  </si>
  <si>
    <t>Poprawki i aktualizacje danych</t>
  </si>
  <si>
    <t>Nowe numery i ceny kanałów wentylacyjnych DN63, DN75 i DN90</t>
  </si>
  <si>
    <t>Drobne poprawki</t>
  </si>
  <si>
    <t>Stare ceny</t>
  </si>
  <si>
    <t>Nowe ceny</t>
  </si>
  <si>
    <t>Rury główne</t>
  </si>
  <si>
    <t>Wariant 1</t>
  </si>
  <si>
    <t>Wariant 2</t>
  </si>
  <si>
    <t>Rura flex z izolacją 25 mm --- na odcinku czerpnia/wyrzutnia a centrala wentylacyjna</t>
  </si>
  <si>
    <t>Rura flex bez izolacji --- na odcinku pomiędzy centralą wentylacyjną a rozdzielaczem kanałów</t>
  </si>
  <si>
    <t>Cena sztuki</t>
  </si>
  <si>
    <t>Ilość</t>
  </si>
  <si>
    <t>Cena</t>
  </si>
  <si>
    <t>Cena specjalna</t>
  </si>
  <si>
    <t>Rura Flex bez izolacji DN180 10 m</t>
  </si>
  <si>
    <t>EPP DN180 1m</t>
  </si>
  <si>
    <t>Kolano 90, EPP, DN180</t>
  </si>
  <si>
    <t>Rury EPP : strona pomiędzy centralą a czerpnią/wyrzutnią</t>
  </si>
  <si>
    <t>Rury Flex bez izolacji : strona pomiędzy centralą a rozdzielaczami</t>
  </si>
  <si>
    <t>Kanał izolowany 200/174, DN200/174, 2m</t>
  </si>
  <si>
    <t>Kolano 90 z mufą, DN200/174, DN180</t>
  </si>
  <si>
    <t>Poprawki i aktualizacje danych w systemie DN90</t>
  </si>
  <si>
    <t>Vitoconnect V</t>
  </si>
  <si>
    <t>Z027169</t>
  </si>
  <si>
    <t>Cena 
04/2024</t>
  </si>
  <si>
    <t>Aktualizacja cen kwiecień 2024</t>
  </si>
  <si>
    <r>
      <rPr>
        <i/>
        <sz val="9"/>
        <color rgb="FF585858"/>
        <rFont val="Roboto Condensed"/>
        <charset val="238"/>
      </rPr>
      <t>opcja</t>
    </r>
    <r>
      <rPr>
        <sz val="9"/>
        <color rgb="FF585858"/>
        <rFont val="Roboto Condensed"/>
        <charset val="238"/>
      </rPr>
      <t xml:space="preserve"> Vitocal x5x-A i 2xx-S</t>
    </r>
  </si>
  <si>
    <t>Bramka Vitoconnect V dla centrali Vitovent umożliwia sterowanie przez aplikację ViCare</t>
  </si>
  <si>
    <t>Z029126</t>
  </si>
  <si>
    <t>Z029130</t>
  </si>
  <si>
    <t>Z029128</t>
  </si>
  <si>
    <t>Z029134</t>
  </si>
  <si>
    <t>Z029132</t>
  </si>
  <si>
    <t>Z029127</t>
  </si>
  <si>
    <t>Z029136</t>
  </si>
  <si>
    <t>Z029137</t>
  </si>
  <si>
    <t>Z029138</t>
  </si>
  <si>
    <t>Skrzynka rozdzielacza 8xDN75</t>
  </si>
  <si>
    <t>Skrzynka rozdzielacza 8xDN90</t>
  </si>
  <si>
    <t>Skrzynka rozdzielacza 12xDN75</t>
  </si>
  <si>
    <t>Skrzynka rozdzielacza 12xDN90</t>
  </si>
  <si>
    <t>dop. Strumień 265 m3/h</t>
  </si>
  <si>
    <t>dop. Strumień 400 m3/h</t>
  </si>
  <si>
    <t>dop. Strumień 600 m3/h</t>
  </si>
  <si>
    <t>5A</t>
  </si>
  <si>
    <t>5B</t>
  </si>
  <si>
    <t>5C</t>
  </si>
  <si>
    <t>5D</t>
  </si>
  <si>
    <t>Anemostat nawiewno-wywiewny, biały</t>
  </si>
  <si>
    <t>Anemostat nawiewno-wywiewny, czarny</t>
  </si>
  <si>
    <t>Okrągły (dostępne, czarne, białe, szare, brązowe i niebieski)</t>
  </si>
  <si>
    <t>Bramka internetowa Vitoconnect V</t>
  </si>
  <si>
    <t>Aktualizacja oferty elementów system dystrybucji powietrza DN75 i DN90</t>
  </si>
  <si>
    <t>Cena 2024-08</t>
  </si>
  <si>
    <t>(nie z Vitoconnect V)</t>
  </si>
  <si>
    <t>wersja 17/09/2024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</si>
</sst>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 #,##0.00\ &quot;zł&quot;_-;\-* #,##0.00\ &quot;zł&quot;_-;_-* &quot;-&quot;??\ &quot;zł&quot;_-;_-@_-"/>
    <numFmt numFmtId="164" formatCode="#,##0.00\ &quot;zł&quot;"/>
    <numFmt numFmtId="165" formatCode="0.0"/>
    <numFmt numFmtId="166" formatCode="0.000"/>
  </numFmts>
  <fonts count="173">
    <font>
      <sz val="11"/>
      <color theme="1"/>
      <name val="Calibri"/>
      <family val="2"/>
      <charset val="238"/>
      <scheme val="minor"/>
    </font>
    <font>
      <sz val="10"/>
      <color theme="1"/>
      <name val="Calibri"/>
      <family val="2"/>
      <charset val="238"/>
      <scheme val="minor"/>
    </font>
    <font>
      <b/>
      <sz val="11"/>
      <color theme="1"/>
      <name val="Calibri"/>
      <family val="2"/>
      <charset val="238"/>
      <scheme val="minor"/>
    </font>
    <font>
      <sz val="11"/>
      <color theme="0"/>
      <name val="Calibri"/>
      <family val="2"/>
      <charset val="238"/>
      <scheme val="minor"/>
    </font>
    <font>
      <sz val="11"/>
      <color indexed="8"/>
      <name val="Czcionka tekstu podstawowego"/>
      <family val="2"/>
      <charset val="238"/>
    </font>
    <font>
      <b/>
      <sz val="11"/>
      <color indexed="8"/>
      <name val="Czcionka tekstu podstawowego"/>
      <charset val="238"/>
    </font>
    <font>
      <sz val="11"/>
      <color theme="1"/>
      <name val="Calibri"/>
      <family val="2"/>
      <charset val="238"/>
    </font>
    <font>
      <sz val="11"/>
      <color theme="1"/>
      <name val="PiktosKlima"/>
    </font>
    <font>
      <sz val="14"/>
      <color rgb="FFFF0000"/>
      <name val="PiktosKlima"/>
    </font>
    <font>
      <sz val="12"/>
      <color theme="1"/>
      <name val="Calibri"/>
      <family val="2"/>
      <charset val="238"/>
      <scheme val="minor"/>
    </font>
    <font>
      <b/>
      <sz val="14"/>
      <color theme="1"/>
      <name val="Calibri"/>
      <family val="2"/>
      <charset val="238"/>
      <scheme val="minor"/>
    </font>
    <font>
      <b/>
      <sz val="14"/>
      <color theme="0"/>
      <name val="Calibri"/>
      <family val="2"/>
      <charset val="238"/>
      <scheme val="minor"/>
    </font>
    <font>
      <i/>
      <sz val="11"/>
      <color rgb="FFC00000"/>
      <name val="Calibri"/>
      <family val="2"/>
      <charset val="238"/>
      <scheme val="minor"/>
    </font>
    <font>
      <b/>
      <i/>
      <u/>
      <sz val="14"/>
      <color theme="1"/>
      <name val="Czcionka tekstu podstawowego"/>
      <charset val="238"/>
    </font>
    <font>
      <b/>
      <sz val="11"/>
      <color theme="1"/>
      <name val="Czcionka tekstu podstawowego"/>
      <charset val="238"/>
    </font>
    <font>
      <sz val="11"/>
      <color theme="1"/>
      <name val="Czcionka tekstu podstawowego"/>
    </font>
    <font>
      <sz val="11"/>
      <name val="Arial"/>
      <family val="2"/>
      <charset val="238"/>
    </font>
    <font>
      <sz val="11"/>
      <color theme="1"/>
      <name val="Czcionka tekstu podstawowego"/>
      <family val="2"/>
      <charset val="238"/>
    </font>
    <font>
      <b/>
      <sz val="10"/>
      <color theme="1"/>
      <name val="Czcionka tekstu podstawowego"/>
      <charset val="238"/>
    </font>
    <font>
      <b/>
      <sz val="10"/>
      <name val="Arial"/>
      <family val="2"/>
    </font>
    <font>
      <b/>
      <u/>
      <sz val="12"/>
      <color theme="1"/>
      <name val="Czcionka tekstu podstawowego"/>
      <charset val="238"/>
    </font>
    <font>
      <sz val="11"/>
      <color theme="1"/>
      <name val="Czcionka tekstu podstawowego"/>
      <charset val="238"/>
    </font>
    <font>
      <sz val="11"/>
      <name val="Calibri"/>
      <family val="2"/>
      <charset val="238"/>
      <scheme val="minor"/>
    </font>
    <font>
      <sz val="11"/>
      <color theme="0" tint="-0.499984740745262"/>
      <name val="Calibri"/>
      <family val="2"/>
      <charset val="238"/>
      <scheme val="minor"/>
    </font>
    <font>
      <b/>
      <sz val="12"/>
      <color theme="1"/>
      <name val="Calibri"/>
      <family val="2"/>
      <charset val="238"/>
      <scheme val="minor"/>
    </font>
    <font>
      <i/>
      <sz val="10"/>
      <color theme="0" tint="-0.499984740745262"/>
      <name val="Calibri"/>
      <family val="2"/>
      <charset val="238"/>
      <scheme val="minor"/>
    </font>
    <font>
      <b/>
      <sz val="9"/>
      <color indexed="81"/>
      <name val="Tahoma"/>
      <family val="2"/>
      <charset val="238"/>
    </font>
    <font>
      <i/>
      <sz val="11"/>
      <color theme="0" tint="-0.499984740745262"/>
      <name val="Calibri"/>
      <family val="2"/>
      <charset val="238"/>
      <scheme val="minor"/>
    </font>
    <font>
      <i/>
      <sz val="11"/>
      <color theme="1"/>
      <name val="Calibri"/>
      <family val="2"/>
      <charset val="238"/>
      <scheme val="minor"/>
    </font>
    <font>
      <b/>
      <sz val="11"/>
      <color theme="0" tint="-0.499984740745262"/>
      <name val="Calibri"/>
      <family val="2"/>
      <charset val="238"/>
      <scheme val="minor"/>
    </font>
    <font>
      <sz val="14"/>
      <color theme="1"/>
      <name val="PiktosKlima"/>
    </font>
    <font>
      <sz val="11"/>
      <color theme="1" tint="0.499984740745262"/>
      <name val="Calibri"/>
      <family val="2"/>
      <charset val="238"/>
      <scheme val="minor"/>
    </font>
    <font>
      <sz val="10"/>
      <color theme="1" tint="0.499984740745262"/>
      <name val="Calibri"/>
      <family val="2"/>
      <charset val="238"/>
      <scheme val="minor"/>
    </font>
    <font>
      <sz val="11"/>
      <color rgb="FFFF0000"/>
      <name val="Calibri"/>
      <family val="2"/>
      <charset val="238"/>
      <scheme val="minor"/>
    </font>
    <font>
      <i/>
      <sz val="10"/>
      <color theme="1" tint="0.499984740745262"/>
      <name val="Calibri"/>
      <family val="2"/>
      <charset val="238"/>
      <scheme val="minor"/>
    </font>
    <font>
      <b/>
      <sz val="12"/>
      <color theme="1" tint="0.499984740745262"/>
      <name val="Calibri"/>
      <family val="2"/>
      <charset val="238"/>
      <scheme val="minor"/>
    </font>
    <font>
      <sz val="11"/>
      <color theme="1" tint="0.499984740745262"/>
      <name val="Calibri"/>
      <family val="2"/>
      <charset val="238"/>
    </font>
    <font>
      <sz val="9.35"/>
      <color theme="1"/>
      <name val="Calibri"/>
      <family val="2"/>
      <charset val="238"/>
    </font>
    <font>
      <b/>
      <sz val="10"/>
      <color theme="1"/>
      <name val="Calibri"/>
      <family val="2"/>
      <charset val="238"/>
      <scheme val="minor"/>
    </font>
    <font>
      <b/>
      <sz val="11"/>
      <color theme="0"/>
      <name val="Czcionka tekstu podstawowego"/>
      <charset val="238"/>
    </font>
    <font>
      <b/>
      <sz val="14"/>
      <name val="Calibri"/>
      <family val="2"/>
      <charset val="238"/>
      <scheme val="minor"/>
    </font>
    <font>
      <b/>
      <sz val="12"/>
      <name val="Calibri"/>
      <family val="2"/>
      <charset val="238"/>
      <scheme val="minor"/>
    </font>
    <font>
      <b/>
      <sz val="14"/>
      <color rgb="FFC00000"/>
      <name val="Calibri"/>
      <family val="2"/>
      <charset val="238"/>
      <scheme val="minor"/>
    </font>
    <font>
      <sz val="11"/>
      <color theme="0"/>
      <name val="Roboto Condensed"/>
      <charset val="238"/>
    </font>
    <font>
      <sz val="11"/>
      <color theme="1"/>
      <name val="Roboto Condensed"/>
      <charset val="238"/>
    </font>
    <font>
      <sz val="10"/>
      <color theme="1"/>
      <name val="Roboto Condensed"/>
      <charset val="238"/>
    </font>
    <font>
      <sz val="10"/>
      <color rgb="FFFF3C09"/>
      <name val="Roboto Condensed"/>
      <charset val="238"/>
    </font>
    <font>
      <sz val="20"/>
      <color theme="0"/>
      <name val="Roboto Condensed"/>
      <charset val="238"/>
    </font>
    <font>
      <i/>
      <sz val="10"/>
      <color theme="0" tint="-0.249977111117893"/>
      <name val="Roboto Condensed"/>
      <charset val="238"/>
    </font>
    <font>
      <sz val="11"/>
      <color theme="1" tint="0.34998626667073579"/>
      <name val="Roboto Condensed"/>
      <charset val="238"/>
    </font>
    <font>
      <sz val="11"/>
      <color rgb="FF585858"/>
      <name val="Roboto Condensed"/>
      <charset val="238"/>
    </font>
    <font>
      <b/>
      <sz val="11"/>
      <color theme="1" tint="0.34998626667073579"/>
      <name val="Roboto Condensed"/>
      <charset val="238"/>
    </font>
    <font>
      <vertAlign val="superscript"/>
      <sz val="11"/>
      <color theme="1" tint="0.34998626667073579"/>
      <name val="Roboto Condensed"/>
      <charset val="238"/>
    </font>
    <font>
      <b/>
      <sz val="9"/>
      <color rgb="FF585858"/>
      <name val="Roboto Condensed"/>
      <charset val="238"/>
    </font>
    <font>
      <b/>
      <sz val="14"/>
      <color rgb="FF585858"/>
      <name val="Roboto Condensed"/>
      <charset val="238"/>
    </font>
    <font>
      <sz val="9"/>
      <color rgb="FF585858"/>
      <name val="Roboto Condensed"/>
      <charset val="238"/>
    </font>
    <font>
      <sz val="8"/>
      <color theme="0" tint="-0.249977111117893"/>
      <name val="Roboto Condensed"/>
      <charset val="238"/>
    </font>
    <font>
      <b/>
      <sz val="14"/>
      <color theme="1" tint="0.34998626667073579"/>
      <name val="Roboto Condensed"/>
      <charset val="238"/>
    </font>
    <font>
      <vertAlign val="superscript"/>
      <sz val="9"/>
      <color rgb="FF585858"/>
      <name val="Roboto Condensed"/>
      <charset val="238"/>
    </font>
    <font>
      <b/>
      <sz val="11"/>
      <color rgb="FF585858"/>
      <name val="Roboto Condensed"/>
      <charset val="238"/>
    </font>
    <font>
      <sz val="16"/>
      <color theme="0"/>
      <name val="Roboto Condensed"/>
      <charset val="238"/>
    </font>
    <font>
      <sz val="16"/>
      <color rgb="FF585858"/>
      <name val="Roboto Condensed"/>
      <charset val="238"/>
    </font>
    <font>
      <sz val="11"/>
      <color theme="1" tint="0.249977111117893"/>
      <name val="Roboto Condensed"/>
      <charset val="238"/>
    </font>
    <font>
      <i/>
      <sz val="9"/>
      <color rgb="FF585858"/>
      <name val="Roboto Condensed"/>
      <charset val="238"/>
    </font>
    <font>
      <sz val="8"/>
      <color rgb="FF585858"/>
      <name val="Roboto Condensed"/>
      <charset val="238"/>
    </font>
    <font>
      <sz val="6"/>
      <color rgb="FF585858"/>
      <name val="Roboto Condensed"/>
      <charset val="238"/>
    </font>
    <font>
      <b/>
      <sz val="11"/>
      <color theme="0"/>
      <name val="Roboto Condensed"/>
      <charset val="238"/>
    </font>
    <font>
      <sz val="11"/>
      <color indexed="8"/>
      <name val="Roboto Condensed"/>
      <charset val="238"/>
    </font>
    <font>
      <sz val="9.9"/>
      <color indexed="8"/>
      <name val="Roboto Condensed"/>
      <charset val="238"/>
    </font>
    <font>
      <b/>
      <sz val="11"/>
      <color indexed="8"/>
      <name val="Roboto Condensed"/>
      <charset val="238"/>
    </font>
    <font>
      <b/>
      <sz val="11"/>
      <color theme="1"/>
      <name val="Roboto Condensed"/>
      <charset val="238"/>
    </font>
    <font>
      <sz val="9.35"/>
      <color theme="1"/>
      <name val="Roboto Condensed"/>
      <charset val="238"/>
    </font>
    <font>
      <i/>
      <sz val="11"/>
      <color theme="1" tint="0.34998626667073579"/>
      <name val="Roboto Condensed"/>
      <charset val="238"/>
    </font>
    <font>
      <b/>
      <sz val="12"/>
      <color rgb="FF585858"/>
      <name val="Roboto Condensed"/>
      <charset val="238"/>
    </font>
    <font>
      <sz val="9"/>
      <color theme="1" tint="0.34998626667073579"/>
      <name val="Roboto Condensed"/>
      <charset val="238"/>
    </font>
    <font>
      <vertAlign val="superscript"/>
      <sz val="9"/>
      <color theme="1" tint="0.34998626667073579"/>
      <name val="Roboto Condensed"/>
      <charset val="238"/>
    </font>
    <font>
      <sz val="11"/>
      <color theme="0" tint="-0.14999847407452621"/>
      <name val="Calibri"/>
      <family val="2"/>
      <charset val="238"/>
      <scheme val="minor"/>
    </font>
    <font>
      <sz val="11"/>
      <color theme="2"/>
      <name val="Calibri"/>
      <family val="2"/>
      <charset val="238"/>
      <scheme val="minor"/>
    </font>
    <font>
      <i/>
      <sz val="11"/>
      <color rgb="FFFF0000"/>
      <name val="Calibri"/>
      <family val="2"/>
      <charset val="238"/>
      <scheme val="minor"/>
    </font>
    <font>
      <b/>
      <sz val="11"/>
      <color rgb="FFFF5050"/>
      <name val="Roboto Condensed"/>
      <charset val="238"/>
    </font>
    <font>
      <sz val="9"/>
      <color theme="4"/>
      <name val="Roboto Condensed"/>
      <charset val="238"/>
    </font>
    <font>
      <sz val="14"/>
      <color theme="1" tint="0.34998626667073579"/>
      <name val="Roboto Condensed"/>
      <charset val="238"/>
    </font>
    <font>
      <sz val="14"/>
      <color rgb="FF585858"/>
      <name val="Roboto Condensed"/>
      <charset val="238"/>
    </font>
    <font>
      <b/>
      <sz val="12"/>
      <color theme="1" tint="0.34998626667073579"/>
      <name val="Roboto Condensed"/>
      <charset val="238"/>
    </font>
    <font>
      <sz val="9"/>
      <color theme="0"/>
      <name val="Roboto Condensed"/>
      <charset val="238"/>
    </font>
    <font>
      <sz val="9"/>
      <color theme="1"/>
      <name val="Calibri"/>
      <family val="2"/>
      <charset val="238"/>
      <scheme val="minor"/>
    </font>
    <font>
      <i/>
      <sz val="10"/>
      <color rgb="FF585858"/>
      <name val="Roboto Condensed"/>
      <charset val="238"/>
    </font>
    <font>
      <sz val="16"/>
      <color rgb="FF585858"/>
      <name val="Wingdings 3"/>
      <family val="1"/>
      <charset val="2"/>
    </font>
    <font>
      <b/>
      <sz val="10"/>
      <color rgb="FF585858"/>
      <name val="Roboto Condensed"/>
      <charset val="238"/>
    </font>
    <font>
      <i/>
      <vertAlign val="superscript"/>
      <sz val="10"/>
      <color rgb="FF585858"/>
      <name val="Roboto Condensed"/>
      <charset val="238"/>
    </font>
    <font>
      <b/>
      <sz val="11"/>
      <color theme="5" tint="-0.249977111117893"/>
      <name val="Arial"/>
      <family val="2"/>
      <charset val="238"/>
    </font>
    <font>
      <b/>
      <sz val="11"/>
      <color theme="4" tint="-0.249977111117893"/>
      <name val="Arial"/>
      <family val="2"/>
      <charset val="238"/>
    </font>
    <font>
      <sz val="2"/>
      <color theme="0"/>
      <name val="Roboto Condensed"/>
      <charset val="238"/>
    </font>
    <font>
      <sz val="2"/>
      <color theme="1"/>
      <name val="Roboto Condensed"/>
      <charset val="238"/>
    </font>
    <font>
      <sz val="2"/>
      <color theme="1"/>
      <name val="Calibri"/>
      <family val="2"/>
      <charset val="238"/>
      <scheme val="minor"/>
    </font>
    <font>
      <sz val="2"/>
      <color rgb="FF585858"/>
      <name val="Roboto Condensed"/>
      <charset val="238"/>
    </font>
    <font>
      <b/>
      <sz val="11"/>
      <color rgb="FF585858"/>
      <name val="Roboto Condensed"/>
      <family val="2"/>
      <charset val="238"/>
    </font>
    <font>
      <sz val="10"/>
      <color rgb="FF585858"/>
      <name val="Roboto Condensed"/>
      <charset val="238"/>
    </font>
    <font>
      <sz val="1"/>
      <color rgb="FF585858"/>
      <name val="Roboto Condensed"/>
      <charset val="238"/>
    </font>
    <font>
      <b/>
      <sz val="1"/>
      <color theme="5" tint="-0.249977111117893"/>
      <name val="Arial"/>
      <family val="2"/>
      <charset val="238"/>
    </font>
    <font>
      <sz val="16"/>
      <color theme="1" tint="0.34998626667073579"/>
      <name val="Roboto Condensed"/>
      <charset val="238"/>
    </font>
    <font>
      <b/>
      <sz val="11"/>
      <color theme="4"/>
      <name val="Roboto Condensed"/>
      <charset val="238"/>
    </font>
    <font>
      <b/>
      <sz val="11"/>
      <color rgb="FFEF4423"/>
      <name val="Roboto Condensed"/>
      <charset val="238"/>
    </font>
    <font>
      <i/>
      <sz val="10"/>
      <color rgb="FFEF4423"/>
      <name val="Roboto Condensed"/>
      <charset val="238"/>
    </font>
    <font>
      <i/>
      <sz val="9"/>
      <color theme="1" tint="0.499984740745262"/>
      <name val="Calibri"/>
      <family val="2"/>
      <charset val="238"/>
      <scheme val="minor"/>
    </font>
    <font>
      <b/>
      <sz val="10"/>
      <color rgb="FFFF0000"/>
      <name val="Calibri"/>
      <family val="2"/>
      <charset val="238"/>
      <scheme val="minor"/>
    </font>
    <font>
      <sz val="9"/>
      <color theme="0" tint="-0.499984740745262"/>
      <name val="Calibri"/>
      <family val="2"/>
      <charset val="238"/>
      <scheme val="minor"/>
    </font>
    <font>
      <sz val="9"/>
      <color theme="0" tint="-0.499984740745262"/>
      <name val="Roboto Condensed"/>
      <charset val="238"/>
    </font>
    <font>
      <vertAlign val="subscript"/>
      <sz val="9"/>
      <color rgb="FF585858"/>
      <name val="Roboto Condensed"/>
      <charset val="238"/>
    </font>
    <font>
      <i/>
      <sz val="9"/>
      <color theme="1" tint="0.34998626667073579"/>
      <name val="Roboto Condensed"/>
      <charset val="238"/>
    </font>
    <font>
      <b/>
      <sz val="12"/>
      <color rgb="FF585858"/>
      <name val="Roboto Condensed"/>
      <family val="2"/>
      <charset val="238"/>
    </font>
    <font>
      <b/>
      <sz val="11"/>
      <color theme="1" tint="0.249977111117893"/>
      <name val="Roboto Condensed"/>
      <charset val="238"/>
    </font>
    <font>
      <i/>
      <sz val="10"/>
      <color theme="1" tint="0.249977111117893"/>
      <name val="Calibri"/>
      <family val="2"/>
      <charset val="238"/>
    </font>
    <font>
      <sz val="10"/>
      <color rgb="FFEF4423"/>
      <name val="Roboto Condensed"/>
      <charset val="238"/>
    </font>
    <font>
      <b/>
      <sz val="9"/>
      <color theme="0"/>
      <name val="Roboto Black"/>
      <charset val="238"/>
    </font>
    <font>
      <b/>
      <sz val="9"/>
      <color theme="1" tint="0.499984740745262"/>
      <name val="Roboto Condensed"/>
      <charset val="238"/>
    </font>
    <font>
      <b/>
      <sz val="9"/>
      <color theme="0" tint="-0.34998626667073579"/>
      <name val="Roboto Condensed"/>
      <charset val="238"/>
    </font>
    <font>
      <sz val="11"/>
      <color theme="0" tint="-0.34998626667073579"/>
      <name val="Calibri"/>
      <family val="2"/>
      <charset val="238"/>
      <scheme val="minor"/>
    </font>
    <font>
      <sz val="9"/>
      <color rgb="FFEF4423"/>
      <name val="Roboto Condensed"/>
      <charset val="238"/>
    </font>
    <font>
      <i/>
      <sz val="9"/>
      <color theme="5"/>
      <name val="Roboto Condensed"/>
      <charset val="238"/>
    </font>
    <font>
      <i/>
      <vertAlign val="superscript"/>
      <sz val="9"/>
      <color theme="1" tint="0.34998626667073579"/>
      <name val="Roboto Condensed"/>
      <charset val="238"/>
    </font>
    <font>
      <sz val="10"/>
      <color theme="0"/>
      <name val="Roboto Condensed"/>
      <charset val="238"/>
    </font>
    <font>
      <sz val="11"/>
      <color theme="1" tint="0.499984740745262"/>
      <name val="Roboto Condensed"/>
      <charset val="238"/>
    </font>
    <font>
      <sz val="11"/>
      <color theme="2"/>
      <name val="Roboto Condensed"/>
      <charset val="238"/>
    </font>
    <font>
      <sz val="11"/>
      <color rgb="FF414141"/>
      <name val="Roboto Condensed"/>
      <charset val="238"/>
    </font>
    <font>
      <sz val="6"/>
      <color theme="0"/>
      <name val="Roboto Condensed"/>
      <charset val="238"/>
    </font>
    <font>
      <b/>
      <i/>
      <sz val="12"/>
      <color rgb="FF585858"/>
      <name val="Roboto Condensed"/>
      <charset val="238"/>
    </font>
    <font>
      <i/>
      <sz val="10"/>
      <color theme="1" tint="0.34998626667073579"/>
      <name val="Roboto Condensed"/>
      <charset val="238"/>
    </font>
    <font>
      <i/>
      <sz val="10"/>
      <color theme="0" tint="-0.14999847407452621"/>
      <name val="Roboto Condensed"/>
      <charset val="238"/>
    </font>
    <font>
      <i/>
      <sz val="8"/>
      <color theme="1" tint="0.499984740745262"/>
      <name val="Roboto Condensed"/>
      <charset val="238"/>
    </font>
    <font>
      <b/>
      <sz val="12"/>
      <color theme="1" tint="0.34998626667073579"/>
      <name val="Roboto Condensed"/>
      <family val="2"/>
      <charset val="238"/>
    </font>
    <font>
      <vertAlign val="superscript"/>
      <sz val="10"/>
      <color theme="0"/>
      <name val="Roboto Condensed"/>
      <charset val="238"/>
    </font>
    <font>
      <sz val="12"/>
      <color theme="0"/>
      <name val="Roboto Condensed"/>
      <charset val="238"/>
    </font>
    <font>
      <i/>
      <sz val="8"/>
      <color theme="0"/>
      <name val="Roboto Condensed"/>
      <charset val="238"/>
    </font>
    <font>
      <sz val="6"/>
      <color theme="1" tint="0.249977111117893"/>
      <name val="Roboto Condensed"/>
      <charset val="238"/>
    </font>
    <font>
      <sz val="12"/>
      <color theme="1" tint="0.249977111117893"/>
      <name val="Roboto Condensed"/>
      <charset val="238"/>
    </font>
    <font>
      <b/>
      <sz val="12"/>
      <color rgb="FFEF4423"/>
      <name val="Roboto Condensed"/>
      <charset val="238"/>
    </font>
    <font>
      <b/>
      <sz val="12"/>
      <color theme="4"/>
      <name val="Roboto Condensed"/>
      <charset val="238"/>
    </font>
    <font>
      <b/>
      <sz val="12"/>
      <color rgb="FF92D050"/>
      <name val="Roboto Condensed"/>
      <charset val="238"/>
    </font>
    <font>
      <b/>
      <sz val="12"/>
      <color theme="0"/>
      <name val="Roboto Condensed"/>
      <charset val="238"/>
    </font>
    <font>
      <sz val="9"/>
      <name val="Roboto Condensed"/>
      <charset val="238"/>
    </font>
    <font>
      <i/>
      <sz val="9"/>
      <color rgb="FFFF0000"/>
      <name val="Calibri"/>
      <family val="2"/>
      <charset val="238"/>
      <scheme val="minor"/>
    </font>
    <font>
      <sz val="11"/>
      <color theme="1"/>
      <name val="Calibri"/>
      <family val="2"/>
      <charset val="238"/>
      <scheme val="minor"/>
    </font>
    <font>
      <sz val="11"/>
      <name val="Roboto Condensed"/>
      <charset val="238"/>
    </font>
    <font>
      <b/>
      <sz val="14"/>
      <name val="Roboto Condensed"/>
      <charset val="238"/>
    </font>
    <font>
      <b/>
      <sz val="10"/>
      <color theme="0"/>
      <name val="Roboto Condensed"/>
      <charset val="238"/>
    </font>
    <font>
      <sz val="12"/>
      <color theme="0"/>
      <name val="Calibri"/>
      <family val="2"/>
      <charset val="238"/>
      <scheme val="minor"/>
    </font>
    <font>
      <u/>
      <sz val="11"/>
      <color theme="1" tint="0.34998626667073579"/>
      <name val="Roboto Condensed"/>
      <charset val="238"/>
    </font>
    <font>
      <sz val="11"/>
      <color rgb="FFFF0000"/>
      <name val="Roboto Condensed"/>
      <charset val="238"/>
    </font>
    <font>
      <sz val="2"/>
      <color rgb="FFFF0000"/>
      <name val="Roboto Condensed"/>
      <charset val="238"/>
    </font>
    <font>
      <sz val="16"/>
      <color theme="5"/>
      <name val="Arial Black"/>
      <family val="2"/>
      <charset val="238"/>
    </font>
    <font>
      <sz val="16"/>
      <color theme="4"/>
      <name val="Arial Black"/>
      <family val="2"/>
      <charset val="238"/>
    </font>
    <font>
      <sz val="9"/>
      <color theme="0"/>
      <name val="Calibri"/>
      <family val="2"/>
      <charset val="238"/>
      <scheme val="minor"/>
    </font>
    <font>
      <sz val="8"/>
      <color theme="0"/>
      <name val="Roboto Condensed"/>
      <charset val="238"/>
    </font>
    <font>
      <strike/>
      <sz val="11"/>
      <color indexed="8"/>
      <name val="Roboto Condensed"/>
    </font>
    <font>
      <strike/>
      <sz val="11"/>
      <color theme="1"/>
      <name val="Roboto Condensed"/>
    </font>
    <font>
      <sz val="11"/>
      <color theme="1" tint="0.34998626667073579"/>
      <name val="Roboto Condensed"/>
    </font>
    <font>
      <sz val="10"/>
      <color rgb="FFFF3C09"/>
      <name val="Roboto Condensed"/>
    </font>
    <font>
      <i/>
      <sz val="11"/>
      <color theme="1" tint="0.34998626667073579"/>
      <name val="Roboto Condensed"/>
    </font>
    <font>
      <b/>
      <i/>
      <sz val="11"/>
      <color theme="1" tint="0.34998626667073579"/>
      <name val="Roboto Condensed"/>
    </font>
    <font>
      <b/>
      <sz val="16"/>
      <color rgb="FF585858"/>
      <name val="Roboto Condensed"/>
    </font>
    <font>
      <sz val="11"/>
      <color theme="1"/>
      <name val="Roboto Condensed"/>
    </font>
    <font>
      <b/>
      <sz val="11"/>
      <color rgb="FFFF5050"/>
      <name val="Czcionka tekstu podstawowego"/>
      <charset val="238"/>
    </font>
    <font>
      <sz val="10"/>
      <color theme="1"/>
      <name val="Roboto Condensed"/>
    </font>
    <font>
      <b/>
      <sz val="10"/>
      <color theme="1"/>
      <name val="Roboto Condensed"/>
    </font>
    <font>
      <sz val="8"/>
      <color rgb="FFFF0000"/>
      <name val="Roboto Condensed"/>
    </font>
    <font>
      <i/>
      <sz val="8"/>
      <color rgb="FFFF0000"/>
      <name val="Roboto Condensed"/>
    </font>
    <font>
      <sz val="11"/>
      <color theme="9"/>
      <name val="Czcionka tekstu podstawowego"/>
      <family val="2"/>
      <charset val="238"/>
    </font>
    <font>
      <sz val="11"/>
      <color theme="0"/>
      <name val="Roboto Condensed"/>
    </font>
    <font>
      <sz val="9"/>
      <color rgb="FF585858"/>
      <name val="Roboto Condensed"/>
    </font>
    <font>
      <i/>
      <sz val="9"/>
      <color rgb="FF585858"/>
      <name val="Roboto Condensed"/>
    </font>
    <font>
      <i/>
      <sz val="9"/>
      <color theme="1" tint="0.34998626667073579"/>
      <name val="Roboto Condensed"/>
    </font>
    <font>
      <i/>
      <sz val="8"/>
      <color rgb="FF585858"/>
      <name val="Roboto Condensed"/>
    </font>
  </fonts>
  <fills count="27">
    <fill>
      <patternFill patternType="none"/>
    </fill>
    <fill>
      <patternFill patternType="gray125"/>
    </fill>
    <fill>
      <patternFill patternType="solid">
        <fgColor theme="0" tint="-0.249977111117893"/>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7" tint="0.59999389629810485"/>
        <bgColor indexed="64"/>
      </patternFill>
    </fill>
    <fill>
      <patternFill patternType="solid">
        <fgColor theme="0"/>
        <bgColor indexed="64"/>
      </patternFill>
    </fill>
    <fill>
      <patternFill patternType="solid">
        <fgColor rgb="FFFFFF00"/>
        <bgColor indexed="64"/>
      </patternFill>
    </fill>
    <fill>
      <patternFill patternType="solid">
        <fgColor theme="1" tint="0.34998626667073579"/>
        <bgColor indexed="64"/>
      </patternFill>
    </fill>
    <fill>
      <patternFill patternType="solid">
        <fgColor theme="1" tint="0.499984740745262"/>
        <bgColor indexed="64"/>
      </patternFill>
    </fill>
    <fill>
      <patternFill patternType="solid">
        <fgColor rgb="FFFF0000"/>
        <bgColor indexed="64"/>
      </patternFill>
    </fill>
    <fill>
      <patternFill patternType="solid">
        <fgColor theme="5" tint="0.79998168889431442"/>
        <bgColor indexed="64"/>
      </patternFill>
    </fill>
    <fill>
      <patternFill patternType="solid">
        <fgColor theme="0" tint="-0.499984740745262"/>
        <bgColor indexed="64"/>
      </patternFill>
    </fill>
    <fill>
      <patternFill patternType="solid">
        <fgColor rgb="FFFFC000"/>
        <bgColor indexed="64"/>
      </patternFill>
    </fill>
    <fill>
      <patternFill patternType="solid">
        <fgColor rgb="FFF1F1F3"/>
        <bgColor indexed="64"/>
      </patternFill>
    </fill>
    <fill>
      <patternFill patternType="solid">
        <fgColor rgb="FF555555"/>
        <bgColor indexed="64"/>
      </patternFill>
    </fill>
    <fill>
      <patternFill patternType="solid">
        <fgColor theme="7"/>
        <bgColor indexed="64"/>
      </patternFill>
    </fill>
    <fill>
      <patternFill patternType="solid">
        <fgColor rgb="FF414141"/>
        <bgColor indexed="64"/>
      </patternFill>
    </fill>
    <fill>
      <patternFill patternType="solid">
        <fgColor theme="4" tint="0.79998168889431442"/>
        <bgColor indexed="64"/>
      </patternFill>
    </fill>
    <fill>
      <patternFill patternType="solid">
        <fgColor theme="1" tint="0.249977111117893"/>
        <bgColor indexed="64"/>
      </patternFill>
    </fill>
    <fill>
      <patternFill patternType="solid">
        <fgColor theme="8" tint="0.79998168889431442"/>
        <bgColor indexed="64"/>
      </patternFill>
    </fill>
    <fill>
      <patternFill patternType="solid">
        <fgColor theme="6"/>
        <bgColor indexed="64"/>
      </patternFill>
    </fill>
    <fill>
      <patternFill patternType="solid">
        <fgColor rgb="FF92D050"/>
        <bgColor indexed="64"/>
      </patternFill>
    </fill>
    <fill>
      <patternFill patternType="solid">
        <fgColor rgb="FFEF4423"/>
        <bgColor indexed="64"/>
      </patternFill>
    </fill>
    <fill>
      <patternFill patternType="solid">
        <fgColor theme="5"/>
        <bgColor indexed="64"/>
      </patternFill>
    </fill>
  </fills>
  <borders count="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style="thin">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style="thin">
        <color indexed="8"/>
      </right>
      <top/>
      <bottom style="thin">
        <color indexed="8"/>
      </bottom>
      <diagonal/>
    </border>
    <border>
      <left/>
      <right style="thin">
        <color indexed="8"/>
      </right>
      <top style="thin">
        <color indexed="8"/>
      </top>
      <bottom style="thin">
        <color indexed="8"/>
      </bottom>
      <diagonal/>
    </border>
    <border>
      <left style="medium">
        <color indexed="64"/>
      </left>
      <right style="thin">
        <color indexed="8"/>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8"/>
      </left>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diagonal/>
    </border>
    <border>
      <left style="thin">
        <color indexed="8"/>
      </left>
      <right/>
      <top style="thin">
        <color indexed="8"/>
      </top>
      <bottom/>
      <diagonal/>
    </border>
    <border>
      <left style="thin">
        <color indexed="8"/>
      </left>
      <right style="thin">
        <color indexed="8"/>
      </right>
      <top/>
      <bottom/>
      <diagonal/>
    </border>
    <border>
      <left style="thin">
        <color indexed="8"/>
      </left>
      <right style="thin">
        <color indexed="8"/>
      </right>
      <top style="thin">
        <color indexed="8"/>
      </top>
      <bottom/>
      <diagonal/>
    </border>
    <border>
      <left/>
      <right/>
      <top/>
      <bottom style="thin">
        <color theme="0" tint="-0.499984740745262"/>
      </bottom>
      <diagonal/>
    </border>
    <border>
      <left/>
      <right/>
      <top style="thin">
        <color theme="0" tint="-0.499984740745262"/>
      </top>
      <bottom/>
      <diagonal/>
    </border>
    <border>
      <left style="thin">
        <color indexed="8"/>
      </left>
      <right style="thin">
        <color indexed="8"/>
      </right>
      <top style="thin">
        <color indexed="64"/>
      </top>
      <bottom style="thin">
        <color indexed="64"/>
      </bottom>
      <diagonal/>
    </border>
    <border>
      <left/>
      <right/>
      <top/>
      <bottom style="thin">
        <color theme="1" tint="0.499984740745262"/>
      </bottom>
      <diagonal/>
    </border>
    <border>
      <left/>
      <right style="thin">
        <color indexed="64"/>
      </right>
      <top/>
      <bottom style="thin">
        <color indexed="64"/>
      </bottom>
      <diagonal/>
    </border>
    <border>
      <left/>
      <right style="thin">
        <color indexed="64"/>
      </right>
      <top style="thin">
        <color indexed="64"/>
      </top>
      <bottom/>
      <diagonal/>
    </border>
    <border>
      <left/>
      <right/>
      <top/>
      <bottom style="medium">
        <color theme="0"/>
      </bottom>
      <diagonal/>
    </border>
    <border>
      <left style="thin">
        <color indexed="64"/>
      </left>
      <right style="thin">
        <color indexed="64"/>
      </right>
      <top style="thin">
        <color indexed="64"/>
      </top>
      <bottom style="thin">
        <color indexed="8"/>
      </bottom>
      <diagonal/>
    </border>
    <border>
      <left style="thin">
        <color indexed="64"/>
      </left>
      <right style="thin">
        <color indexed="64"/>
      </right>
      <top style="thin">
        <color indexed="8"/>
      </top>
      <bottom style="thin">
        <color indexed="64"/>
      </bottom>
      <diagonal/>
    </border>
    <border>
      <left/>
      <right/>
      <top style="thin">
        <color indexed="8"/>
      </top>
      <bottom/>
      <diagonal/>
    </border>
    <border>
      <left style="thin">
        <color indexed="8"/>
      </left>
      <right/>
      <top style="medium">
        <color indexed="64"/>
      </top>
      <bottom style="medium">
        <color indexed="64"/>
      </bottom>
      <diagonal/>
    </border>
  </borders>
  <cellStyleXfs count="4">
    <xf numFmtId="0" fontId="0" fillId="0" borderId="0"/>
    <xf numFmtId="0" fontId="4" fillId="0" borderId="0"/>
    <xf numFmtId="9" fontId="142" fillId="0" borderId="0" applyFont="0" applyFill="0" applyBorder="0" applyAlignment="0" applyProtection="0"/>
    <xf numFmtId="44" fontId="142" fillId="0" borderId="0" applyFont="0" applyFill="0" applyBorder="0" applyAlignment="0" applyProtection="0"/>
  </cellStyleXfs>
  <cellXfs count="881">
    <xf numFmtId="0" fontId="0" fillId="0" borderId="0" xfId="0"/>
    <xf numFmtId="0" fontId="1" fillId="0" borderId="0" xfId="0" applyFont="1"/>
    <xf numFmtId="0" fontId="0" fillId="4" borderId="1" xfId="0" applyFill="1" applyBorder="1" applyAlignment="1">
      <alignment horizontal="center"/>
    </xf>
    <xf numFmtId="0" fontId="0" fillId="4" borderId="3" xfId="0" applyFill="1" applyBorder="1" applyAlignment="1">
      <alignment horizontal="center"/>
    </xf>
    <xf numFmtId="0" fontId="3" fillId="0" borderId="0" xfId="0" applyFont="1"/>
    <xf numFmtId="0" fontId="6" fillId="0" borderId="0" xfId="0" applyFont="1"/>
    <xf numFmtId="0" fontId="7" fillId="0" borderId="0" xfId="0" applyFont="1"/>
    <xf numFmtId="0" fontId="10" fillId="9" borderId="8" xfId="0" applyFont="1" applyFill="1" applyBorder="1" applyAlignment="1">
      <alignment horizontal="center"/>
    </xf>
    <xf numFmtId="0" fontId="10" fillId="9" borderId="8" xfId="0" applyFont="1" applyFill="1" applyBorder="1"/>
    <xf numFmtId="0" fontId="0" fillId="9" borderId="0" xfId="0" applyFill="1"/>
    <xf numFmtId="0" fontId="11" fillId="10" borderId="0" xfId="0" applyFont="1" applyFill="1"/>
    <xf numFmtId="0" fontId="3" fillId="10" borderId="0" xfId="0" applyFont="1" applyFill="1"/>
    <xf numFmtId="0" fontId="0" fillId="10" borderId="0" xfId="0" applyFill="1"/>
    <xf numFmtId="0" fontId="0" fillId="8" borderId="0" xfId="0" applyFill="1"/>
    <xf numFmtId="0" fontId="8" fillId="8" borderId="0" xfId="0" applyFont="1" applyFill="1" applyAlignment="1">
      <alignment horizontal="center"/>
    </xf>
    <xf numFmtId="0" fontId="0" fillId="0" borderId="0" xfId="0" applyAlignment="1">
      <alignment vertical="top"/>
    </xf>
    <xf numFmtId="0" fontId="0" fillId="0" borderId="0" xfId="0" applyAlignment="1">
      <alignment horizontal="center"/>
    </xf>
    <xf numFmtId="0" fontId="5" fillId="0" borderId="0" xfId="1" applyFont="1" applyAlignment="1">
      <alignment horizontal="center" vertical="center" wrapText="1"/>
    </xf>
    <xf numFmtId="0" fontId="4" fillId="0" borderId="0" xfId="1"/>
    <xf numFmtId="0" fontId="4" fillId="0" borderId="0" xfId="1" applyAlignment="1">
      <alignment horizontal="center"/>
    </xf>
    <xf numFmtId="164" fontId="4" fillId="0" borderId="0" xfId="1" applyNumberFormat="1"/>
    <xf numFmtId="0" fontId="13" fillId="0" borderId="0" xfId="0" applyFont="1"/>
    <xf numFmtId="0" fontId="13" fillId="0" borderId="0" xfId="0" applyFont="1" applyAlignment="1">
      <alignment horizontal="center"/>
    </xf>
    <xf numFmtId="0" fontId="14" fillId="0" borderId="23" xfId="0" applyFont="1" applyBorder="1" applyAlignment="1">
      <alignment horizontal="center" vertical="center"/>
    </xf>
    <xf numFmtId="0" fontId="14" fillId="0" borderId="25" xfId="0" applyFont="1" applyBorder="1" applyAlignment="1">
      <alignment horizontal="center" vertical="center" wrapText="1"/>
    </xf>
    <xf numFmtId="0" fontId="14" fillId="0" borderId="2" xfId="0" applyFont="1" applyBorder="1" applyAlignment="1">
      <alignment horizontal="center" vertical="center"/>
    </xf>
    <xf numFmtId="0" fontId="15" fillId="0" borderId="29" xfId="0" applyFont="1" applyBorder="1" applyAlignment="1">
      <alignment horizontal="center" vertical="center"/>
    </xf>
    <xf numFmtId="0" fontId="15" fillId="0" borderId="28" xfId="0" applyFont="1" applyBorder="1" applyAlignment="1">
      <alignment horizontal="center" vertical="center"/>
    </xf>
    <xf numFmtId="0" fontId="16" fillId="0" borderId="30" xfId="0" applyFont="1" applyBorder="1"/>
    <xf numFmtId="0" fontId="16" fillId="0" borderId="3" xfId="0" applyFont="1" applyBorder="1"/>
    <xf numFmtId="0" fontId="0" fillId="0" borderId="3" xfId="0" applyBorder="1"/>
    <xf numFmtId="0" fontId="0" fillId="0" borderId="32" xfId="0" applyBorder="1"/>
    <xf numFmtId="49" fontId="17" fillId="0" borderId="33" xfId="0" applyNumberFormat="1" applyFont="1" applyBorder="1" applyAlignment="1">
      <alignment horizontal="center" vertical="center"/>
    </xf>
    <xf numFmtId="0" fontId="16" fillId="0" borderId="1" xfId="0" applyFont="1" applyBorder="1"/>
    <xf numFmtId="165" fontId="0" fillId="0" borderId="1" xfId="0" applyNumberFormat="1" applyBorder="1"/>
    <xf numFmtId="0" fontId="0" fillId="0" borderId="1" xfId="0" applyBorder="1"/>
    <xf numFmtId="1" fontId="0" fillId="0" borderId="1" xfId="0" applyNumberFormat="1" applyBorder="1"/>
    <xf numFmtId="0" fontId="0" fillId="0" borderId="34" xfId="0" applyBorder="1"/>
    <xf numFmtId="0" fontId="0" fillId="0" borderId="35" xfId="0" applyBorder="1"/>
    <xf numFmtId="0" fontId="16" fillId="0" borderId="5" xfId="0" applyFont="1" applyBorder="1"/>
    <xf numFmtId="165" fontId="0" fillId="0" borderId="5" xfId="0" applyNumberFormat="1" applyBorder="1"/>
    <xf numFmtId="0" fontId="0" fillId="0" borderId="5" xfId="0" applyBorder="1"/>
    <xf numFmtId="1" fontId="0" fillId="0" borderId="5" xfId="0" applyNumberFormat="1" applyBorder="1"/>
    <xf numFmtId="0" fontId="0" fillId="0" borderId="36" xfId="0" applyBorder="1"/>
    <xf numFmtId="49" fontId="17" fillId="0" borderId="29" xfId="0" applyNumberFormat="1" applyFont="1" applyBorder="1" applyAlignment="1">
      <alignment horizontal="center" vertical="center"/>
    </xf>
    <xf numFmtId="0" fontId="16" fillId="0" borderId="2" xfId="0" applyFont="1" applyBorder="1"/>
    <xf numFmtId="165" fontId="0" fillId="0" borderId="2" xfId="0" applyNumberFormat="1" applyBorder="1"/>
    <xf numFmtId="0" fontId="0" fillId="0" borderId="2" xfId="0" applyBorder="1"/>
    <xf numFmtId="1" fontId="0" fillId="0" borderId="2" xfId="0" applyNumberFormat="1" applyBorder="1"/>
    <xf numFmtId="49" fontId="16" fillId="0" borderId="0" xfId="0" applyNumberFormat="1" applyFont="1"/>
    <xf numFmtId="0" fontId="16" fillId="0" borderId="0" xfId="0" applyFont="1"/>
    <xf numFmtId="165" fontId="0" fillId="0" borderId="0" xfId="0" applyNumberFormat="1"/>
    <xf numFmtId="165" fontId="16" fillId="0" borderId="0" xfId="0" applyNumberFormat="1" applyFont="1"/>
    <xf numFmtId="1" fontId="16" fillId="0" borderId="0" xfId="0" applyNumberFormat="1" applyFont="1"/>
    <xf numFmtId="0" fontId="18" fillId="0" borderId="37" xfId="0" applyFont="1" applyBorder="1"/>
    <xf numFmtId="0" fontId="18" fillId="0" borderId="8" xfId="0" applyFont="1" applyBorder="1"/>
    <xf numFmtId="0" fontId="14" fillId="0" borderId="0" xfId="0" applyFont="1"/>
    <xf numFmtId="49" fontId="0" fillId="0" borderId="0" xfId="0" applyNumberFormat="1"/>
    <xf numFmtId="1" fontId="0" fillId="0" borderId="0" xfId="0" applyNumberFormat="1"/>
    <xf numFmtId="49" fontId="17" fillId="0" borderId="26" xfId="0" applyNumberFormat="1" applyFont="1" applyBorder="1" applyAlignment="1">
      <alignment horizontal="center" vertical="center"/>
    </xf>
    <xf numFmtId="0" fontId="16" fillId="0" borderId="23" xfId="0" applyFont="1" applyBorder="1"/>
    <xf numFmtId="165" fontId="0" fillId="0" borderId="23" xfId="0" applyNumberFormat="1" applyBorder="1"/>
    <xf numFmtId="165" fontId="0" fillId="0" borderId="31" xfId="0" applyNumberFormat="1" applyBorder="1"/>
    <xf numFmtId="0" fontId="0" fillId="0" borderId="23" xfId="0" applyBorder="1"/>
    <xf numFmtId="1" fontId="0" fillId="0" borderId="31" xfId="0" applyNumberFormat="1" applyBorder="1"/>
    <xf numFmtId="1" fontId="0" fillId="0" borderId="23" xfId="0" applyNumberFormat="1" applyBorder="1"/>
    <xf numFmtId="0" fontId="0" fillId="0" borderId="24" xfId="0" applyBorder="1"/>
    <xf numFmtId="0" fontId="18" fillId="0" borderId="38" xfId="0" applyFont="1" applyBorder="1"/>
    <xf numFmtId="0" fontId="18" fillId="0" borderId="16" xfId="0" applyFont="1" applyBorder="1"/>
    <xf numFmtId="0" fontId="18" fillId="0" borderId="39" xfId="0" applyFont="1" applyBorder="1"/>
    <xf numFmtId="0" fontId="18" fillId="0" borderId="0" xfId="0" applyFont="1"/>
    <xf numFmtId="0" fontId="19" fillId="0" borderId="0" xfId="0" applyFont="1" applyAlignment="1">
      <alignment horizontal="right"/>
    </xf>
    <xf numFmtId="0" fontId="18" fillId="0" borderId="40" xfId="0" applyFont="1" applyBorder="1"/>
    <xf numFmtId="49" fontId="20" fillId="0" borderId="0" xfId="0" applyNumberFormat="1" applyFont="1" applyAlignment="1">
      <alignment horizontal="left"/>
    </xf>
    <xf numFmtId="166" fontId="0" fillId="0" borderId="0" xfId="0" applyNumberFormat="1"/>
    <xf numFmtId="0" fontId="0" fillId="9" borderId="23" xfId="0" applyFill="1" applyBorder="1" applyAlignment="1">
      <alignment horizontal="center" vertical="center" wrapText="1"/>
    </xf>
    <xf numFmtId="0" fontId="0" fillId="9" borderId="2" xfId="0" applyFill="1" applyBorder="1" applyAlignment="1">
      <alignment horizontal="center" vertical="center" wrapText="1"/>
    </xf>
    <xf numFmtId="0" fontId="0" fillId="0" borderId="30" xfId="0" applyBorder="1" applyAlignment="1">
      <alignment horizontal="center"/>
    </xf>
    <xf numFmtId="0" fontId="0" fillId="0" borderId="33" xfId="0" applyBorder="1" applyAlignment="1">
      <alignment horizontal="center"/>
    </xf>
    <xf numFmtId="0" fontId="0" fillId="0" borderId="29" xfId="0" applyBorder="1" applyAlignment="1">
      <alignment horizontal="center"/>
    </xf>
    <xf numFmtId="0" fontId="0" fillId="0" borderId="26" xfId="0" applyBorder="1" applyAlignment="1">
      <alignment horizontal="center"/>
    </xf>
    <xf numFmtId="0" fontId="12" fillId="8" borderId="0" xfId="0" applyFont="1" applyFill="1"/>
    <xf numFmtId="0" fontId="0" fillId="4" borderId="2" xfId="0" applyFill="1" applyBorder="1" applyAlignment="1">
      <alignment horizontal="center"/>
    </xf>
    <xf numFmtId="0" fontId="23" fillId="3" borderId="3" xfId="0" applyFont="1" applyFill="1" applyBorder="1" applyAlignment="1">
      <alignment horizontal="center"/>
    </xf>
    <xf numFmtId="0" fontId="23" fillId="3" borderId="1" xfId="0" applyFont="1" applyFill="1" applyBorder="1" applyAlignment="1">
      <alignment horizontal="center"/>
    </xf>
    <xf numFmtId="0" fontId="23" fillId="3" borderId="2" xfId="0" applyFont="1" applyFill="1" applyBorder="1" applyAlignment="1">
      <alignment horizontal="center"/>
    </xf>
    <xf numFmtId="0" fontId="23" fillId="3" borderId="1" xfId="0" applyFont="1" applyFill="1" applyBorder="1"/>
    <xf numFmtId="0" fontId="23" fillId="3" borderId="23" xfId="0" applyFont="1" applyFill="1" applyBorder="1" applyAlignment="1">
      <alignment horizontal="center"/>
    </xf>
    <xf numFmtId="0" fontId="0" fillId="4" borderId="23" xfId="0" applyFill="1" applyBorder="1" applyAlignment="1">
      <alignment horizontal="center"/>
    </xf>
    <xf numFmtId="0" fontId="24" fillId="3" borderId="16" xfId="0" applyFont="1" applyFill="1" applyBorder="1" applyAlignment="1">
      <alignment horizontal="center"/>
    </xf>
    <xf numFmtId="0" fontId="24" fillId="3" borderId="8" xfId="0" applyFont="1" applyFill="1" applyBorder="1" applyAlignment="1">
      <alignment horizontal="center"/>
    </xf>
    <xf numFmtId="0" fontId="19" fillId="0" borderId="0" xfId="0" applyFont="1" applyAlignment="1">
      <alignment horizontal="left"/>
    </xf>
    <xf numFmtId="0" fontId="24" fillId="8" borderId="0" xfId="0" applyFont="1" applyFill="1" applyAlignment="1">
      <alignment horizontal="center"/>
    </xf>
    <xf numFmtId="0" fontId="9" fillId="9" borderId="0" xfId="0" applyFont="1" applyFill="1" applyAlignment="1">
      <alignment horizontal="right"/>
    </xf>
    <xf numFmtId="0" fontId="22" fillId="4" borderId="1" xfId="0" applyFont="1" applyFill="1" applyBorder="1"/>
    <xf numFmtId="0" fontId="25" fillId="0" borderId="0" xfId="0" applyFont="1" applyAlignment="1">
      <alignment vertical="center"/>
    </xf>
    <xf numFmtId="0" fontId="23" fillId="3" borderId="3" xfId="0" applyFont="1" applyFill="1" applyBorder="1" applyAlignment="1">
      <alignment horizontal="center" vertical="center"/>
    </xf>
    <xf numFmtId="0" fontId="0" fillId="0" borderId="0" xfId="0" applyAlignment="1">
      <alignment horizontal="center" vertical="center"/>
    </xf>
    <xf numFmtId="0" fontId="24" fillId="3" borderId="47" xfId="0" applyFont="1" applyFill="1" applyBorder="1" applyAlignment="1">
      <alignment horizontal="center"/>
    </xf>
    <xf numFmtId="0" fontId="24" fillId="3" borderId="48" xfId="0" applyFont="1" applyFill="1" applyBorder="1" applyAlignment="1">
      <alignment horizontal="center"/>
    </xf>
    <xf numFmtId="0" fontId="23" fillId="3" borderId="15" xfId="0" applyFont="1" applyFill="1" applyBorder="1" applyAlignment="1">
      <alignment horizontal="center" vertical="center"/>
    </xf>
    <xf numFmtId="0" fontId="23" fillId="3" borderId="23" xfId="0" applyFont="1" applyFill="1" applyBorder="1" applyAlignment="1">
      <alignment horizontal="center" vertical="center"/>
    </xf>
    <xf numFmtId="0" fontId="0" fillId="4" borderId="15" xfId="0" applyFill="1" applyBorder="1" applyAlignment="1">
      <alignment horizontal="center"/>
    </xf>
    <xf numFmtId="165" fontId="23" fillId="3" borderId="3" xfId="0" applyNumberFormat="1" applyFont="1" applyFill="1" applyBorder="1" applyAlignment="1">
      <alignment horizontal="center"/>
    </xf>
    <xf numFmtId="165" fontId="23" fillId="3" borderId="23" xfId="0" applyNumberFormat="1" applyFont="1" applyFill="1" applyBorder="1" applyAlignment="1">
      <alignment horizontal="center"/>
    </xf>
    <xf numFmtId="165" fontId="23" fillId="3" borderId="1" xfId="0" applyNumberFormat="1" applyFont="1" applyFill="1" applyBorder="1" applyAlignment="1">
      <alignment horizontal="center"/>
    </xf>
    <xf numFmtId="165" fontId="23" fillId="3" borderId="2" xfId="0" applyNumberFormat="1" applyFont="1" applyFill="1" applyBorder="1" applyAlignment="1">
      <alignment horizontal="center"/>
    </xf>
    <xf numFmtId="0" fontId="27" fillId="0" borderId="0" xfId="0" applyFont="1" applyAlignment="1">
      <alignment horizontal="center"/>
    </xf>
    <xf numFmtId="0" fontId="28" fillId="0" borderId="0" xfId="0" applyFont="1"/>
    <xf numFmtId="0" fontId="8" fillId="8" borderId="0" xfId="0" applyFont="1" applyFill="1"/>
    <xf numFmtId="0" fontId="0" fillId="0" borderId="0" xfId="0" applyAlignment="1">
      <alignment vertical="top" wrapText="1"/>
    </xf>
    <xf numFmtId="0" fontId="23" fillId="3" borderId="32" xfId="0" applyFont="1" applyFill="1" applyBorder="1" applyAlignment="1">
      <alignment horizontal="center"/>
    </xf>
    <xf numFmtId="0" fontId="23" fillId="3" borderId="11" xfId="0" applyFont="1" applyFill="1" applyBorder="1" applyAlignment="1">
      <alignment horizontal="center"/>
    </xf>
    <xf numFmtId="0" fontId="23" fillId="3" borderId="0" xfId="0" applyFont="1" applyFill="1" applyAlignment="1">
      <alignment horizontal="left" vertical="top" wrapText="1"/>
    </xf>
    <xf numFmtId="165" fontId="23" fillId="3" borderId="15" xfId="0" applyNumberFormat="1" applyFont="1" applyFill="1" applyBorder="1" applyAlignment="1">
      <alignment horizontal="center"/>
    </xf>
    <xf numFmtId="0" fontId="23" fillId="3" borderId="15" xfId="0" applyFont="1" applyFill="1" applyBorder="1" applyAlignment="1">
      <alignment horizontal="center"/>
    </xf>
    <xf numFmtId="0" fontId="23" fillId="3" borderId="44" xfId="0" applyFont="1" applyFill="1" applyBorder="1" applyAlignment="1">
      <alignment horizontal="center"/>
    </xf>
    <xf numFmtId="0" fontId="23" fillId="3" borderId="52" xfId="0" applyFont="1" applyFill="1" applyBorder="1" applyAlignment="1">
      <alignment horizontal="center"/>
    </xf>
    <xf numFmtId="0" fontId="23" fillId="3" borderId="49" xfId="0" applyFont="1" applyFill="1" applyBorder="1" applyAlignment="1">
      <alignment horizontal="center"/>
    </xf>
    <xf numFmtId="0" fontId="23" fillId="3" borderId="24" xfId="0" applyFont="1" applyFill="1" applyBorder="1" applyAlignment="1">
      <alignment horizontal="center"/>
    </xf>
    <xf numFmtId="0" fontId="30" fillId="9" borderId="0" xfId="0" applyFont="1" applyFill="1" applyAlignment="1">
      <alignment horizontal="center"/>
    </xf>
    <xf numFmtId="0" fontId="0" fillId="11" borderId="0" xfId="0" applyFill="1"/>
    <xf numFmtId="0" fontId="0" fillId="0" borderId="56" xfId="0" applyBorder="1"/>
    <xf numFmtId="0" fontId="8" fillId="0" borderId="0" xfId="0" applyFont="1"/>
    <xf numFmtId="0" fontId="9" fillId="0" borderId="0" xfId="0" applyFont="1" applyAlignment="1">
      <alignment horizontal="right"/>
    </xf>
    <xf numFmtId="0" fontId="8" fillId="0" borderId="0" xfId="0" applyFont="1" applyAlignment="1">
      <alignment horizontal="center"/>
    </xf>
    <xf numFmtId="0" fontId="3" fillId="12" borderId="1" xfId="0" applyFont="1" applyFill="1" applyBorder="1" applyAlignment="1">
      <alignment horizontal="center"/>
    </xf>
    <xf numFmtId="0" fontId="3" fillId="12" borderId="1" xfId="0" applyFont="1" applyFill="1" applyBorder="1" applyAlignment="1">
      <alignment horizontal="center" vertical="center"/>
    </xf>
    <xf numFmtId="0" fontId="0" fillId="0" borderId="0" xfId="0" applyAlignment="1">
      <alignment vertical="center"/>
    </xf>
    <xf numFmtId="0" fontId="11" fillId="11" borderId="0" xfId="0" applyFont="1" applyFill="1" applyAlignment="1">
      <alignment horizontal="center"/>
    </xf>
    <xf numFmtId="0" fontId="32" fillId="0" borderId="9" xfId="0" applyFont="1" applyBorder="1" applyAlignment="1">
      <alignment horizontal="center"/>
    </xf>
    <xf numFmtId="0" fontId="32" fillId="0" borderId="0" xfId="0" applyFont="1" applyAlignment="1">
      <alignment horizontal="center"/>
    </xf>
    <xf numFmtId="0" fontId="31" fillId="0" borderId="9" xfId="0" applyFont="1" applyBorder="1" applyAlignment="1">
      <alignment horizontal="center"/>
    </xf>
    <xf numFmtId="0" fontId="31" fillId="0" borderId="0" xfId="0" applyFont="1" applyAlignment="1">
      <alignment horizontal="center"/>
    </xf>
    <xf numFmtId="9" fontId="31" fillId="0" borderId="9" xfId="0" applyNumberFormat="1" applyFont="1" applyBorder="1" applyAlignment="1">
      <alignment horizontal="center"/>
    </xf>
    <xf numFmtId="9" fontId="31" fillId="0" borderId="0" xfId="0" applyNumberFormat="1" applyFont="1" applyAlignment="1">
      <alignment horizontal="center"/>
    </xf>
    <xf numFmtId="0" fontId="31" fillId="0" borderId="9" xfId="0" applyFont="1" applyBorder="1"/>
    <xf numFmtId="0" fontId="31" fillId="0" borderId="0" xfId="0" applyFont="1"/>
    <xf numFmtId="0" fontId="3" fillId="0" borderId="12" xfId="0" applyFont="1" applyBorder="1" applyAlignment="1">
      <alignment horizontal="center"/>
    </xf>
    <xf numFmtId="0" fontId="2" fillId="0" borderId="0" xfId="0" applyFont="1" applyAlignment="1">
      <alignment horizontal="center" vertical="center"/>
    </xf>
    <xf numFmtId="0" fontId="2" fillId="0" borderId="0" xfId="0" applyFont="1" applyAlignment="1">
      <alignment horizontal="left" vertical="center"/>
    </xf>
    <xf numFmtId="0" fontId="0" fillId="0" borderId="0" xfId="0" applyAlignment="1">
      <alignment horizontal="left" vertical="center"/>
    </xf>
    <xf numFmtId="0" fontId="33" fillId="0" borderId="0" xfId="0" applyFont="1"/>
    <xf numFmtId="0" fontId="23" fillId="0" borderId="0" xfId="0" applyFont="1"/>
    <xf numFmtId="0" fontId="23" fillId="0" borderId="0" xfId="0" applyFont="1" applyAlignment="1">
      <alignment horizontal="left" vertical="center"/>
    </xf>
    <xf numFmtId="0" fontId="3" fillId="0" borderId="0" xfId="0" applyFont="1" applyAlignment="1">
      <alignment horizontal="left"/>
    </xf>
    <xf numFmtId="0" fontId="29" fillId="0" borderId="0" xfId="0" applyFont="1"/>
    <xf numFmtId="0" fontId="0" fillId="0" borderId="0" xfId="0" applyProtection="1">
      <protection hidden="1"/>
    </xf>
    <xf numFmtId="0" fontId="34" fillId="0" borderId="0" xfId="0" applyFont="1"/>
    <xf numFmtId="0" fontId="11" fillId="8" borderId="0" xfId="0" applyFont="1" applyFill="1" applyAlignment="1">
      <alignment horizontal="center"/>
    </xf>
    <xf numFmtId="0" fontId="35" fillId="0" borderId="9" xfId="0" applyFont="1" applyBorder="1" applyAlignment="1">
      <alignment horizontal="center"/>
    </xf>
    <xf numFmtId="0" fontId="35" fillId="0" borderId="0" xfId="0" applyFont="1" applyAlignment="1">
      <alignment horizontal="center"/>
    </xf>
    <xf numFmtId="0" fontId="3" fillId="0" borderId="0" xfId="0" applyFont="1" applyAlignment="1">
      <alignment horizontal="center"/>
    </xf>
    <xf numFmtId="0" fontId="1" fillId="0" borderId="0" xfId="0" quotePrefix="1" applyFont="1"/>
    <xf numFmtId="0" fontId="38" fillId="0" borderId="0" xfId="0" applyFont="1"/>
    <xf numFmtId="0" fontId="38" fillId="0" borderId="0" xfId="0" quotePrefix="1" applyFont="1"/>
    <xf numFmtId="0" fontId="1" fillId="0" borderId="10" xfId="0" applyFont="1" applyBorder="1"/>
    <xf numFmtId="0" fontId="1" fillId="0" borderId="10" xfId="0" quotePrefix="1" applyFont="1" applyBorder="1"/>
    <xf numFmtId="0" fontId="1" fillId="0" borderId="7" xfId="0" applyFont="1" applyBorder="1"/>
    <xf numFmtId="0" fontId="1" fillId="0" borderId="12" xfId="0" quotePrefix="1" applyFont="1" applyBorder="1" applyAlignment="1">
      <alignment horizontal="center"/>
    </xf>
    <xf numFmtId="0" fontId="1" fillId="0" borderId="11" xfId="0" quotePrefix="1" applyFont="1" applyBorder="1" applyAlignment="1">
      <alignment horizontal="center"/>
    </xf>
    <xf numFmtId="0" fontId="1" fillId="0" borderId="12" xfId="0" applyFont="1" applyBorder="1"/>
    <xf numFmtId="0" fontId="1" fillId="0" borderId="12" xfId="0" applyFont="1" applyBorder="1" applyAlignment="1">
      <alignment horizontal="center"/>
    </xf>
    <xf numFmtId="0" fontId="1" fillId="0" borderId="11" xfId="0" applyFont="1" applyBorder="1" applyAlignment="1">
      <alignment horizontal="center"/>
    </xf>
    <xf numFmtId="0" fontId="1" fillId="0" borderId="6" xfId="0" applyFont="1" applyBorder="1" applyAlignment="1">
      <alignment horizontal="center"/>
    </xf>
    <xf numFmtId="0" fontId="1" fillId="0" borderId="4" xfId="0" quotePrefix="1" applyFont="1" applyBorder="1" applyAlignment="1">
      <alignment horizontal="center"/>
    </xf>
    <xf numFmtId="0" fontId="1" fillId="0" borderId="3" xfId="0" quotePrefix="1" applyFont="1" applyBorder="1" applyAlignment="1">
      <alignment horizontal="center"/>
    </xf>
    <xf numFmtId="0" fontId="1" fillId="0" borderId="4" xfId="0" applyFont="1" applyBorder="1"/>
    <xf numFmtId="0" fontId="1" fillId="0" borderId="4" xfId="0" applyFont="1" applyBorder="1" applyAlignment="1">
      <alignment horizontal="center"/>
    </xf>
    <xf numFmtId="0" fontId="1" fillId="0" borderId="3" xfId="0" applyFont="1" applyBorder="1" applyAlignment="1">
      <alignment horizontal="center"/>
    </xf>
    <xf numFmtId="0" fontId="1" fillId="0" borderId="1" xfId="0" applyFont="1" applyBorder="1" applyAlignment="1">
      <alignment horizontal="center"/>
    </xf>
    <xf numFmtId="0" fontId="34" fillId="0" borderId="10" xfId="0" applyFont="1" applyBorder="1"/>
    <xf numFmtId="0" fontId="34" fillId="0" borderId="7" xfId="0" applyFont="1" applyBorder="1"/>
    <xf numFmtId="0" fontId="31" fillId="0" borderId="0" xfId="0" applyFont="1" applyAlignment="1">
      <alignment vertical="center"/>
    </xf>
    <xf numFmtId="0" fontId="34" fillId="0" borderId="53" xfId="0" applyFont="1" applyBorder="1"/>
    <xf numFmtId="0" fontId="1" fillId="0" borderId="0" xfId="0" applyFont="1" applyAlignment="1">
      <alignment horizontal="center"/>
    </xf>
    <xf numFmtId="0" fontId="2" fillId="0" borderId="0" xfId="0" applyFont="1" applyAlignment="1">
      <alignment horizontal="right" vertical="center"/>
    </xf>
    <xf numFmtId="0" fontId="22" fillId="0" borderId="0" xfId="0" applyFont="1" applyProtection="1">
      <protection hidden="1"/>
    </xf>
    <xf numFmtId="0" fontId="3" fillId="0" borderId="0" xfId="0" applyFont="1" applyProtection="1">
      <protection hidden="1"/>
    </xf>
    <xf numFmtId="0" fontId="33" fillId="0" borderId="0" xfId="0" applyFont="1" applyProtection="1">
      <protection hidden="1"/>
    </xf>
    <xf numFmtId="0" fontId="0" fillId="0" borderId="1" xfId="0" applyBorder="1" applyProtection="1">
      <protection hidden="1"/>
    </xf>
    <xf numFmtId="0" fontId="0" fillId="5" borderId="3" xfId="0" applyFill="1" applyBorder="1" applyAlignment="1" applyProtection="1">
      <alignment horizontal="center"/>
      <protection hidden="1"/>
    </xf>
    <xf numFmtId="0" fontId="0" fillId="7" borderId="3" xfId="0" applyFill="1" applyBorder="1" applyProtection="1">
      <protection hidden="1"/>
    </xf>
    <xf numFmtId="0" fontId="0" fillId="5" borderId="1" xfId="0" applyFill="1" applyBorder="1" applyAlignment="1" applyProtection="1">
      <alignment horizontal="center"/>
      <protection hidden="1"/>
    </xf>
    <xf numFmtId="0" fontId="0" fillId="7" borderId="1" xfId="0" applyFill="1" applyBorder="1" applyAlignment="1" applyProtection="1">
      <alignment horizontal="center"/>
      <protection hidden="1"/>
    </xf>
    <xf numFmtId="0" fontId="0" fillId="0" borderId="2" xfId="0" applyBorder="1" applyProtection="1">
      <protection hidden="1"/>
    </xf>
    <xf numFmtId="0" fontId="0" fillId="7" borderId="2" xfId="0" applyFill="1" applyBorder="1" applyAlignment="1" applyProtection="1">
      <alignment horizontal="center"/>
      <protection hidden="1"/>
    </xf>
    <xf numFmtId="0" fontId="0" fillId="0" borderId="5" xfId="0" applyBorder="1" applyProtection="1">
      <protection hidden="1"/>
    </xf>
    <xf numFmtId="0" fontId="0" fillId="6" borderId="1" xfId="0" applyFill="1" applyBorder="1" applyAlignment="1" applyProtection="1">
      <alignment horizontal="center"/>
      <protection hidden="1"/>
    </xf>
    <xf numFmtId="0" fontId="0" fillId="4" borderId="1" xfId="0" applyFill="1" applyBorder="1" applyAlignment="1" applyProtection="1">
      <alignment horizontal="center"/>
      <protection hidden="1"/>
    </xf>
    <xf numFmtId="0" fontId="0" fillId="4" borderId="1" xfId="0" applyFill="1" applyBorder="1" applyProtection="1">
      <protection hidden="1"/>
    </xf>
    <xf numFmtId="0" fontId="0" fillId="6" borderId="4" xfId="0" applyFill="1" applyBorder="1" applyAlignment="1" applyProtection="1">
      <alignment horizontal="center"/>
      <protection hidden="1"/>
    </xf>
    <xf numFmtId="0" fontId="0" fillId="4" borderId="4" xfId="0" applyFill="1" applyBorder="1" applyAlignment="1" applyProtection="1">
      <alignment horizontal="center"/>
      <protection hidden="1"/>
    </xf>
    <xf numFmtId="0" fontId="0" fillId="4" borderId="4" xfId="0" applyFill="1" applyBorder="1" applyProtection="1">
      <protection hidden="1"/>
    </xf>
    <xf numFmtId="0" fontId="0" fillId="3" borderId="1" xfId="0" applyFill="1" applyBorder="1" applyAlignment="1" applyProtection="1">
      <alignment horizontal="center"/>
      <protection hidden="1"/>
    </xf>
    <xf numFmtId="0" fontId="0" fillId="0" borderId="3" xfId="0" applyBorder="1" applyProtection="1">
      <protection hidden="1"/>
    </xf>
    <xf numFmtId="0" fontId="0" fillId="3" borderId="1" xfId="0" applyFill="1" applyBorder="1" applyProtection="1">
      <protection hidden="1"/>
    </xf>
    <xf numFmtId="0" fontId="0" fillId="4" borderId="3" xfId="0" applyFill="1" applyBorder="1" applyProtection="1">
      <protection hidden="1"/>
    </xf>
    <xf numFmtId="0" fontId="0" fillId="3" borderId="3" xfId="0" applyFill="1" applyBorder="1" applyProtection="1">
      <protection hidden="1"/>
    </xf>
    <xf numFmtId="0" fontId="0" fillId="3" borderId="3" xfId="0" applyFill="1" applyBorder="1" applyAlignment="1" applyProtection="1">
      <alignment horizontal="center"/>
      <protection hidden="1"/>
    </xf>
    <xf numFmtId="0" fontId="0" fillId="4" borderId="3" xfId="0" applyFill="1" applyBorder="1" applyAlignment="1" applyProtection="1">
      <alignment horizontal="center"/>
      <protection hidden="1"/>
    </xf>
    <xf numFmtId="0" fontId="0" fillId="0" borderId="1" xfId="0" applyBorder="1" applyAlignment="1" applyProtection="1">
      <alignment vertical="top"/>
      <protection hidden="1"/>
    </xf>
    <xf numFmtId="0" fontId="0" fillId="3" borderId="1" xfId="0" applyFill="1" applyBorder="1" applyAlignment="1" applyProtection="1">
      <alignment horizontal="center" vertical="top"/>
      <protection hidden="1"/>
    </xf>
    <xf numFmtId="0" fontId="0" fillId="4" borderId="1" xfId="0" applyFill="1" applyBorder="1" applyAlignment="1" applyProtection="1">
      <alignment horizontal="center" vertical="top"/>
      <protection hidden="1"/>
    </xf>
    <xf numFmtId="0" fontId="0" fillId="5" borderId="10" xfId="0" applyFill="1" applyBorder="1" applyProtection="1">
      <protection hidden="1"/>
    </xf>
    <xf numFmtId="2" fontId="0" fillId="0" borderId="0" xfId="0" applyNumberFormat="1" applyProtection="1">
      <protection hidden="1"/>
    </xf>
    <xf numFmtId="2" fontId="0" fillId="0" borderId="0" xfId="0" applyNumberFormat="1" applyAlignment="1" applyProtection="1">
      <alignment horizontal="right"/>
      <protection hidden="1"/>
    </xf>
    <xf numFmtId="0" fontId="0" fillId="0" borderId="0" xfId="0" applyAlignment="1" applyProtection="1">
      <alignment horizontal="right"/>
      <protection hidden="1"/>
    </xf>
    <xf numFmtId="164" fontId="0" fillId="15" borderId="8" xfId="0" applyNumberFormat="1" applyFill="1" applyBorder="1" applyAlignment="1" applyProtection="1">
      <alignment horizontal="center"/>
      <protection hidden="1"/>
    </xf>
    <xf numFmtId="164" fontId="0" fillId="15" borderId="48" xfId="0" applyNumberFormat="1" applyFill="1" applyBorder="1" applyAlignment="1" applyProtection="1">
      <alignment horizontal="center"/>
      <protection hidden="1"/>
    </xf>
    <xf numFmtId="0" fontId="0" fillId="0" borderId="0" xfId="0" quotePrefix="1"/>
    <xf numFmtId="0" fontId="2" fillId="5" borderId="10" xfId="0" applyFont="1" applyFill="1" applyBorder="1" applyAlignment="1">
      <alignment vertical="center"/>
    </xf>
    <xf numFmtId="0" fontId="0" fillId="5" borderId="10" xfId="0" applyFill="1" applyBorder="1" applyAlignment="1">
      <alignment vertical="center"/>
    </xf>
    <xf numFmtId="0" fontId="2" fillId="5" borderId="10" xfId="0" applyFont="1" applyFill="1" applyBorder="1" applyAlignment="1">
      <alignment horizontal="center" vertical="center"/>
    </xf>
    <xf numFmtId="0" fontId="2" fillId="5" borderId="10" xfId="0" applyFont="1" applyFill="1" applyBorder="1" applyAlignment="1">
      <alignment horizontal="right" vertical="center"/>
    </xf>
    <xf numFmtId="0" fontId="39" fillId="17" borderId="19" xfId="1" applyFont="1" applyFill="1" applyBorder="1" applyAlignment="1">
      <alignment horizontal="center" vertical="center" wrapText="1"/>
    </xf>
    <xf numFmtId="0" fontId="39" fillId="17" borderId="20" xfId="1" applyFont="1" applyFill="1" applyBorder="1" applyAlignment="1">
      <alignment horizontal="center" vertical="center" wrapText="1"/>
    </xf>
    <xf numFmtId="0" fontId="1" fillId="2" borderId="10" xfId="0" applyFont="1" applyFill="1" applyBorder="1"/>
    <xf numFmtId="0" fontId="1" fillId="16" borderId="10" xfId="0" applyFont="1" applyFill="1" applyBorder="1"/>
    <xf numFmtId="0" fontId="34" fillId="16" borderId="10" xfId="0" applyFont="1" applyFill="1" applyBorder="1"/>
    <xf numFmtId="0" fontId="1" fillId="16" borderId="3" xfId="0" applyFont="1" applyFill="1" applyBorder="1"/>
    <xf numFmtId="0" fontId="1" fillId="16" borderId="11" xfId="0" applyFont="1" applyFill="1" applyBorder="1"/>
    <xf numFmtId="0" fontId="1" fillId="16" borderId="11" xfId="0" applyFont="1" applyFill="1" applyBorder="1" applyAlignment="1">
      <alignment horizontal="center"/>
    </xf>
    <xf numFmtId="0" fontId="1" fillId="16" borderId="3" xfId="0" applyFont="1" applyFill="1" applyBorder="1" applyAlignment="1">
      <alignment horizontal="center"/>
    </xf>
    <xf numFmtId="0" fontId="32" fillId="2" borderId="10" xfId="0" applyFont="1" applyFill="1" applyBorder="1"/>
    <xf numFmtId="0" fontId="1" fillId="2" borderId="10" xfId="0" applyFont="1" applyFill="1" applyBorder="1" applyAlignment="1">
      <alignment horizontal="center"/>
    </xf>
    <xf numFmtId="0" fontId="1" fillId="0" borderId="56" xfId="0" applyFont="1" applyBorder="1"/>
    <xf numFmtId="0" fontId="38" fillId="0" borderId="56" xfId="0" quotePrefix="1" applyFont="1" applyBorder="1"/>
    <xf numFmtId="0" fontId="34" fillId="0" borderId="56" xfId="0" applyFont="1" applyBorder="1"/>
    <xf numFmtId="0" fontId="1" fillId="0" borderId="5" xfId="0" applyFont="1" applyBorder="1" applyAlignment="1">
      <alignment horizontal="center"/>
    </xf>
    <xf numFmtId="0" fontId="1" fillId="0" borderId="55" xfId="0" applyFont="1" applyBorder="1"/>
    <xf numFmtId="0" fontId="1" fillId="0" borderId="55" xfId="0" applyFont="1" applyBorder="1" applyAlignment="1">
      <alignment horizontal="center"/>
    </xf>
    <xf numFmtId="164" fontId="1" fillId="0" borderId="0" xfId="0" applyNumberFormat="1" applyFont="1" applyAlignment="1">
      <alignment horizontal="center"/>
    </xf>
    <xf numFmtId="0" fontId="3" fillId="0" borderId="0" xfId="0" applyFont="1" applyProtection="1">
      <protection locked="0" hidden="1"/>
    </xf>
    <xf numFmtId="164" fontId="4" fillId="0" borderId="0" xfId="1" applyNumberFormat="1" applyProtection="1">
      <protection locked="0"/>
    </xf>
    <xf numFmtId="0" fontId="4" fillId="3" borderId="17" xfId="1" applyFill="1" applyBorder="1"/>
    <xf numFmtId="0" fontId="4" fillId="3" borderId="13" xfId="1" applyFill="1" applyBorder="1" applyAlignment="1">
      <alignment horizontal="center"/>
    </xf>
    <xf numFmtId="0" fontId="4" fillId="0" borderId="17" xfId="1" applyBorder="1"/>
    <xf numFmtId="0" fontId="4" fillId="0" borderId="13" xfId="1" applyBorder="1" applyAlignment="1">
      <alignment horizontal="center"/>
    </xf>
    <xf numFmtId="0" fontId="4" fillId="3" borderId="18" xfId="1" applyFill="1" applyBorder="1"/>
    <xf numFmtId="0" fontId="4" fillId="3" borderId="14" xfId="1" applyFill="1" applyBorder="1" applyAlignment="1">
      <alignment horizontal="center"/>
    </xf>
    <xf numFmtId="0" fontId="4" fillId="0" borderId="1" xfId="1" applyBorder="1"/>
    <xf numFmtId="0" fontId="4" fillId="0" borderId="17" xfId="1" applyBorder="1" applyAlignment="1">
      <alignment horizontal="center"/>
    </xf>
    <xf numFmtId="0" fontId="4" fillId="0" borderId="58" xfId="1" applyBorder="1" applyAlignment="1">
      <alignment horizontal="center"/>
    </xf>
    <xf numFmtId="0" fontId="4" fillId="0" borderId="14" xfId="1" applyBorder="1" applyAlignment="1">
      <alignment horizontal="center"/>
    </xf>
    <xf numFmtId="0" fontId="4" fillId="0" borderId="18" xfId="1" applyBorder="1"/>
    <xf numFmtId="0" fontId="4" fillId="3" borderId="59" xfId="1" applyFill="1" applyBorder="1"/>
    <xf numFmtId="0" fontId="4" fillId="3" borderId="61" xfId="1" applyFill="1" applyBorder="1" applyAlignment="1">
      <alignment horizontal="center"/>
    </xf>
    <xf numFmtId="0" fontId="4" fillId="3" borderId="62" xfId="1" applyFill="1" applyBorder="1" applyAlignment="1">
      <alignment horizontal="center"/>
    </xf>
    <xf numFmtId="0" fontId="4" fillId="0" borderId="1" xfId="1" applyBorder="1" applyAlignment="1">
      <alignment horizontal="center"/>
    </xf>
    <xf numFmtId="0" fontId="0" fillId="5" borderId="0" xfId="0" applyFill="1"/>
    <xf numFmtId="0" fontId="40" fillId="8" borderId="0" xfId="0" applyFont="1" applyFill="1" applyAlignment="1">
      <alignment horizontal="left"/>
    </xf>
    <xf numFmtId="0" fontId="0" fillId="14" borderId="0" xfId="0" applyFill="1"/>
    <xf numFmtId="0" fontId="24" fillId="8" borderId="0" xfId="0" applyFont="1" applyFill="1"/>
    <xf numFmtId="0" fontId="1" fillId="0" borderId="4" xfId="0" applyFont="1" applyBorder="1" applyAlignment="1">
      <alignment horizontal="center" vertical="top"/>
    </xf>
    <xf numFmtId="0" fontId="1" fillId="0" borderId="12" xfId="0" applyFont="1" applyBorder="1" applyAlignment="1">
      <alignment horizontal="center" vertical="top"/>
    </xf>
    <xf numFmtId="0" fontId="1" fillId="0" borderId="12" xfId="0" applyFont="1" applyBorder="1" applyAlignment="1">
      <alignment horizontal="center" vertical="top" wrapText="1"/>
    </xf>
    <xf numFmtId="0" fontId="1" fillId="0" borderId="0" xfId="0" applyFont="1" applyAlignment="1">
      <alignment horizontal="left" vertical="top"/>
    </xf>
    <xf numFmtId="0" fontId="34" fillId="0" borderId="0" xfId="0" applyFont="1" applyAlignment="1">
      <alignment horizontal="left" vertical="top"/>
    </xf>
    <xf numFmtId="0" fontId="1" fillId="0" borderId="4" xfId="0" applyFont="1" applyBorder="1" applyAlignment="1">
      <alignment horizontal="left" vertical="top"/>
    </xf>
    <xf numFmtId="0" fontId="1" fillId="0" borderId="12" xfId="0" applyFont="1" applyBorder="1" applyAlignment="1">
      <alignment horizontal="left" vertical="top"/>
    </xf>
    <xf numFmtId="0" fontId="43" fillId="3" borderId="0" xfId="0" applyFont="1" applyFill="1"/>
    <xf numFmtId="0" fontId="43" fillId="8" borderId="0" xfId="0" applyFont="1" applyFill="1"/>
    <xf numFmtId="0" fontId="43" fillId="19" borderId="0" xfId="0" applyFont="1" applyFill="1"/>
    <xf numFmtId="0" fontId="60" fillId="19" borderId="0" xfId="0" applyFont="1" applyFill="1"/>
    <xf numFmtId="0" fontId="43" fillId="3" borderId="0" xfId="0" applyFont="1" applyFill="1" applyProtection="1">
      <protection hidden="1"/>
    </xf>
    <xf numFmtId="0" fontId="43" fillId="8" borderId="0" xfId="0" applyFont="1" applyFill="1" applyProtection="1">
      <protection hidden="1"/>
    </xf>
    <xf numFmtId="0" fontId="44" fillId="8" borderId="0" xfId="0" applyFont="1" applyFill="1"/>
    <xf numFmtId="0" fontId="45" fillId="8" borderId="0" xfId="0" applyFont="1" applyFill="1" applyAlignment="1">
      <alignment vertical="center"/>
    </xf>
    <xf numFmtId="0" fontId="50" fillId="8" borderId="0" xfId="0" applyFont="1" applyFill="1"/>
    <xf numFmtId="0" fontId="53" fillId="8" borderId="0" xfId="0" applyFont="1" applyFill="1"/>
    <xf numFmtId="0" fontId="54" fillId="8" borderId="0" xfId="0" applyFont="1" applyFill="1" applyAlignment="1">
      <alignment vertical="center"/>
    </xf>
    <xf numFmtId="0" fontId="55" fillId="8" borderId="0" xfId="0" applyFont="1" applyFill="1" applyAlignment="1" applyProtection="1">
      <alignment horizontal="center"/>
      <protection hidden="1"/>
    </xf>
    <xf numFmtId="0" fontId="55" fillId="8" borderId="0" xfId="0" applyFont="1" applyFill="1"/>
    <xf numFmtId="0" fontId="49" fillId="8" borderId="63" xfId="0" applyFont="1" applyFill="1" applyBorder="1"/>
    <xf numFmtId="0" fontId="43" fillId="8" borderId="63" xfId="0" applyFont="1" applyFill="1" applyBorder="1"/>
    <xf numFmtId="0" fontId="50" fillId="8" borderId="0" xfId="0" applyFont="1" applyFill="1" applyAlignment="1">
      <alignment vertical="center"/>
    </xf>
    <xf numFmtId="0" fontId="49" fillId="8" borderId="0" xfId="0" applyFont="1" applyFill="1"/>
    <xf numFmtId="0" fontId="51" fillId="8" borderId="63" xfId="0" applyFont="1" applyFill="1" applyBorder="1" applyAlignment="1">
      <alignment vertical="center"/>
    </xf>
    <xf numFmtId="0" fontId="55" fillId="8" borderId="0" xfId="0" applyFont="1" applyFill="1" applyAlignment="1">
      <alignment vertical="center"/>
    </xf>
    <xf numFmtId="0" fontId="55" fillId="8" borderId="0" xfId="0" applyFont="1" applyFill="1" applyAlignment="1">
      <alignment horizontal="center"/>
    </xf>
    <xf numFmtId="0" fontId="51" fillId="8" borderId="0" xfId="0" applyFont="1" applyFill="1" applyAlignment="1">
      <alignment vertical="center"/>
    </xf>
    <xf numFmtId="0" fontId="49" fillId="8" borderId="0" xfId="0" applyFont="1" applyFill="1" applyAlignment="1">
      <alignment vertical="center"/>
    </xf>
    <xf numFmtId="0" fontId="49" fillId="8" borderId="63" xfId="0" applyFont="1" applyFill="1" applyBorder="1" applyAlignment="1">
      <alignment vertical="center"/>
    </xf>
    <xf numFmtId="0" fontId="56" fillId="8" borderId="63" xfId="0" applyFont="1" applyFill="1" applyBorder="1" applyAlignment="1">
      <alignment horizontal="center" vertical="center"/>
    </xf>
    <xf numFmtId="0" fontId="49" fillId="8" borderId="64" xfId="0" applyFont="1" applyFill="1" applyBorder="1" applyAlignment="1">
      <alignment vertical="center"/>
    </xf>
    <xf numFmtId="0" fontId="57" fillId="8" borderId="63" xfId="0" applyFont="1" applyFill="1" applyBorder="1" applyAlignment="1">
      <alignment vertical="center"/>
    </xf>
    <xf numFmtId="0" fontId="49" fillId="8" borderId="0" xfId="0" applyFont="1" applyFill="1" applyAlignment="1">
      <alignment horizontal="left" vertical="center"/>
    </xf>
    <xf numFmtId="0" fontId="57" fillId="8" borderId="0" xfId="0" applyFont="1" applyFill="1" applyAlignment="1">
      <alignment vertical="center"/>
    </xf>
    <xf numFmtId="0" fontId="50" fillId="8" borderId="0" xfId="0" applyFont="1" applyFill="1" applyProtection="1">
      <protection hidden="1"/>
    </xf>
    <xf numFmtId="0" fontId="61" fillId="8" borderId="0" xfId="0" applyFont="1" applyFill="1" applyAlignment="1" applyProtection="1">
      <alignment vertical="center"/>
      <protection hidden="1"/>
    </xf>
    <xf numFmtId="0" fontId="62" fillId="8" borderId="0" xfId="0" applyFont="1" applyFill="1" applyProtection="1">
      <protection hidden="1"/>
    </xf>
    <xf numFmtId="0" fontId="64" fillId="8" borderId="0" xfId="0" applyFont="1" applyFill="1" applyAlignment="1">
      <alignment horizontal="right"/>
    </xf>
    <xf numFmtId="0" fontId="64" fillId="8" borderId="0" xfId="0" applyFont="1" applyFill="1"/>
    <xf numFmtId="0" fontId="65" fillId="8" borderId="0" xfId="0" applyFont="1" applyFill="1" applyAlignment="1">
      <alignment horizontal="right" vertical="center"/>
    </xf>
    <xf numFmtId="0" fontId="65" fillId="8" borderId="0" xfId="0" applyFont="1" applyFill="1" applyAlignment="1">
      <alignment horizontal="left" vertical="center"/>
    </xf>
    <xf numFmtId="0" fontId="50" fillId="8" borderId="10" xfId="0" applyFont="1" applyFill="1" applyBorder="1" applyProtection="1">
      <protection hidden="1"/>
    </xf>
    <xf numFmtId="0" fontId="43" fillId="0" borderId="0" xfId="0" applyFont="1"/>
    <xf numFmtId="0" fontId="44" fillId="0" borderId="0" xfId="0" applyFont="1"/>
    <xf numFmtId="0" fontId="66" fillId="17" borderId="19" xfId="1" applyFont="1" applyFill="1" applyBorder="1" applyAlignment="1">
      <alignment horizontal="center" vertical="center" wrapText="1"/>
    </xf>
    <xf numFmtId="0" fontId="66" fillId="17" borderId="20" xfId="1" applyFont="1" applyFill="1" applyBorder="1" applyAlignment="1">
      <alignment horizontal="center" vertical="center" wrapText="1"/>
    </xf>
    <xf numFmtId="0" fontId="66" fillId="17" borderId="21" xfId="1" applyFont="1" applyFill="1" applyBorder="1" applyAlignment="1">
      <alignment horizontal="center" vertical="center" wrapText="1"/>
    </xf>
    <xf numFmtId="0" fontId="43" fillId="12" borderId="1" xfId="0" applyFont="1" applyFill="1" applyBorder="1" applyAlignment="1">
      <alignment horizontal="center"/>
    </xf>
    <xf numFmtId="0" fontId="43" fillId="0" borderId="12" xfId="0" applyFont="1" applyBorder="1" applyAlignment="1">
      <alignment horizontal="center"/>
    </xf>
    <xf numFmtId="0" fontId="43" fillId="12" borderId="5" xfId="0" applyFont="1" applyFill="1" applyBorder="1" applyAlignment="1">
      <alignment horizontal="center"/>
    </xf>
    <xf numFmtId="0" fontId="43" fillId="0" borderId="0" xfId="0" applyFont="1" applyAlignment="1">
      <alignment horizontal="center"/>
    </xf>
    <xf numFmtId="0" fontId="43" fillId="12" borderId="3" xfId="0" applyFont="1" applyFill="1" applyBorder="1" applyAlignment="1">
      <alignment horizontal="center"/>
    </xf>
    <xf numFmtId="0" fontId="67" fillId="0" borderId="0" xfId="1" applyFont="1"/>
    <xf numFmtId="0" fontId="67" fillId="0" borderId="0" xfId="1" applyFont="1" applyAlignment="1">
      <alignment horizontal="center"/>
    </xf>
    <xf numFmtId="164" fontId="67" fillId="0" borderId="0" xfId="1" applyNumberFormat="1" applyFont="1" applyProtection="1">
      <protection locked="0"/>
    </xf>
    <xf numFmtId="0" fontId="69" fillId="0" borderId="0" xfId="1" applyFont="1" applyAlignment="1">
      <alignment horizontal="center" vertical="center" wrapText="1"/>
    </xf>
    <xf numFmtId="164" fontId="67" fillId="0" borderId="0" xfId="1" applyNumberFormat="1" applyFont="1"/>
    <xf numFmtId="0" fontId="70" fillId="5" borderId="10" xfId="0" applyFont="1" applyFill="1" applyBorder="1" applyAlignment="1">
      <alignment vertical="center"/>
    </xf>
    <xf numFmtId="0" fontId="44" fillId="5" borderId="10" xfId="0" applyFont="1" applyFill="1" applyBorder="1" applyAlignment="1">
      <alignment vertical="center"/>
    </xf>
    <xf numFmtId="0" fontId="70" fillId="5" borderId="10" xfId="0" applyFont="1" applyFill="1" applyBorder="1" applyAlignment="1">
      <alignment horizontal="center" vertical="center"/>
    </xf>
    <xf numFmtId="0" fontId="70" fillId="5" borderId="10" xfId="0" applyFont="1" applyFill="1" applyBorder="1" applyAlignment="1">
      <alignment horizontal="right" vertical="center"/>
    </xf>
    <xf numFmtId="0" fontId="67" fillId="0" borderId="17" xfId="1" applyFont="1" applyBorder="1"/>
    <xf numFmtId="0" fontId="67" fillId="0" borderId="13" xfId="1" applyFont="1" applyBorder="1" applyAlignment="1">
      <alignment horizontal="center"/>
    </xf>
    <xf numFmtId="164" fontId="67" fillId="0" borderId="57" xfId="1" applyNumberFormat="1" applyFont="1" applyBorder="1" applyProtection="1">
      <protection locked="0"/>
    </xf>
    <xf numFmtId="0" fontId="67" fillId="0" borderId="14" xfId="1" applyFont="1" applyBorder="1" applyAlignment="1">
      <alignment horizontal="center"/>
    </xf>
    <xf numFmtId="164" fontId="67" fillId="0" borderId="58" xfId="1" applyNumberFormat="1" applyFont="1" applyBorder="1" applyProtection="1">
      <protection locked="0"/>
    </xf>
    <xf numFmtId="0" fontId="67" fillId="0" borderId="18" xfId="1" applyFont="1" applyBorder="1"/>
    <xf numFmtId="0" fontId="67" fillId="0" borderId="59" xfId="1" applyFont="1" applyBorder="1"/>
    <xf numFmtId="0" fontId="67" fillId="0" borderId="60" xfId="1" applyFont="1" applyBorder="1" applyAlignment="1">
      <alignment horizontal="center"/>
    </xf>
    <xf numFmtId="164" fontId="67" fillId="0" borderId="5" xfId="1" applyNumberFormat="1" applyFont="1" applyBorder="1" applyProtection="1">
      <protection locked="0"/>
    </xf>
    <xf numFmtId="0" fontId="67" fillId="0" borderId="65" xfId="1" applyFont="1" applyBorder="1" applyAlignment="1">
      <alignment horizontal="center"/>
    </xf>
    <xf numFmtId="164" fontId="67" fillId="0" borderId="1" xfId="1" applyNumberFormat="1" applyFont="1" applyBorder="1" applyProtection="1">
      <protection locked="0"/>
    </xf>
    <xf numFmtId="0" fontId="67" fillId="0" borderId="61" xfId="1" applyFont="1" applyBorder="1" applyAlignment="1">
      <alignment horizontal="center"/>
    </xf>
    <xf numFmtId="0" fontId="67" fillId="0" borderId="62" xfId="1" applyFont="1" applyBorder="1" applyAlignment="1">
      <alignment horizontal="center"/>
    </xf>
    <xf numFmtId="164" fontId="67" fillId="0" borderId="60" xfId="1" applyNumberFormat="1" applyFont="1" applyBorder="1" applyProtection="1">
      <protection locked="0"/>
    </xf>
    <xf numFmtId="0" fontId="67" fillId="0" borderId="1" xfId="1" applyFont="1" applyBorder="1"/>
    <xf numFmtId="0" fontId="67" fillId="0" borderId="1" xfId="1" applyFont="1" applyBorder="1" applyAlignment="1">
      <alignment horizontal="center"/>
    </xf>
    <xf numFmtId="0" fontId="49" fillId="8" borderId="10" xfId="0" applyFont="1" applyFill="1" applyBorder="1"/>
    <xf numFmtId="16" fontId="56" fillId="8" borderId="10" xfId="0" quotePrefix="1" applyNumberFormat="1" applyFont="1" applyFill="1" applyBorder="1" applyAlignment="1">
      <alignment horizontal="center" vertical="center"/>
    </xf>
    <xf numFmtId="0" fontId="50" fillId="3" borderId="0" xfId="0" applyFont="1" applyFill="1" applyAlignment="1">
      <alignment horizontal="center" vertical="center"/>
    </xf>
    <xf numFmtId="0" fontId="55" fillId="8" borderId="0" xfId="0" applyFont="1" applyFill="1" applyAlignment="1">
      <alignment horizontal="center" vertical="center"/>
    </xf>
    <xf numFmtId="0" fontId="61" fillId="8" borderId="56" xfId="0" applyFont="1" applyFill="1" applyBorder="1" applyAlignment="1" applyProtection="1">
      <alignment vertical="center"/>
      <protection hidden="1"/>
    </xf>
    <xf numFmtId="0" fontId="43" fillId="8" borderId="56" xfId="0" applyFont="1" applyFill="1" applyBorder="1" applyProtection="1">
      <protection hidden="1"/>
    </xf>
    <xf numFmtId="0" fontId="0" fillId="8" borderId="10" xfId="0" applyFill="1" applyBorder="1"/>
    <xf numFmtId="0" fontId="54" fillId="8" borderId="0" xfId="0" applyFont="1" applyFill="1" applyAlignment="1">
      <alignment horizontal="center" vertical="center"/>
    </xf>
    <xf numFmtId="0" fontId="50" fillId="8" borderId="0" xfId="0" applyFont="1" applyFill="1" applyAlignment="1">
      <alignment horizontal="center" vertical="center"/>
    </xf>
    <xf numFmtId="0" fontId="70" fillId="8" borderId="0" xfId="0" applyFont="1" applyFill="1" applyProtection="1">
      <protection hidden="1"/>
    </xf>
    <xf numFmtId="0" fontId="74" fillId="8" borderId="0" xfId="0" applyFont="1" applyFill="1" applyAlignment="1">
      <alignment horizontal="center" vertical="center"/>
    </xf>
    <xf numFmtId="0" fontId="45" fillId="3" borderId="0" xfId="0" applyFont="1" applyFill="1" applyAlignment="1">
      <alignment horizontal="center"/>
    </xf>
    <xf numFmtId="0" fontId="0" fillId="0" borderId="0" xfId="0" applyAlignment="1" applyProtection="1">
      <alignment horizontal="left"/>
      <protection hidden="1"/>
    </xf>
    <xf numFmtId="0" fontId="33" fillId="0" borderId="0" xfId="0" quotePrefix="1" applyFont="1" applyAlignment="1" applyProtection="1">
      <alignment horizontal="center"/>
      <protection hidden="1"/>
    </xf>
    <xf numFmtId="0" fontId="77" fillId="8" borderId="0" xfId="0" applyFont="1" applyFill="1" applyAlignment="1">
      <alignment horizontal="center"/>
    </xf>
    <xf numFmtId="1" fontId="55" fillId="8" borderId="0" xfId="0" applyNumberFormat="1" applyFont="1" applyFill="1" applyAlignment="1">
      <alignment horizontal="center" vertical="center"/>
    </xf>
    <xf numFmtId="0" fontId="49" fillId="3" borderId="56" xfId="0" applyFont="1" applyFill="1" applyBorder="1" applyAlignment="1">
      <alignment horizontal="left" vertical="center"/>
    </xf>
    <xf numFmtId="0" fontId="49" fillId="3" borderId="56" xfId="0" applyFont="1" applyFill="1" applyBorder="1" applyAlignment="1">
      <alignment vertical="center"/>
    </xf>
    <xf numFmtId="0" fontId="57" fillId="3" borderId="56" xfId="0" applyFont="1" applyFill="1" applyBorder="1" applyAlignment="1">
      <alignment vertical="center"/>
    </xf>
    <xf numFmtId="0" fontId="51" fillId="3" borderId="56" xfId="0" applyFont="1" applyFill="1" applyBorder="1" applyAlignment="1">
      <alignment vertical="center"/>
    </xf>
    <xf numFmtId="0" fontId="50" fillId="3" borderId="56" xfId="0" applyFont="1" applyFill="1" applyBorder="1" applyAlignment="1">
      <alignment vertical="center"/>
    </xf>
    <xf numFmtId="0" fontId="55" fillId="3" borderId="56" xfId="0" applyFont="1" applyFill="1" applyBorder="1"/>
    <xf numFmtId="0" fontId="54" fillId="3" borderId="56" xfId="0" applyFont="1" applyFill="1" applyBorder="1" applyAlignment="1">
      <alignment vertical="center"/>
    </xf>
    <xf numFmtId="0" fontId="50" fillId="3" borderId="56" xfId="0" applyFont="1" applyFill="1" applyBorder="1"/>
    <xf numFmtId="0" fontId="55" fillId="3" borderId="56" xfId="0" applyFont="1" applyFill="1" applyBorder="1" applyAlignment="1">
      <alignment horizontal="center"/>
    </xf>
    <xf numFmtId="0" fontId="55" fillId="3" borderId="0" xfId="0" applyFont="1" applyFill="1"/>
    <xf numFmtId="0" fontId="61" fillId="3" borderId="0" xfId="0" applyFont="1" applyFill="1" applyAlignment="1" applyProtection="1">
      <alignment vertical="center"/>
      <protection hidden="1"/>
    </xf>
    <xf numFmtId="0" fontId="0" fillId="20" borderId="1" xfId="0" applyFill="1" applyBorder="1" applyProtection="1">
      <protection hidden="1"/>
    </xf>
    <xf numFmtId="2" fontId="0" fillId="20" borderId="1" xfId="0" applyNumberFormat="1" applyFill="1" applyBorder="1" applyProtection="1">
      <protection hidden="1"/>
    </xf>
    <xf numFmtId="0" fontId="0" fillId="13" borderId="1" xfId="0" applyFill="1" applyBorder="1" applyProtection="1">
      <protection hidden="1"/>
    </xf>
    <xf numFmtId="0" fontId="0" fillId="5" borderId="1" xfId="0" applyFill="1" applyBorder="1" applyProtection="1">
      <protection hidden="1"/>
    </xf>
    <xf numFmtId="0" fontId="78" fillId="8" borderId="0" xfId="0" quotePrefix="1" applyFont="1" applyFill="1" applyProtection="1">
      <protection hidden="1"/>
    </xf>
    <xf numFmtId="0" fontId="33" fillId="8" borderId="0" xfId="0" applyFont="1" applyFill="1" applyProtection="1">
      <protection hidden="1"/>
    </xf>
    <xf numFmtId="1" fontId="76" fillId="0" borderId="0" xfId="0" applyNumberFormat="1" applyFont="1" applyAlignment="1">
      <alignment horizontal="center" vertical="center"/>
    </xf>
    <xf numFmtId="0" fontId="50" fillId="8" borderId="0" xfId="0" applyFont="1" applyFill="1" applyAlignment="1" applyProtection="1">
      <alignment vertical="center"/>
      <protection hidden="1"/>
    </xf>
    <xf numFmtId="16" fontId="0" fillId="0" borderId="0" xfId="0" applyNumberFormat="1"/>
    <xf numFmtId="0" fontId="2" fillId="0" borderId="0" xfId="0" applyFont="1"/>
    <xf numFmtId="0" fontId="55" fillId="8" borderId="0" xfId="0" applyFont="1" applyFill="1" applyAlignment="1" applyProtection="1">
      <alignment vertical="center"/>
      <protection hidden="1"/>
    </xf>
    <xf numFmtId="1" fontId="50" fillId="8" borderId="0" xfId="0" applyNumberFormat="1" applyFont="1" applyFill="1" applyAlignment="1" applyProtection="1">
      <alignment horizontal="center" vertical="center"/>
      <protection hidden="1"/>
    </xf>
    <xf numFmtId="2" fontId="0" fillId="0" borderId="0" xfId="0" applyNumberFormat="1"/>
    <xf numFmtId="0" fontId="0" fillId="0" borderId="0" xfId="0" applyAlignment="1">
      <alignment textRotation="90" wrapText="1"/>
    </xf>
    <xf numFmtId="0" fontId="0" fillId="22" borderId="0" xfId="0" applyFill="1" applyAlignment="1">
      <alignment textRotation="90" wrapText="1"/>
    </xf>
    <xf numFmtId="0" fontId="0" fillId="13" borderId="0" xfId="0" applyFill="1" applyAlignment="1">
      <alignment textRotation="90" wrapText="1"/>
    </xf>
    <xf numFmtId="1" fontId="0" fillId="5" borderId="0" xfId="0" applyNumberFormat="1" applyFill="1"/>
    <xf numFmtId="16" fontId="0" fillId="3" borderId="0" xfId="0" applyNumberFormat="1" applyFill="1"/>
    <xf numFmtId="0" fontId="0" fillId="3" borderId="0" xfId="0" applyFill="1"/>
    <xf numFmtId="1" fontId="0" fillId="3" borderId="0" xfId="0" applyNumberFormat="1" applyFill="1"/>
    <xf numFmtId="2" fontId="0" fillId="3" borderId="0" xfId="0" applyNumberFormat="1" applyFill="1"/>
    <xf numFmtId="0" fontId="0" fillId="5" borderId="0" xfId="0" applyFill="1" applyAlignment="1">
      <alignment horizontal="center" vertical="center"/>
    </xf>
    <xf numFmtId="0" fontId="2" fillId="5" borderId="0" xfId="0" applyFont="1" applyFill="1"/>
    <xf numFmtId="1" fontId="2" fillId="5" borderId="0" xfId="0" applyNumberFormat="1" applyFont="1" applyFill="1"/>
    <xf numFmtId="0" fontId="61" fillId="8" borderId="0" xfId="0" applyFont="1" applyFill="1" applyAlignment="1" applyProtection="1">
      <alignment horizontal="center" vertical="center"/>
      <protection hidden="1"/>
    </xf>
    <xf numFmtId="0" fontId="0" fillId="8" borderId="0" xfId="0" applyFill="1" applyAlignment="1">
      <alignment horizontal="center" vertical="center"/>
    </xf>
    <xf numFmtId="0" fontId="44" fillId="8" borderId="0" xfId="0" applyFont="1" applyFill="1" applyAlignment="1">
      <alignment horizontal="center" vertical="center"/>
    </xf>
    <xf numFmtId="0" fontId="82" fillId="8" borderId="0" xfId="0" applyFont="1" applyFill="1" applyAlignment="1" applyProtection="1">
      <alignment horizontal="center" vertical="center"/>
      <protection hidden="1"/>
    </xf>
    <xf numFmtId="0" fontId="81" fillId="8" borderId="0" xfId="0" applyFont="1" applyFill="1" applyAlignment="1" applyProtection="1">
      <alignment horizontal="center" vertical="center"/>
      <protection hidden="1"/>
    </xf>
    <xf numFmtId="0" fontId="80" fillId="8" borderId="0" xfId="0" applyFont="1" applyFill="1" applyAlignment="1">
      <alignment horizontal="center" vertical="center"/>
    </xf>
    <xf numFmtId="0" fontId="44" fillId="8" borderId="0" xfId="0" applyFont="1" applyFill="1" applyAlignment="1" applyProtection="1">
      <alignment horizontal="center" vertical="center"/>
      <protection hidden="1"/>
    </xf>
    <xf numFmtId="1" fontId="83" fillId="8" borderId="0" xfId="0" applyNumberFormat="1" applyFont="1" applyFill="1" applyAlignment="1" applyProtection="1">
      <alignment horizontal="center" vertical="center"/>
      <protection hidden="1"/>
    </xf>
    <xf numFmtId="0" fontId="0" fillId="3" borderId="0" xfId="0" applyFill="1" applyAlignment="1">
      <alignment textRotation="90" wrapText="1"/>
    </xf>
    <xf numFmtId="0" fontId="0" fillId="2" borderId="0" xfId="0" applyFill="1" applyAlignment="1">
      <alignment textRotation="90" wrapText="1"/>
    </xf>
    <xf numFmtId="0" fontId="0" fillId="2" borderId="0" xfId="0" applyFill="1"/>
    <xf numFmtId="0" fontId="0" fillId="3" borderId="0" xfId="0" quotePrefix="1" applyFill="1"/>
    <xf numFmtId="0" fontId="50" fillId="20" borderId="0" xfId="0" applyFont="1" applyFill="1" applyProtection="1">
      <protection hidden="1"/>
    </xf>
    <xf numFmtId="0" fontId="48" fillId="19" borderId="0" xfId="0" applyFont="1" applyFill="1" applyAlignment="1">
      <alignment horizontal="left" vertical="center"/>
    </xf>
    <xf numFmtId="0" fontId="50" fillId="13" borderId="0" xfId="0" applyFont="1" applyFill="1" applyProtection="1">
      <protection hidden="1"/>
    </xf>
    <xf numFmtId="0" fontId="63" fillId="20" borderId="0" xfId="0" applyFont="1" applyFill="1" applyProtection="1">
      <protection hidden="1"/>
    </xf>
    <xf numFmtId="0" fontId="63" fillId="13" borderId="0" xfId="0" applyFont="1" applyFill="1" applyProtection="1">
      <protection hidden="1"/>
    </xf>
    <xf numFmtId="0" fontId="0" fillId="13" borderId="0" xfId="0" applyFill="1"/>
    <xf numFmtId="0" fontId="87" fillId="8" borderId="0" xfId="0" applyFont="1" applyFill="1" applyAlignment="1" applyProtection="1">
      <alignment vertical="center"/>
      <protection hidden="1"/>
    </xf>
    <xf numFmtId="0" fontId="91" fillId="8" borderId="0" xfId="0" applyFont="1" applyFill="1" applyAlignment="1" applyProtection="1">
      <alignment horizontal="center" vertical="center" textRotation="255" wrapText="1"/>
      <protection hidden="1"/>
    </xf>
    <xf numFmtId="0" fontId="90" fillId="8" borderId="0" xfId="0" applyFont="1" applyFill="1" applyAlignment="1" applyProtection="1">
      <alignment horizontal="center" vertical="center" textRotation="255" wrapText="1"/>
      <protection hidden="1"/>
    </xf>
    <xf numFmtId="0" fontId="50" fillId="0" borderId="0" xfId="0" applyFont="1" applyProtection="1">
      <protection hidden="1"/>
    </xf>
    <xf numFmtId="0" fontId="93" fillId="8" borderId="0" xfId="0" applyFont="1" applyFill="1"/>
    <xf numFmtId="0" fontId="92" fillId="8" borderId="0" xfId="0" applyFont="1" applyFill="1"/>
    <xf numFmtId="0" fontId="92" fillId="19" borderId="0" xfId="0" applyFont="1" applyFill="1"/>
    <xf numFmtId="0" fontId="94" fillId="0" borderId="0" xfId="0" applyFont="1"/>
    <xf numFmtId="0" fontId="95" fillId="8" borderId="0" xfId="0" applyFont="1" applyFill="1" applyProtection="1">
      <protection hidden="1"/>
    </xf>
    <xf numFmtId="0" fontId="95" fillId="8" borderId="0" xfId="0" applyFont="1" applyFill="1" applyAlignment="1" applyProtection="1">
      <alignment vertical="center"/>
      <protection hidden="1"/>
    </xf>
    <xf numFmtId="0" fontId="95" fillId="20" borderId="0" xfId="0" applyFont="1" applyFill="1" applyProtection="1">
      <protection hidden="1"/>
    </xf>
    <xf numFmtId="0" fontId="88" fillId="13" borderId="0" xfId="0" applyFont="1" applyFill="1" applyAlignment="1" applyProtection="1">
      <alignment horizontal="left" wrapText="1"/>
      <protection hidden="1"/>
    </xf>
    <xf numFmtId="0" fontId="54" fillId="20" borderId="0" xfId="0" applyFont="1" applyFill="1" applyAlignment="1" applyProtection="1">
      <alignment horizontal="center" vertical="center"/>
      <protection hidden="1"/>
    </xf>
    <xf numFmtId="0" fontId="86" fillId="20" borderId="0" xfId="0" applyFont="1" applyFill="1" applyAlignment="1" applyProtection="1">
      <alignment horizontal="left" vertical="center"/>
      <protection hidden="1"/>
    </xf>
    <xf numFmtId="0" fontId="54" fillId="13" borderId="0" xfId="0" applyFont="1" applyFill="1" applyAlignment="1" applyProtection="1">
      <alignment horizontal="center" vertical="center"/>
      <protection hidden="1"/>
    </xf>
    <xf numFmtId="0" fontId="86" fillId="13" borderId="0" xfId="0" applyFont="1" applyFill="1" applyAlignment="1" applyProtection="1">
      <alignment horizontal="left" vertical="center"/>
      <protection hidden="1"/>
    </xf>
    <xf numFmtId="0" fontId="0" fillId="20" borderId="0" xfId="0" applyFill="1"/>
    <xf numFmtId="0" fontId="98" fillId="8" borderId="0" xfId="0" applyFont="1" applyFill="1" applyProtection="1">
      <protection hidden="1"/>
    </xf>
    <xf numFmtId="0" fontId="99" fillId="8" borderId="0" xfId="0" applyFont="1" applyFill="1" applyAlignment="1" applyProtection="1">
      <alignment horizontal="right" textRotation="255" wrapText="1"/>
      <protection hidden="1"/>
    </xf>
    <xf numFmtId="0" fontId="3" fillId="8" borderId="0" xfId="0" applyFont="1" applyFill="1"/>
    <xf numFmtId="0" fontId="88" fillId="20" borderId="0" xfId="0" applyFont="1" applyFill="1" applyAlignment="1" applyProtection="1">
      <alignment horizontal="left" wrapText="1"/>
      <protection hidden="1"/>
    </xf>
    <xf numFmtId="0" fontId="49" fillId="8" borderId="0" xfId="0" applyFont="1" applyFill="1" applyProtection="1">
      <protection hidden="1"/>
    </xf>
    <xf numFmtId="0" fontId="43" fillId="0" borderId="0" xfId="0" applyFont="1" applyProtection="1">
      <protection hidden="1"/>
    </xf>
    <xf numFmtId="0" fontId="49" fillId="0" borderId="0" xfId="0" applyFont="1" applyProtection="1">
      <protection hidden="1"/>
    </xf>
    <xf numFmtId="0" fontId="57" fillId="8" borderId="0" xfId="0" applyFont="1" applyFill="1" applyAlignment="1" applyProtection="1">
      <alignment horizontal="left" vertical="center"/>
      <protection hidden="1"/>
    </xf>
    <xf numFmtId="0" fontId="100" fillId="8" borderId="0" xfId="0" applyFont="1" applyFill="1" applyAlignment="1" applyProtection="1">
      <alignment vertical="center"/>
      <protection hidden="1"/>
    </xf>
    <xf numFmtId="0" fontId="57" fillId="8" borderId="0" xfId="0" applyFont="1" applyFill="1" applyAlignment="1" applyProtection="1">
      <alignment vertical="center"/>
      <protection hidden="1"/>
    </xf>
    <xf numFmtId="0" fontId="55" fillId="8" borderId="0" xfId="0" applyFont="1" applyFill="1" applyAlignment="1" applyProtection="1">
      <alignment horizontal="center" vertical="center"/>
      <protection hidden="1"/>
    </xf>
    <xf numFmtId="0" fontId="59" fillId="8" borderId="0" xfId="0" applyFont="1" applyFill="1" applyAlignment="1" applyProtection="1">
      <alignment horizontal="right" vertical="center"/>
      <protection hidden="1"/>
    </xf>
    <xf numFmtId="0" fontId="0" fillId="0" borderId="0" xfId="0" applyAlignment="1">
      <alignment horizontal="right"/>
    </xf>
    <xf numFmtId="0" fontId="102" fillId="8" borderId="0" xfId="0" applyFont="1" applyFill="1" applyAlignment="1" applyProtection="1">
      <alignment horizontal="right" vertical="center"/>
      <protection hidden="1"/>
    </xf>
    <xf numFmtId="1" fontId="59" fillId="8" borderId="0" xfId="0" applyNumberFormat="1" applyFont="1" applyFill="1" applyAlignment="1" applyProtection="1">
      <alignment horizontal="right" vertical="center"/>
      <protection hidden="1"/>
    </xf>
    <xf numFmtId="0" fontId="61" fillId="8" borderId="0" xfId="0" applyFont="1" applyFill="1" applyAlignment="1" applyProtection="1">
      <alignment horizontal="right" vertical="center"/>
      <protection hidden="1"/>
    </xf>
    <xf numFmtId="1" fontId="101" fillId="8" borderId="0" xfId="0" applyNumberFormat="1" applyFont="1" applyFill="1" applyAlignment="1" applyProtection="1">
      <alignment horizontal="right" vertical="center"/>
      <protection hidden="1"/>
    </xf>
    <xf numFmtId="1" fontId="102" fillId="8" borderId="0" xfId="0" applyNumberFormat="1" applyFont="1" applyFill="1" applyAlignment="1" applyProtection="1">
      <alignment horizontal="right" vertical="center"/>
      <protection hidden="1"/>
    </xf>
    <xf numFmtId="0" fontId="43" fillId="8" borderId="0" xfId="0" applyFont="1" applyFill="1" applyAlignment="1" applyProtection="1">
      <alignment horizontal="right"/>
      <protection hidden="1"/>
    </xf>
    <xf numFmtId="2" fontId="59" fillId="8" borderId="0" xfId="0" applyNumberFormat="1" applyFont="1" applyFill="1" applyAlignment="1" applyProtection="1">
      <alignment horizontal="right" vertical="center"/>
      <protection hidden="1"/>
    </xf>
    <xf numFmtId="0" fontId="50" fillId="8" borderId="0" xfId="0" applyFont="1" applyFill="1" applyAlignment="1" applyProtection="1">
      <alignment horizontal="center" vertical="center"/>
      <protection hidden="1"/>
    </xf>
    <xf numFmtId="0" fontId="43" fillId="8" borderId="0" xfId="0" applyFont="1" applyFill="1" applyAlignment="1" applyProtection="1">
      <alignment horizontal="center"/>
      <protection hidden="1"/>
    </xf>
    <xf numFmtId="0" fontId="49" fillId="8" borderId="66" xfId="0" applyFont="1" applyFill="1" applyBorder="1"/>
    <xf numFmtId="0" fontId="61" fillId="8" borderId="66" xfId="0" applyFont="1" applyFill="1" applyBorder="1" applyAlignment="1" applyProtection="1">
      <alignment vertical="center"/>
      <protection hidden="1"/>
    </xf>
    <xf numFmtId="0" fontId="33" fillId="8" borderId="0" xfId="0" applyFont="1" applyFill="1" applyAlignment="1" applyProtection="1">
      <alignment horizontal="center" vertical="center"/>
      <protection hidden="1"/>
    </xf>
    <xf numFmtId="0" fontId="3" fillId="8" borderId="0" xfId="0" applyFont="1" applyFill="1" applyProtection="1">
      <protection hidden="1"/>
    </xf>
    <xf numFmtId="0" fontId="0" fillId="8" borderId="0" xfId="0" applyFill="1" applyProtection="1">
      <protection hidden="1"/>
    </xf>
    <xf numFmtId="0" fontId="0" fillId="8" borderId="0" xfId="0" applyFill="1" applyAlignment="1" applyProtection="1">
      <alignment horizontal="center" vertical="center"/>
      <protection hidden="1"/>
    </xf>
    <xf numFmtId="0" fontId="49" fillId="8" borderId="0" xfId="0" applyFont="1" applyFill="1" applyAlignment="1" applyProtection="1">
      <alignment vertical="center"/>
      <protection hidden="1"/>
    </xf>
    <xf numFmtId="0" fontId="0" fillId="5" borderId="66" xfId="0" applyFill="1" applyBorder="1" applyProtection="1">
      <protection hidden="1"/>
    </xf>
    <xf numFmtId="0" fontId="0" fillId="5" borderId="66" xfId="0" applyFill="1" applyBorder="1"/>
    <xf numFmtId="1" fontId="0" fillId="0" borderId="0" xfId="0" applyNumberFormat="1" applyProtection="1">
      <protection hidden="1"/>
    </xf>
    <xf numFmtId="0" fontId="43" fillId="8" borderId="66" xfId="0" applyFont="1" applyFill="1" applyBorder="1" applyProtection="1">
      <protection hidden="1"/>
    </xf>
    <xf numFmtId="0" fontId="95" fillId="20" borderId="10" xfId="0" applyFont="1" applyFill="1" applyBorder="1" applyProtection="1">
      <protection hidden="1"/>
    </xf>
    <xf numFmtId="0" fontId="96" fillId="20" borderId="7" xfId="0" applyFont="1" applyFill="1" applyBorder="1" applyAlignment="1" applyProtection="1">
      <alignment horizontal="center"/>
      <protection hidden="1"/>
    </xf>
    <xf numFmtId="0" fontId="50" fillId="20" borderId="7" xfId="0" applyFont="1" applyFill="1" applyBorder="1" applyProtection="1">
      <protection hidden="1"/>
    </xf>
    <xf numFmtId="0" fontId="95" fillId="20" borderId="7" xfId="0" applyFont="1" applyFill="1" applyBorder="1" applyProtection="1">
      <protection hidden="1"/>
    </xf>
    <xf numFmtId="0" fontId="95" fillId="20" borderId="12" xfId="0" applyFont="1" applyFill="1" applyBorder="1" applyProtection="1">
      <protection hidden="1"/>
    </xf>
    <xf numFmtId="0" fontId="95" fillId="20" borderId="9" xfId="0" applyFont="1" applyFill="1" applyBorder="1" applyProtection="1">
      <protection hidden="1"/>
    </xf>
    <xf numFmtId="0" fontId="95" fillId="20" borderId="67" xfId="0" applyFont="1" applyFill="1" applyBorder="1" applyProtection="1">
      <protection hidden="1"/>
    </xf>
    <xf numFmtId="0" fontId="95" fillId="20" borderId="55" xfId="0" applyFont="1" applyFill="1" applyBorder="1" applyProtection="1">
      <protection hidden="1"/>
    </xf>
    <xf numFmtId="0" fontId="95" fillId="20" borderId="68" xfId="0" applyFont="1" applyFill="1" applyBorder="1" applyProtection="1">
      <protection hidden="1"/>
    </xf>
    <xf numFmtId="0" fontId="95" fillId="20" borderId="11" xfId="0" applyFont="1" applyFill="1" applyBorder="1" applyProtection="1">
      <protection hidden="1"/>
    </xf>
    <xf numFmtId="0" fontId="95" fillId="13" borderId="55" xfId="0" applyFont="1" applyFill="1" applyBorder="1" applyProtection="1">
      <protection hidden="1"/>
    </xf>
    <xf numFmtId="0" fontId="95" fillId="13" borderId="56" xfId="0" applyFont="1" applyFill="1" applyBorder="1" applyProtection="1">
      <protection hidden="1"/>
    </xf>
    <xf numFmtId="0" fontId="95" fillId="13" borderId="68" xfId="0" applyFont="1" applyFill="1" applyBorder="1" applyProtection="1">
      <protection hidden="1"/>
    </xf>
    <xf numFmtId="0" fontId="95" fillId="13" borderId="12" xfId="0" applyFont="1" applyFill="1" applyBorder="1" applyProtection="1">
      <protection hidden="1"/>
    </xf>
    <xf numFmtId="0" fontId="95" fillId="13" borderId="0" xfId="0" applyFont="1" applyFill="1" applyProtection="1">
      <protection hidden="1"/>
    </xf>
    <xf numFmtId="0" fontId="95" fillId="13" borderId="9" xfId="0" applyFont="1" applyFill="1" applyBorder="1" applyProtection="1">
      <protection hidden="1"/>
    </xf>
    <xf numFmtId="0" fontId="95" fillId="13" borderId="11" xfId="0" applyFont="1" applyFill="1" applyBorder="1" applyProtection="1">
      <protection hidden="1"/>
    </xf>
    <xf numFmtId="0" fontId="95" fillId="13" borderId="10" xfId="0" applyFont="1" applyFill="1" applyBorder="1" applyProtection="1">
      <protection hidden="1"/>
    </xf>
    <xf numFmtId="0" fontId="95" fillId="13" borderId="67" xfId="0" applyFont="1" applyFill="1" applyBorder="1" applyProtection="1">
      <protection hidden="1"/>
    </xf>
    <xf numFmtId="0" fontId="95" fillId="13" borderId="7" xfId="0" applyFont="1" applyFill="1" applyBorder="1" applyProtection="1">
      <protection hidden="1"/>
    </xf>
    <xf numFmtId="0" fontId="50" fillId="13" borderId="7" xfId="0" applyFont="1" applyFill="1" applyBorder="1" applyProtection="1">
      <protection hidden="1"/>
    </xf>
    <xf numFmtId="0" fontId="0" fillId="8" borderId="0" xfId="0" applyFill="1" applyAlignment="1" applyProtection="1">
      <alignment vertical="top" wrapText="1"/>
      <protection hidden="1"/>
    </xf>
    <xf numFmtId="0" fontId="0" fillId="8" borderId="0" xfId="0" applyFill="1" applyAlignment="1" applyProtection="1">
      <alignment vertical="top"/>
      <protection hidden="1"/>
    </xf>
    <xf numFmtId="0" fontId="23" fillId="8" borderId="0" xfId="0" applyFont="1" applyFill="1" applyProtection="1">
      <protection hidden="1"/>
    </xf>
    <xf numFmtId="0" fontId="107" fillId="8" borderId="0" xfId="0" applyFont="1" applyFill="1" applyAlignment="1" applyProtection="1">
      <alignment vertical="top" wrapText="1"/>
      <protection hidden="1"/>
    </xf>
    <xf numFmtId="2" fontId="105" fillId="8" borderId="0" xfId="0" applyNumberFormat="1" applyFont="1" applyFill="1" applyAlignment="1" applyProtection="1">
      <alignment horizontal="center"/>
      <protection hidden="1"/>
    </xf>
    <xf numFmtId="2" fontId="105" fillId="8" borderId="0" xfId="0" applyNumberFormat="1" applyFont="1" applyFill="1" applyProtection="1">
      <protection hidden="1"/>
    </xf>
    <xf numFmtId="0" fontId="2" fillId="8" borderId="0" xfId="0" applyFont="1" applyFill="1" applyAlignment="1" applyProtection="1">
      <alignment vertical="center"/>
      <protection hidden="1"/>
    </xf>
    <xf numFmtId="0" fontId="104" fillId="8" borderId="0" xfId="0" applyFont="1" applyFill="1" applyAlignment="1" applyProtection="1">
      <alignment vertical="center"/>
      <protection hidden="1"/>
    </xf>
    <xf numFmtId="1" fontId="103" fillId="8" borderId="0" xfId="0" applyNumberFormat="1" applyFont="1" applyFill="1" applyAlignment="1" applyProtection="1">
      <alignment horizontal="center" vertical="top"/>
      <protection hidden="1"/>
    </xf>
    <xf numFmtId="0" fontId="104" fillId="8" borderId="0" xfId="0" applyFont="1" applyFill="1" applyProtection="1">
      <protection hidden="1"/>
    </xf>
    <xf numFmtId="0" fontId="104" fillId="8" borderId="0" xfId="0" applyFont="1" applyFill="1" applyAlignment="1" applyProtection="1">
      <alignment vertical="top"/>
      <protection hidden="1"/>
    </xf>
    <xf numFmtId="0" fontId="105" fillId="8" borderId="0" xfId="0" applyFont="1" applyFill="1" applyProtection="1">
      <protection hidden="1"/>
    </xf>
    <xf numFmtId="0" fontId="106" fillId="8" borderId="0" xfId="0" applyFont="1" applyFill="1" applyAlignment="1" applyProtection="1">
      <alignment vertical="center" wrapText="1"/>
      <protection hidden="1"/>
    </xf>
    <xf numFmtId="0" fontId="23" fillId="8" borderId="0" xfId="0" applyFont="1" applyFill="1" applyAlignment="1" applyProtection="1">
      <alignment horizontal="center" vertical="center"/>
      <protection hidden="1"/>
    </xf>
    <xf numFmtId="0" fontId="59" fillId="8" borderId="0" xfId="0" applyFont="1" applyFill="1" applyAlignment="1">
      <alignment horizontal="center" vertical="center"/>
    </xf>
    <xf numFmtId="0" fontId="45" fillId="8" borderId="0" xfId="0" applyFont="1" applyFill="1" applyAlignment="1">
      <alignment horizontal="center"/>
    </xf>
    <xf numFmtId="0" fontId="72" fillId="8" borderId="56" xfId="0" applyFont="1" applyFill="1" applyBorder="1" applyAlignment="1">
      <alignment vertical="top" wrapText="1"/>
    </xf>
    <xf numFmtId="164" fontId="49" fillId="8" borderId="0" xfId="0" applyNumberFormat="1" applyFont="1" applyFill="1" applyAlignment="1">
      <alignment vertical="center"/>
    </xf>
    <xf numFmtId="0" fontId="109" fillId="8" borderId="0" xfId="0" applyFont="1" applyFill="1" applyAlignment="1">
      <alignment horizontal="left" vertical="center"/>
    </xf>
    <xf numFmtId="0" fontId="50" fillId="13" borderId="55" xfId="0" applyFont="1" applyFill="1" applyBorder="1" applyProtection="1">
      <protection hidden="1"/>
    </xf>
    <xf numFmtId="0" fontId="50" fillId="13" borderId="56" xfId="0" applyFont="1" applyFill="1" applyBorder="1" applyProtection="1">
      <protection hidden="1"/>
    </xf>
    <xf numFmtId="0" fontId="110" fillId="20" borderId="7" xfId="0" applyFont="1" applyFill="1" applyBorder="1" applyAlignment="1" applyProtection="1">
      <alignment horizontal="center" vertical="center"/>
      <protection hidden="1"/>
    </xf>
    <xf numFmtId="0" fontId="111" fillId="8" borderId="0" xfId="0" applyFont="1" applyFill="1" applyAlignment="1" applyProtection="1">
      <alignment horizontal="right"/>
      <protection hidden="1"/>
    </xf>
    <xf numFmtId="0" fontId="112" fillId="8" borderId="0" xfId="0" applyFont="1" applyFill="1" applyAlignment="1" applyProtection="1">
      <alignment horizontal="center"/>
      <protection hidden="1"/>
    </xf>
    <xf numFmtId="0" fontId="44" fillId="8" borderId="10" xfId="0" applyFont="1" applyFill="1" applyBorder="1"/>
    <xf numFmtId="0" fontId="72" fillId="8" borderId="0" xfId="0" applyFont="1" applyFill="1" applyAlignment="1">
      <alignment vertical="top" wrapText="1"/>
    </xf>
    <xf numFmtId="0" fontId="57" fillId="8" borderId="10" xfId="0" applyFont="1" applyFill="1" applyBorder="1" applyAlignment="1" applyProtection="1">
      <alignment vertical="center"/>
      <protection hidden="1"/>
    </xf>
    <xf numFmtId="0" fontId="62" fillId="0" borderId="10" xfId="0" applyFont="1" applyBorder="1"/>
    <xf numFmtId="0" fontId="100" fillId="8" borderId="10" xfId="0" applyFont="1" applyFill="1" applyBorder="1" applyAlignment="1" applyProtection="1">
      <alignment vertical="center"/>
      <protection hidden="1"/>
    </xf>
    <xf numFmtId="0" fontId="0" fillId="0" borderId="10" xfId="0" applyBorder="1"/>
    <xf numFmtId="0" fontId="0" fillId="0" borderId="0" xfId="0" applyAlignment="1">
      <alignment horizontal="left"/>
    </xf>
    <xf numFmtId="0" fontId="0" fillId="8" borderId="0" xfId="0" applyFill="1" applyAlignment="1">
      <alignment horizontal="left"/>
    </xf>
    <xf numFmtId="0" fontId="61" fillId="8" borderId="0" xfId="0" applyFont="1" applyFill="1" applyAlignment="1" applyProtection="1">
      <alignment horizontal="left" vertical="center"/>
      <protection hidden="1"/>
    </xf>
    <xf numFmtId="0" fontId="43" fillId="8" borderId="0" xfId="0" applyFont="1" applyFill="1" applyAlignment="1" applyProtection="1">
      <alignment horizontal="left"/>
      <protection hidden="1"/>
    </xf>
    <xf numFmtId="0" fontId="50" fillId="8" borderId="0" xfId="0" applyFont="1" applyFill="1" applyAlignment="1" applyProtection="1">
      <alignment horizontal="left"/>
      <protection hidden="1"/>
    </xf>
    <xf numFmtId="0" fontId="74" fillId="8" borderId="0" xfId="0" applyFont="1" applyFill="1" applyAlignment="1">
      <alignment horizontal="left" vertical="center"/>
    </xf>
    <xf numFmtId="0" fontId="50" fillId="8" borderId="10" xfId="0" applyFont="1" applyFill="1" applyBorder="1" applyAlignment="1" applyProtection="1">
      <alignment horizontal="left"/>
      <protection hidden="1"/>
    </xf>
    <xf numFmtId="0" fontId="95" fillId="8" borderId="56" xfId="0" applyFont="1" applyFill="1" applyBorder="1" applyProtection="1">
      <protection hidden="1"/>
    </xf>
    <xf numFmtId="0" fontId="95" fillId="8" borderId="10" xfId="0" applyFont="1" applyFill="1" applyBorder="1" applyProtection="1">
      <protection hidden="1"/>
    </xf>
    <xf numFmtId="0" fontId="2" fillId="9" borderId="0" xfId="0" applyFont="1" applyFill="1"/>
    <xf numFmtId="0" fontId="0" fillId="9" borderId="0" xfId="0" applyFill="1" applyAlignment="1">
      <alignment textRotation="90"/>
    </xf>
    <xf numFmtId="0" fontId="0" fillId="0" borderId="0" xfId="0" applyAlignment="1">
      <alignment textRotation="90"/>
    </xf>
    <xf numFmtId="0" fontId="53" fillId="8" borderId="0" xfId="0" applyFont="1" applyFill="1" applyAlignment="1">
      <alignment horizontal="left" vertical="center"/>
    </xf>
    <xf numFmtId="0" fontId="55" fillId="8" borderId="0" xfId="0" applyFont="1" applyFill="1" applyProtection="1">
      <protection hidden="1"/>
    </xf>
    <xf numFmtId="0" fontId="85" fillId="0" borderId="0" xfId="0" applyFont="1"/>
    <xf numFmtId="0" fontId="53" fillId="8" borderId="0" xfId="0" applyFont="1" applyFill="1" applyAlignment="1" applyProtection="1">
      <alignment horizontal="right"/>
      <protection hidden="1"/>
    </xf>
    <xf numFmtId="0" fontId="53" fillId="8" borderId="0" xfId="0" applyFont="1" applyFill="1" applyProtection="1">
      <protection hidden="1"/>
    </xf>
    <xf numFmtId="0" fontId="53" fillId="8" borderId="0" xfId="0" applyFont="1" applyFill="1" applyAlignment="1" applyProtection="1">
      <alignment horizontal="left"/>
      <protection hidden="1"/>
    </xf>
    <xf numFmtId="0" fontId="114" fillId="8" borderId="69" xfId="0" applyFont="1" applyFill="1" applyBorder="1" applyAlignment="1" applyProtection="1">
      <alignment horizontal="left"/>
      <protection hidden="1"/>
    </xf>
    <xf numFmtId="0" fontId="114" fillId="8" borderId="0" xfId="0" applyFont="1" applyFill="1" applyAlignment="1" applyProtection="1">
      <alignment horizontal="left"/>
      <protection hidden="1"/>
    </xf>
    <xf numFmtId="0" fontId="55" fillId="3" borderId="0" xfId="0" applyFont="1" applyFill="1" applyProtection="1">
      <protection hidden="1"/>
    </xf>
    <xf numFmtId="0" fontId="55" fillId="3" borderId="0" xfId="0" applyFont="1" applyFill="1" applyAlignment="1" applyProtection="1">
      <alignment horizontal="center"/>
      <protection hidden="1"/>
    </xf>
    <xf numFmtId="0" fontId="55" fillId="13" borderId="0" xfId="0" applyFont="1" applyFill="1" applyProtection="1">
      <protection hidden="1"/>
    </xf>
    <xf numFmtId="0" fontId="55" fillId="13" borderId="0" xfId="0" applyFont="1" applyFill="1" applyAlignment="1" applyProtection="1">
      <alignment horizontal="center"/>
      <protection hidden="1"/>
    </xf>
    <xf numFmtId="0" fontId="50" fillId="5" borderId="0" xfId="0" applyFont="1" applyFill="1" applyProtection="1">
      <protection hidden="1"/>
    </xf>
    <xf numFmtId="0" fontId="55" fillId="5" borderId="0" xfId="0" applyFont="1" applyFill="1" applyAlignment="1" applyProtection="1">
      <alignment horizontal="center"/>
      <protection hidden="1"/>
    </xf>
    <xf numFmtId="0" fontId="115" fillId="5" borderId="0" xfId="0" applyFont="1" applyFill="1" applyAlignment="1" applyProtection="1">
      <alignment horizontal="left"/>
      <protection hidden="1"/>
    </xf>
    <xf numFmtId="0" fontId="116" fillId="3" borderId="0" xfId="0" applyFont="1" applyFill="1" applyAlignment="1" applyProtection="1">
      <alignment horizontal="left"/>
      <protection hidden="1"/>
    </xf>
    <xf numFmtId="0" fontId="50" fillId="3" borderId="10" xfId="0" applyFont="1" applyFill="1" applyBorder="1" applyProtection="1">
      <protection hidden="1"/>
    </xf>
    <xf numFmtId="0" fontId="55" fillId="13" borderId="0" xfId="0" applyFont="1" applyFill="1" applyAlignment="1" applyProtection="1">
      <alignment vertical="top"/>
      <protection hidden="1"/>
    </xf>
    <xf numFmtId="0" fontId="117" fillId="13" borderId="0" xfId="0" applyFont="1" applyFill="1"/>
    <xf numFmtId="0" fontId="55" fillId="5" borderId="0" xfId="0" applyFont="1" applyFill="1" applyProtection="1">
      <protection hidden="1"/>
    </xf>
    <xf numFmtId="0" fontId="55" fillId="5" borderId="0" xfId="0" applyFont="1" applyFill="1" applyAlignment="1" applyProtection="1">
      <alignment vertical="center"/>
      <protection hidden="1"/>
    </xf>
    <xf numFmtId="0" fontId="50" fillId="3" borderId="0" xfId="0" applyFont="1" applyFill="1" applyProtection="1">
      <protection hidden="1"/>
    </xf>
    <xf numFmtId="0" fontId="95" fillId="3" borderId="0" xfId="0" applyFont="1" applyFill="1" applyProtection="1">
      <protection hidden="1"/>
    </xf>
    <xf numFmtId="0" fontId="95" fillId="3" borderId="10" xfId="0" applyFont="1" applyFill="1" applyBorder="1" applyProtection="1">
      <protection hidden="1"/>
    </xf>
    <xf numFmtId="0" fontId="50" fillId="8" borderId="9" xfId="0" applyFont="1" applyFill="1" applyBorder="1" applyProtection="1">
      <protection hidden="1"/>
    </xf>
    <xf numFmtId="0" fontId="50" fillId="8" borderId="9" xfId="0" applyFont="1" applyFill="1" applyBorder="1" applyAlignment="1" applyProtection="1">
      <alignment horizontal="left"/>
      <protection hidden="1"/>
    </xf>
    <xf numFmtId="0" fontId="0" fillId="8" borderId="9" xfId="0" applyFill="1" applyBorder="1" applyAlignment="1">
      <alignment horizontal="left"/>
    </xf>
    <xf numFmtId="0" fontId="119" fillId="8" borderId="0" xfId="0" applyFont="1" applyFill="1" applyAlignment="1" applyProtection="1">
      <alignment vertical="center"/>
      <protection hidden="1"/>
    </xf>
    <xf numFmtId="0" fontId="109" fillId="0" borderId="0" xfId="0" applyFont="1" applyAlignment="1">
      <alignment horizontal="left" vertical="center"/>
    </xf>
    <xf numFmtId="0" fontId="72" fillId="0" borderId="0" xfId="0" applyFont="1" applyAlignment="1">
      <alignment vertical="top" wrapText="1"/>
    </xf>
    <xf numFmtId="0" fontId="50" fillId="0" borderId="0" xfId="0" applyFont="1" applyAlignment="1">
      <alignment horizontal="center" vertical="center"/>
    </xf>
    <xf numFmtId="0" fontId="59" fillId="0" borderId="0" xfId="0" applyFont="1" applyAlignment="1">
      <alignment horizontal="center" vertical="center"/>
    </xf>
    <xf numFmtId="0" fontId="45" fillId="0" borderId="0" xfId="0" applyFont="1" applyAlignment="1">
      <alignment horizontal="center"/>
    </xf>
    <xf numFmtId="0" fontId="74" fillId="0" borderId="0" xfId="0" applyFont="1" applyAlignment="1">
      <alignment horizontal="left" vertical="center"/>
    </xf>
    <xf numFmtId="0" fontId="95" fillId="0" borderId="0" xfId="0" applyFont="1" applyProtection="1">
      <protection hidden="1"/>
    </xf>
    <xf numFmtId="0" fontId="94" fillId="0" borderId="10" xfId="0" applyFont="1" applyBorder="1"/>
    <xf numFmtId="0" fontId="50" fillId="5" borderId="11" xfId="0" applyFont="1" applyFill="1" applyBorder="1" applyProtection="1">
      <protection hidden="1"/>
    </xf>
    <xf numFmtId="0" fontId="0" fillId="8" borderId="10" xfId="0" applyFill="1" applyBorder="1" applyAlignment="1">
      <alignment horizontal="left"/>
    </xf>
    <xf numFmtId="0" fontId="0" fillId="13" borderId="56" xfId="0" applyFill="1" applyBorder="1"/>
    <xf numFmtId="0" fontId="0" fillId="5" borderId="10" xfId="0" applyFill="1" applyBorder="1"/>
    <xf numFmtId="0" fontId="0" fillId="3" borderId="10" xfId="0" applyFill="1" applyBorder="1"/>
    <xf numFmtId="0" fontId="55" fillId="3" borderId="10" xfId="0" applyFont="1" applyFill="1" applyBorder="1" applyAlignment="1" applyProtection="1">
      <alignment horizontal="center"/>
      <protection hidden="1"/>
    </xf>
    <xf numFmtId="0" fontId="50" fillId="8" borderId="7" xfId="0" applyFont="1" applyFill="1" applyBorder="1" applyProtection="1">
      <protection hidden="1"/>
    </xf>
    <xf numFmtId="0" fontId="0" fillId="8" borderId="7" xfId="0" applyFill="1" applyBorder="1"/>
    <xf numFmtId="0" fontId="95" fillId="8" borderId="7" xfId="0" applyFont="1" applyFill="1" applyBorder="1" applyProtection="1">
      <protection hidden="1"/>
    </xf>
    <xf numFmtId="0" fontId="0" fillId="8" borderId="56" xfId="0" applyFill="1" applyBorder="1"/>
    <xf numFmtId="0" fontId="0" fillId="8" borderId="56" xfId="0" applyFill="1" applyBorder="1" applyAlignment="1">
      <alignment horizontal="left"/>
    </xf>
    <xf numFmtId="0" fontId="50" fillId="8" borderId="56" xfId="0" applyFont="1" applyFill="1" applyBorder="1" applyProtection="1">
      <protection hidden="1"/>
    </xf>
    <xf numFmtId="164" fontId="109" fillId="8" borderId="0" xfId="0" applyNumberFormat="1" applyFont="1" applyFill="1" applyAlignment="1">
      <alignment horizontal="center" vertical="center"/>
    </xf>
    <xf numFmtId="164" fontId="55" fillId="8" borderId="0" xfId="0" applyNumberFormat="1" applyFont="1" applyFill="1" applyProtection="1">
      <protection hidden="1"/>
    </xf>
    <xf numFmtId="0" fontId="122" fillId="0" borderId="0" xfId="0" applyFont="1" applyAlignment="1">
      <alignment horizontal="center" vertical="center"/>
    </xf>
    <xf numFmtId="0" fontId="123" fillId="19" borderId="0" xfId="0" applyFont="1" applyFill="1" applyAlignment="1">
      <alignment horizontal="center" vertical="center"/>
    </xf>
    <xf numFmtId="0" fontId="0" fillId="19" borderId="0" xfId="0" applyFill="1"/>
    <xf numFmtId="0" fontId="125" fillId="19" borderId="0" xfId="0" applyFont="1" applyFill="1"/>
    <xf numFmtId="1" fontId="43" fillId="8" borderId="0" xfId="0" applyNumberFormat="1" applyFont="1" applyFill="1" applyAlignment="1" applyProtection="1">
      <alignment horizontal="left"/>
      <protection locked="0" hidden="1"/>
    </xf>
    <xf numFmtId="1" fontId="124" fillId="19" borderId="0" xfId="0" applyNumberFormat="1" applyFont="1" applyFill="1" applyAlignment="1" applyProtection="1">
      <alignment horizontal="left"/>
      <protection locked="0" hidden="1"/>
    </xf>
    <xf numFmtId="0" fontId="84" fillId="8" borderId="0" xfId="0" applyFont="1" applyFill="1" applyAlignment="1" applyProtection="1">
      <alignment horizontal="center"/>
      <protection locked="0" hidden="1"/>
    </xf>
    <xf numFmtId="0" fontId="84" fillId="8" borderId="0" xfId="0" applyFont="1" applyFill="1" applyAlignment="1" applyProtection="1">
      <alignment horizontal="center" vertical="center"/>
      <protection locked="0" hidden="1"/>
    </xf>
    <xf numFmtId="0" fontId="121" fillId="8" borderId="0" xfId="0" applyFont="1" applyFill="1" applyAlignment="1" applyProtection="1">
      <alignment horizontal="center"/>
      <protection locked="0" hidden="1"/>
    </xf>
    <xf numFmtId="0" fontId="59" fillId="3" borderId="0" xfId="0" applyFont="1" applyFill="1" applyAlignment="1" applyProtection="1">
      <alignment horizontal="center" vertical="center"/>
      <protection locked="0" hidden="1"/>
    </xf>
    <xf numFmtId="0" fontId="50" fillId="3" borderId="0" xfId="0" applyFont="1" applyFill="1" applyAlignment="1" applyProtection="1">
      <alignment horizontal="center" vertical="center"/>
      <protection locked="0" hidden="1"/>
    </xf>
    <xf numFmtId="1" fontId="54" fillId="8" borderId="0" xfId="0" applyNumberFormat="1" applyFont="1" applyFill="1" applyAlignment="1" applyProtection="1">
      <alignment horizontal="center" vertical="center"/>
      <protection locked="0" hidden="1"/>
    </xf>
    <xf numFmtId="0" fontId="74" fillId="8" borderId="0" xfId="0" applyFont="1" applyFill="1" applyAlignment="1" applyProtection="1">
      <alignment vertical="center"/>
      <protection hidden="1"/>
    </xf>
    <xf numFmtId="164" fontId="104" fillId="8" borderId="0" xfId="0" applyNumberFormat="1" applyFont="1" applyFill="1" applyProtection="1">
      <protection hidden="1"/>
    </xf>
    <xf numFmtId="0" fontId="44" fillId="8" borderId="10" xfId="0" applyFont="1" applyFill="1" applyBorder="1" applyProtection="1">
      <protection hidden="1"/>
    </xf>
    <xf numFmtId="0" fontId="0" fillId="8" borderId="10" xfId="0" applyFill="1" applyBorder="1" applyProtection="1">
      <protection hidden="1"/>
    </xf>
    <xf numFmtId="0" fontId="128" fillId="8" borderId="0" xfId="0" applyFont="1" applyFill="1" applyAlignment="1" applyProtection="1">
      <alignment horizontal="center" vertical="center"/>
      <protection locked="0" hidden="1"/>
    </xf>
    <xf numFmtId="0" fontId="107" fillId="8" borderId="0" xfId="0" applyFont="1" applyFill="1" applyAlignment="1" applyProtection="1">
      <alignment horizontal="left" vertical="top" wrapText="1"/>
      <protection hidden="1"/>
    </xf>
    <xf numFmtId="0" fontId="67" fillId="0" borderId="57" xfId="1" applyFont="1" applyBorder="1" applyAlignment="1">
      <alignment horizontal="center"/>
    </xf>
    <xf numFmtId="0" fontId="67" fillId="0" borderId="58" xfId="1" applyFont="1" applyBorder="1" applyAlignment="1">
      <alignment horizontal="center"/>
    </xf>
    <xf numFmtId="164" fontId="67" fillId="0" borderId="58" xfId="1" applyNumberFormat="1" applyFont="1" applyBorder="1" applyAlignment="1" applyProtection="1">
      <alignment wrapText="1"/>
      <protection locked="0"/>
    </xf>
    <xf numFmtId="164" fontId="67" fillId="0" borderId="57" xfId="1" applyNumberFormat="1" applyFont="1" applyBorder="1" applyAlignment="1" applyProtection="1">
      <alignment wrapText="1"/>
      <protection locked="0"/>
    </xf>
    <xf numFmtId="164" fontId="67" fillId="0" borderId="70" xfId="1" applyNumberFormat="1" applyFont="1" applyBorder="1" applyAlignment="1" applyProtection="1">
      <alignment wrapText="1"/>
      <protection locked="0"/>
    </xf>
    <xf numFmtId="0" fontId="0" fillId="8" borderId="0" xfId="0" applyFill="1" applyAlignment="1">
      <alignment horizontal="right"/>
    </xf>
    <xf numFmtId="0" fontId="0" fillId="8" borderId="0" xfId="0" applyFill="1" applyAlignment="1">
      <alignment horizontal="center"/>
    </xf>
    <xf numFmtId="0" fontId="113" fillId="8" borderId="0" xfId="0" applyFont="1" applyFill="1" applyProtection="1">
      <protection hidden="1"/>
    </xf>
    <xf numFmtId="0" fontId="72" fillId="8" borderId="0" xfId="0" applyFont="1" applyFill="1" applyAlignment="1" applyProtection="1">
      <alignment horizontal="left" vertical="center"/>
      <protection locked="0" hidden="1"/>
    </xf>
    <xf numFmtId="0" fontId="0" fillId="3" borderId="0" xfId="0" applyFill="1" applyProtection="1">
      <protection hidden="1"/>
    </xf>
    <xf numFmtId="0" fontId="106" fillId="3" borderId="0" xfId="0" applyFont="1" applyFill="1" applyAlignment="1" applyProtection="1">
      <alignment vertical="center" wrapText="1"/>
      <protection hidden="1"/>
    </xf>
    <xf numFmtId="0" fontId="107" fillId="3" borderId="0" xfId="0" applyFont="1" applyFill="1" applyAlignment="1" applyProtection="1">
      <alignment horizontal="left" vertical="top" wrapText="1"/>
      <protection hidden="1"/>
    </xf>
    <xf numFmtId="0" fontId="128" fillId="8" borderId="0" xfId="0" applyFont="1" applyFill="1" applyAlignment="1" applyProtection="1">
      <alignment vertical="center"/>
      <protection locked="0" hidden="1"/>
    </xf>
    <xf numFmtId="0" fontId="94" fillId="8" borderId="0" xfId="0" applyFont="1" applyFill="1"/>
    <xf numFmtId="0" fontId="94" fillId="8" borderId="10" xfId="0" applyFont="1" applyFill="1" applyBorder="1"/>
    <xf numFmtId="0" fontId="85" fillId="8" borderId="0" xfId="0" applyFont="1" applyFill="1"/>
    <xf numFmtId="0" fontId="54" fillId="8" borderId="0" xfId="0" applyFont="1" applyFill="1" applyAlignment="1" applyProtection="1">
      <alignment horizontal="center" vertical="center"/>
      <protection locked="0" hidden="1"/>
    </xf>
    <xf numFmtId="0" fontId="130" fillId="13" borderId="7" xfId="0" applyFont="1" applyFill="1" applyBorder="1" applyAlignment="1" applyProtection="1">
      <alignment horizontal="center" vertical="center"/>
      <protection hidden="1"/>
    </xf>
    <xf numFmtId="0" fontId="0" fillId="5" borderId="0" xfId="0" applyFill="1" applyAlignment="1">
      <alignment textRotation="90" wrapText="1"/>
    </xf>
    <xf numFmtId="0" fontId="9" fillId="0" borderId="0" xfId="0" applyFont="1" applyAlignment="1">
      <alignment horizontal="center" vertical="center"/>
    </xf>
    <xf numFmtId="0" fontId="9" fillId="8" borderId="0" xfId="0" applyFont="1" applyFill="1" applyAlignment="1">
      <alignment horizontal="center" vertical="center"/>
    </xf>
    <xf numFmtId="9" fontId="1" fillId="0" borderId="1" xfId="0" applyNumberFormat="1" applyFont="1" applyBorder="1" applyAlignment="1">
      <alignment horizontal="center"/>
    </xf>
    <xf numFmtId="0" fontId="133" fillId="19" borderId="0" xfId="0" applyFont="1" applyFill="1" applyAlignment="1">
      <alignment vertical="center"/>
    </xf>
    <xf numFmtId="0" fontId="43" fillId="8" borderId="66" xfId="0" applyFont="1" applyFill="1" applyBorder="1"/>
    <xf numFmtId="0" fontId="50" fillId="8" borderId="66" xfId="0" applyFont="1" applyFill="1" applyBorder="1"/>
    <xf numFmtId="0" fontId="50" fillId="8" borderId="66" xfId="0" applyFont="1" applyFill="1" applyBorder="1" applyAlignment="1">
      <alignment vertical="center"/>
    </xf>
    <xf numFmtId="0" fontId="54" fillId="8" borderId="66" xfId="0" applyFont="1" applyFill="1" applyBorder="1" applyAlignment="1">
      <alignment vertical="center"/>
    </xf>
    <xf numFmtId="0" fontId="134" fillId="8" borderId="0" xfId="0" applyFont="1" applyFill="1" applyAlignment="1">
      <alignment horizontal="right"/>
    </xf>
    <xf numFmtId="0" fontId="134" fillId="8" borderId="0" xfId="0" applyFont="1" applyFill="1"/>
    <xf numFmtId="0" fontId="0" fillId="20" borderId="0" xfId="0" applyFill="1" applyAlignment="1">
      <alignment textRotation="90" wrapText="1"/>
    </xf>
    <xf numFmtId="0" fontId="132" fillId="10" borderId="0" xfId="0" applyFont="1" applyFill="1" applyAlignment="1">
      <alignment horizontal="center" vertical="center"/>
    </xf>
    <xf numFmtId="0" fontId="132" fillId="10" borderId="0" xfId="0" applyFont="1" applyFill="1" applyAlignment="1">
      <alignment horizontal="right" vertical="center"/>
    </xf>
    <xf numFmtId="0" fontId="121" fillId="10" borderId="0" xfId="0" applyFont="1" applyFill="1" applyAlignment="1">
      <alignment horizontal="left" vertical="center"/>
    </xf>
    <xf numFmtId="0" fontId="136" fillId="10" borderId="0" xfId="0" applyFont="1" applyFill="1" applyAlignment="1">
      <alignment horizontal="center" vertical="center"/>
    </xf>
    <xf numFmtId="0" fontId="137" fillId="10" borderId="0" xfId="0" applyFont="1" applyFill="1" applyAlignment="1">
      <alignment horizontal="center" vertical="center"/>
    </xf>
    <xf numFmtId="0" fontId="132" fillId="10" borderId="0" xfId="0" applyFont="1" applyFill="1" applyAlignment="1">
      <alignment vertical="center"/>
    </xf>
    <xf numFmtId="0" fontId="138" fillId="10" borderId="0" xfId="0" applyFont="1" applyFill="1" applyAlignment="1">
      <alignment horizontal="left" vertical="center"/>
    </xf>
    <xf numFmtId="0" fontId="140" fillId="5" borderId="0" xfId="0" applyFont="1" applyFill="1"/>
    <xf numFmtId="0" fontId="50" fillId="20" borderId="7" xfId="0" applyFont="1" applyFill="1" applyBorder="1" applyAlignment="1" applyProtection="1">
      <alignment vertical="center"/>
      <protection hidden="1"/>
    </xf>
    <xf numFmtId="0" fontId="50" fillId="13" borderId="7" xfId="0" applyFont="1" applyFill="1" applyBorder="1" applyAlignment="1" applyProtection="1">
      <alignment horizontal="left" vertical="center"/>
      <protection hidden="1"/>
    </xf>
    <xf numFmtId="0" fontId="50" fillId="8" borderId="12" xfId="0" applyFont="1" applyFill="1" applyBorder="1" applyProtection="1">
      <protection hidden="1"/>
    </xf>
    <xf numFmtId="0" fontId="50" fillId="20" borderId="6" xfId="0" applyFont="1" applyFill="1" applyBorder="1" applyProtection="1">
      <protection hidden="1"/>
    </xf>
    <xf numFmtId="0" fontId="50" fillId="13" borderId="53" xfId="0" applyFont="1" applyFill="1" applyBorder="1" applyProtection="1">
      <protection hidden="1"/>
    </xf>
    <xf numFmtId="0" fontId="141" fillId="8" borderId="0" xfId="0" applyFont="1" applyFill="1"/>
    <xf numFmtId="0" fontId="43" fillId="10" borderId="0" xfId="0" applyFont="1" applyFill="1"/>
    <xf numFmtId="0" fontId="92" fillId="10" borderId="0" xfId="0" applyFont="1" applyFill="1"/>
    <xf numFmtId="0" fontId="121" fillId="10" borderId="0" xfId="0" applyFont="1" applyFill="1" applyAlignment="1">
      <alignment horizontal="center" vertical="center"/>
    </xf>
    <xf numFmtId="0" fontId="143" fillId="0" borderId="13" xfId="1" applyFont="1" applyBorder="1" applyAlignment="1">
      <alignment horizontal="center"/>
    </xf>
    <xf numFmtId="0" fontId="143" fillId="0" borderId="14" xfId="1" applyFont="1" applyBorder="1" applyAlignment="1">
      <alignment horizontal="center"/>
    </xf>
    <xf numFmtId="0" fontId="67" fillId="0" borderId="72" xfId="1" applyFont="1" applyBorder="1"/>
    <xf numFmtId="0" fontId="67" fillId="0" borderId="59" xfId="1" applyFont="1" applyBorder="1" applyAlignment="1">
      <alignment horizontal="center"/>
    </xf>
    <xf numFmtId="9" fontId="145" fillId="10" borderId="0" xfId="2" applyFont="1" applyFill="1" applyAlignment="1">
      <alignment horizontal="center" vertical="center"/>
    </xf>
    <xf numFmtId="0" fontId="88" fillId="13" borderId="0" xfId="0" applyFont="1" applyFill="1" applyAlignment="1" applyProtection="1">
      <alignment horizontal="center" vertical="center"/>
      <protection hidden="1"/>
    </xf>
    <xf numFmtId="0" fontId="88" fillId="20" borderId="0" xfId="0" applyFont="1" applyFill="1" applyAlignment="1" applyProtection="1">
      <alignment horizontal="center" vertical="center"/>
      <protection hidden="1"/>
    </xf>
    <xf numFmtId="0" fontId="63" fillId="8" borderId="0" xfId="0" applyFont="1" applyFill="1"/>
    <xf numFmtId="0" fontId="132" fillId="3" borderId="0" xfId="0" applyFont="1" applyFill="1"/>
    <xf numFmtId="0" fontId="132" fillId="8" borderId="0" xfId="0" applyFont="1" applyFill="1"/>
    <xf numFmtId="0" fontId="132" fillId="25" borderId="0" xfId="0" applyFont="1" applyFill="1" applyAlignment="1">
      <alignment vertical="center"/>
    </xf>
    <xf numFmtId="0" fontId="146" fillId="25" borderId="0" xfId="0" applyFont="1" applyFill="1"/>
    <xf numFmtId="0" fontId="139" fillId="25" borderId="0" xfId="0" applyFont="1" applyFill="1" applyAlignment="1">
      <alignment vertical="center"/>
    </xf>
    <xf numFmtId="0" fontId="132" fillId="25" borderId="0" xfId="0" applyFont="1" applyFill="1"/>
    <xf numFmtId="0" fontId="139" fillId="25" borderId="0" xfId="0" applyFont="1" applyFill="1"/>
    <xf numFmtId="0" fontId="132" fillId="25" borderId="0" xfId="0" applyFont="1" applyFill="1" applyAlignment="1" applyProtection="1">
      <alignment horizontal="center"/>
      <protection hidden="1"/>
    </xf>
    <xf numFmtId="0" fontId="9" fillId="8" borderId="0" xfId="0" applyFont="1" applyFill="1"/>
    <xf numFmtId="0" fontId="9" fillId="0" borderId="0" xfId="0" applyFont="1"/>
    <xf numFmtId="1" fontId="51" fillId="8" borderId="0" xfId="0" applyNumberFormat="1" applyFont="1" applyFill="1" applyAlignment="1" applyProtection="1">
      <alignment vertical="top"/>
      <protection hidden="1"/>
    </xf>
    <xf numFmtId="0" fontId="55" fillId="8" borderId="0" xfId="0" applyFont="1" applyFill="1" applyAlignment="1" applyProtection="1">
      <alignment horizontal="center" vertical="top"/>
      <protection hidden="1"/>
    </xf>
    <xf numFmtId="0" fontId="55" fillId="8" borderId="0" xfId="0" applyFont="1" applyFill="1" applyAlignment="1" applyProtection="1">
      <alignment vertical="top"/>
      <protection hidden="1"/>
    </xf>
    <xf numFmtId="0" fontId="66" fillId="8" borderId="0" xfId="0" applyFont="1" applyFill="1" applyAlignment="1" applyProtection="1">
      <alignment horizontal="right"/>
      <protection hidden="1"/>
    </xf>
    <xf numFmtId="0" fontId="118" fillId="8" borderId="0" xfId="0" applyFont="1" applyFill="1" applyProtection="1">
      <protection hidden="1"/>
    </xf>
    <xf numFmtId="164" fontId="17" fillId="3" borderId="57" xfId="1" applyNumberFormat="1" applyFont="1" applyFill="1" applyBorder="1" applyProtection="1">
      <protection locked="0"/>
    </xf>
    <xf numFmtId="164" fontId="17" fillId="0" borderId="57" xfId="1" applyNumberFormat="1" applyFont="1" applyBorder="1" applyProtection="1">
      <protection locked="0"/>
    </xf>
    <xf numFmtId="164" fontId="17" fillId="3" borderId="58" xfId="1" applyNumberFormat="1" applyFont="1" applyFill="1" applyBorder="1" applyProtection="1">
      <protection locked="0"/>
    </xf>
    <xf numFmtId="164" fontId="44" fillId="0" borderId="57" xfId="1" applyNumberFormat="1" applyFont="1" applyBorder="1" applyProtection="1">
      <protection locked="0"/>
    </xf>
    <xf numFmtId="164" fontId="44" fillId="0" borderId="58" xfId="1" applyNumberFormat="1" applyFont="1" applyBorder="1" applyProtection="1">
      <protection locked="0"/>
    </xf>
    <xf numFmtId="164" fontId="44" fillId="0" borderId="5" xfId="1" applyNumberFormat="1" applyFont="1" applyBorder="1" applyProtection="1">
      <protection locked="0"/>
    </xf>
    <xf numFmtId="164" fontId="44" fillId="0" borderId="1" xfId="1" applyNumberFormat="1" applyFont="1" applyBorder="1" applyProtection="1">
      <protection locked="0"/>
    </xf>
    <xf numFmtId="164" fontId="44" fillId="0" borderId="70" xfId="1" applyNumberFormat="1" applyFont="1" applyBorder="1" applyProtection="1">
      <protection locked="0"/>
    </xf>
    <xf numFmtId="164" fontId="44" fillId="0" borderId="71" xfId="1" applyNumberFormat="1" applyFont="1" applyBorder="1" applyProtection="1">
      <protection locked="0"/>
    </xf>
    <xf numFmtId="164" fontId="44" fillId="0" borderId="60" xfId="1" applyNumberFormat="1" applyFont="1" applyBorder="1" applyProtection="1">
      <protection locked="0"/>
    </xf>
    <xf numFmtId="0" fontId="0" fillId="3" borderId="1" xfId="0" applyFill="1" applyBorder="1"/>
    <xf numFmtId="0" fontId="0" fillId="3" borderId="1" xfId="0" quotePrefix="1" applyFill="1" applyBorder="1"/>
    <xf numFmtId="2" fontId="50" fillId="8" borderId="0" xfId="0" applyNumberFormat="1" applyFont="1" applyFill="1" applyAlignment="1">
      <alignment horizontal="center" vertical="center"/>
    </xf>
    <xf numFmtId="0" fontId="148" fillId="8" borderId="0" xfId="0" applyFont="1" applyFill="1" applyProtection="1">
      <protection hidden="1"/>
    </xf>
    <xf numFmtId="0" fontId="149" fillId="8" borderId="0" xfId="0" applyFont="1" applyFill="1" applyProtection="1">
      <protection hidden="1"/>
    </xf>
    <xf numFmtId="0" fontId="84" fillId="8" borderId="0" xfId="0" applyFont="1" applyFill="1"/>
    <xf numFmtId="0" fontId="97" fillId="20" borderId="7" xfId="0" applyFont="1" applyFill="1" applyBorder="1" applyAlignment="1" applyProtection="1">
      <alignment vertical="center"/>
      <protection hidden="1"/>
    </xf>
    <xf numFmtId="0" fontId="97" fillId="13" borderId="7" xfId="0" applyFont="1" applyFill="1" applyBorder="1" applyAlignment="1" applyProtection="1">
      <alignment horizontal="left" vertical="center"/>
      <protection hidden="1"/>
    </xf>
    <xf numFmtId="0" fontId="0" fillId="24" borderId="0" xfId="0" applyFill="1" applyAlignment="1">
      <alignment horizontal="center" vertical="center"/>
    </xf>
    <xf numFmtId="0" fontId="0" fillId="9" borderId="0" xfId="0" applyFill="1" applyAlignment="1">
      <alignment horizontal="center" vertical="center"/>
    </xf>
    <xf numFmtId="0" fontId="0" fillId="26" borderId="0" xfId="0" applyFill="1" applyAlignment="1">
      <alignment horizontal="center" vertical="center"/>
    </xf>
    <xf numFmtId="0" fontId="152" fillId="8" borderId="0" xfId="0" applyFont="1" applyFill="1" applyAlignment="1">
      <alignment horizontal="center"/>
    </xf>
    <xf numFmtId="0" fontId="43" fillId="8" borderId="10" xfId="0" applyFont="1" applyFill="1" applyBorder="1" applyProtection="1">
      <protection hidden="1"/>
    </xf>
    <xf numFmtId="0" fontId="153" fillId="8" borderId="0" xfId="0" applyFont="1" applyFill="1" applyAlignment="1">
      <alignment horizontal="center" vertical="center"/>
    </xf>
    <xf numFmtId="0" fontId="56" fillId="8" borderId="0" xfId="0" applyFont="1" applyFill="1" applyAlignment="1">
      <alignment horizontal="center" vertical="center"/>
    </xf>
    <xf numFmtId="0" fontId="154" fillId="0" borderId="18" xfId="1" applyFont="1" applyBorder="1"/>
    <xf numFmtId="0" fontId="154" fillId="0" borderId="13" xfId="1" applyFont="1" applyBorder="1" applyAlignment="1">
      <alignment horizontal="center"/>
    </xf>
    <xf numFmtId="0" fontId="154" fillId="0" borderId="14" xfId="1" applyFont="1" applyBorder="1" applyAlignment="1">
      <alignment horizontal="center"/>
    </xf>
    <xf numFmtId="164" fontId="155" fillId="0" borderId="58" xfId="1" applyNumberFormat="1" applyFont="1" applyBorder="1" applyProtection="1">
      <protection locked="0"/>
    </xf>
    <xf numFmtId="164" fontId="154" fillId="0" borderId="58" xfId="1" applyNumberFormat="1" applyFont="1" applyBorder="1" applyAlignment="1" applyProtection="1">
      <alignment wrapText="1"/>
      <protection locked="0"/>
    </xf>
    <xf numFmtId="0" fontId="156" fillId="8" borderId="0" xfId="0" applyFont="1" applyFill="1" applyAlignment="1">
      <alignment vertical="center"/>
    </xf>
    <xf numFmtId="0" fontId="160" fillId="8" borderId="56" xfId="0" applyFont="1" applyFill="1" applyBorder="1" applyAlignment="1" applyProtection="1">
      <alignment vertical="center"/>
      <protection hidden="1"/>
    </xf>
    <xf numFmtId="0" fontId="161" fillId="9" borderId="0" xfId="0" applyFont="1" applyFill="1"/>
    <xf numFmtId="0" fontId="161" fillId="0" borderId="0" xfId="0" applyFont="1"/>
    <xf numFmtId="9" fontId="161" fillId="24" borderId="0" xfId="2" applyFont="1" applyFill="1" applyAlignment="1">
      <alignment horizontal="center"/>
    </xf>
    <xf numFmtId="0" fontId="162" fillId="17" borderId="21" xfId="1" applyFont="1" applyFill="1" applyBorder="1" applyAlignment="1">
      <alignment horizontal="center" vertical="center" wrapText="1"/>
    </xf>
    <xf numFmtId="0" fontId="163" fillId="0" borderId="0" xfId="0" applyFont="1"/>
    <xf numFmtId="0" fontId="163" fillId="0" borderId="0" xfId="0" applyFont="1" applyAlignment="1">
      <alignment horizontal="center"/>
    </xf>
    <xf numFmtId="44" fontId="163" fillId="0" borderId="0" xfId="3" applyFont="1" applyAlignment="1">
      <alignment horizontal="center"/>
    </xf>
    <xf numFmtId="0" fontId="163" fillId="0" borderId="10" xfId="0" applyFont="1" applyBorder="1"/>
    <xf numFmtId="0" fontId="163" fillId="0" borderId="10" xfId="0" applyFont="1" applyBorder="1" applyAlignment="1">
      <alignment horizontal="center"/>
    </xf>
    <xf numFmtId="44" fontId="163" fillId="0" borderId="10" xfId="3" applyFont="1" applyBorder="1" applyAlignment="1">
      <alignment horizontal="center"/>
    </xf>
    <xf numFmtId="44" fontId="164" fillId="0" borderId="0" xfId="3" applyFont="1" applyAlignment="1">
      <alignment horizontal="center"/>
    </xf>
    <xf numFmtId="9" fontId="163" fillId="0" borderId="0" xfId="0" applyNumberFormat="1" applyFont="1"/>
    <xf numFmtId="44" fontId="164" fillId="0" borderId="0" xfId="0" applyNumberFormat="1" applyFont="1"/>
    <xf numFmtId="0" fontId="163" fillId="0" borderId="10" xfId="0" applyFont="1" applyBorder="1" applyAlignment="1">
      <alignment horizontal="right"/>
    </xf>
    <xf numFmtId="9" fontId="163" fillId="0" borderId="0" xfId="0" applyNumberFormat="1" applyFont="1" applyAlignment="1">
      <alignment horizontal="center"/>
    </xf>
    <xf numFmtId="0" fontId="161" fillId="9" borderId="0" xfId="0" applyFont="1" applyFill="1" applyAlignment="1">
      <alignment horizontal="center"/>
    </xf>
    <xf numFmtId="0" fontId="161" fillId="0" borderId="0" xfId="0" applyFont="1" applyAlignment="1">
      <alignment horizontal="center"/>
    </xf>
    <xf numFmtId="0" fontId="161" fillId="0" borderId="0" xfId="0" applyFont="1" applyAlignment="1">
      <alignment horizontal="right"/>
    </xf>
    <xf numFmtId="44" fontId="163" fillId="0" borderId="0" xfId="3" applyFont="1" applyBorder="1" applyAlignment="1">
      <alignment horizontal="center"/>
    </xf>
    <xf numFmtId="0" fontId="163" fillId="0" borderId="10" xfId="0" applyFont="1" applyBorder="1" applyAlignment="1">
      <alignment horizontal="left"/>
    </xf>
    <xf numFmtId="0" fontId="161" fillId="0" borderId="10" xfId="0" applyFont="1" applyBorder="1"/>
    <xf numFmtId="0" fontId="39" fillId="17" borderId="73" xfId="1" applyFont="1" applyFill="1" applyBorder="1" applyAlignment="1">
      <alignment horizontal="center" vertical="center" wrapText="1"/>
    </xf>
    <xf numFmtId="0" fontId="165" fillId="8" borderId="0" xfId="0" applyFont="1" applyFill="1" applyAlignment="1">
      <alignment horizontal="left" vertical="center"/>
    </xf>
    <xf numFmtId="0" fontId="166" fillId="8" borderId="0" xfId="0" applyFont="1" applyFill="1" applyAlignment="1" applyProtection="1">
      <alignment horizontal="left"/>
      <protection hidden="1"/>
    </xf>
    <xf numFmtId="164" fontId="167" fillId="3" borderId="58" xfId="1" applyNumberFormat="1" applyFont="1" applyFill="1" applyBorder="1" applyProtection="1">
      <protection locked="0"/>
    </xf>
    <xf numFmtId="164" fontId="167" fillId="0" borderId="1" xfId="1" applyNumberFormat="1" applyFont="1" applyBorder="1" applyProtection="1">
      <protection locked="0"/>
    </xf>
    <xf numFmtId="164" fontId="167" fillId="0" borderId="58" xfId="1" applyNumberFormat="1" applyFont="1" applyBorder="1" applyProtection="1">
      <protection locked="0"/>
    </xf>
    <xf numFmtId="164" fontId="167" fillId="3" borderId="60" xfId="1" applyNumberFormat="1" applyFont="1" applyFill="1" applyBorder="1" applyProtection="1">
      <protection locked="0"/>
    </xf>
    <xf numFmtId="0" fontId="168" fillId="19" borderId="0" xfId="0" applyFont="1" applyFill="1" applyAlignment="1" applyProtection="1">
      <alignment horizontal="center" vertical="center"/>
      <protection hidden="1"/>
    </xf>
    <xf numFmtId="0" fontId="169" fillId="13" borderId="0" xfId="0" applyFont="1" applyFill="1" applyAlignment="1" applyProtection="1">
      <alignment vertical="top"/>
      <protection hidden="1"/>
    </xf>
    <xf numFmtId="0" fontId="170" fillId="5" borderId="0" xfId="0" applyFont="1" applyFill="1" applyAlignment="1" applyProtection="1">
      <alignment vertical="center"/>
      <protection hidden="1"/>
    </xf>
    <xf numFmtId="0" fontId="55" fillId="3" borderId="10" xfId="0" applyFont="1" applyFill="1" applyBorder="1" applyAlignment="1" applyProtection="1">
      <alignment vertical="top"/>
      <protection hidden="1"/>
    </xf>
    <xf numFmtId="0" fontId="170" fillId="5" borderId="0" xfId="0" applyFont="1" applyFill="1" applyAlignment="1" applyProtection="1">
      <alignment horizontal="left"/>
      <protection hidden="1"/>
    </xf>
    <xf numFmtId="164" fontId="109" fillId="0" borderId="0" xfId="0" applyNumberFormat="1" applyFont="1" applyAlignment="1">
      <alignment horizontal="center" vertical="center"/>
    </xf>
    <xf numFmtId="0" fontId="50" fillId="0" borderId="0" xfId="0" applyFont="1" applyAlignment="1" applyProtection="1">
      <alignment horizontal="left"/>
      <protection hidden="1"/>
    </xf>
    <xf numFmtId="0" fontId="172" fillId="5" borderId="0" xfId="0" applyFont="1" applyFill="1" applyAlignment="1" applyProtection="1">
      <alignment vertical="center"/>
      <protection hidden="1"/>
    </xf>
    <xf numFmtId="15" fontId="45" fillId="8" borderId="0" xfId="0" quotePrefix="1" applyNumberFormat="1" applyFont="1" applyFill="1" applyAlignment="1">
      <alignment horizontal="right" vertical="center"/>
    </xf>
    <xf numFmtId="0" fontId="157" fillId="8" borderId="0" xfId="0" applyFont="1" applyFill="1" applyAlignment="1">
      <alignment horizontal="center" vertical="center"/>
    </xf>
    <xf numFmtId="0" fontId="46" fillId="8" borderId="0" xfId="0" applyFont="1" applyFill="1" applyAlignment="1">
      <alignment horizontal="center" vertical="center"/>
    </xf>
    <xf numFmtId="0" fontId="47" fillId="19" borderId="0" xfId="0" applyFont="1" applyFill="1" applyAlignment="1">
      <alignment horizontal="left" vertical="top"/>
    </xf>
    <xf numFmtId="0" fontId="48" fillId="19" borderId="0" xfId="0" applyFont="1" applyFill="1" applyAlignment="1">
      <alignment horizontal="left" vertical="center"/>
    </xf>
    <xf numFmtId="0" fontId="48" fillId="19" borderId="63" xfId="0" applyFont="1" applyFill="1" applyBorder="1" applyAlignment="1">
      <alignment horizontal="left" vertical="center"/>
    </xf>
    <xf numFmtId="0" fontId="51" fillId="3" borderId="0" xfId="0" applyFont="1" applyFill="1" applyAlignment="1" applyProtection="1">
      <alignment horizontal="center" vertical="center"/>
      <protection locked="0" hidden="1"/>
    </xf>
    <xf numFmtId="0" fontId="49" fillId="8" borderId="0" xfId="0" applyFont="1" applyFill="1" applyAlignment="1">
      <alignment horizontal="center" vertical="center"/>
    </xf>
    <xf numFmtId="0" fontId="49" fillId="8" borderId="0" xfId="0" quotePrefix="1" applyFont="1" applyFill="1" applyAlignment="1">
      <alignment horizontal="center" vertical="center"/>
    </xf>
    <xf numFmtId="15" fontId="45" fillId="8" borderId="0" xfId="0" quotePrefix="1" applyNumberFormat="1" applyFont="1" applyFill="1" applyAlignment="1">
      <alignment horizontal="left" vertical="center"/>
    </xf>
    <xf numFmtId="0" fontId="159" fillId="8" borderId="56" xfId="0" applyFont="1" applyFill="1" applyBorder="1" applyAlignment="1" applyProtection="1">
      <alignment horizontal="left" vertical="top" wrapText="1"/>
      <protection locked="0" hidden="1"/>
    </xf>
    <xf numFmtId="0" fontId="73" fillId="13" borderId="0" xfId="0" applyFont="1" applyFill="1" applyAlignment="1">
      <alignment horizontal="center" vertical="center"/>
    </xf>
    <xf numFmtId="0" fontId="70" fillId="3" borderId="10" xfId="0" applyFont="1" applyFill="1" applyBorder="1" applyAlignment="1" applyProtection="1">
      <alignment horizontal="left"/>
      <protection locked="0" hidden="1"/>
    </xf>
    <xf numFmtId="0" fontId="50" fillId="8" borderId="0" xfId="0" applyFont="1" applyFill="1" applyAlignment="1">
      <alignment horizontal="left" vertical="center"/>
    </xf>
    <xf numFmtId="0" fontId="127" fillId="8" borderId="56" xfId="0" applyFont="1" applyFill="1" applyBorder="1" applyAlignment="1" applyProtection="1">
      <alignment horizontal="left" vertical="center"/>
      <protection locked="0" hidden="1"/>
    </xf>
    <xf numFmtId="0" fontId="127" fillId="8" borderId="10" xfId="0" applyFont="1" applyFill="1" applyBorder="1" applyAlignment="1" applyProtection="1">
      <alignment horizontal="left" vertical="center"/>
      <protection locked="0" hidden="1"/>
    </xf>
    <xf numFmtId="0" fontId="79" fillId="21" borderId="0" xfId="0" applyFont="1" applyFill="1" applyAlignment="1">
      <alignment horizontal="center" vertical="center"/>
    </xf>
    <xf numFmtId="0" fontId="126" fillId="3" borderId="0" xfId="0" applyFont="1" applyFill="1" applyAlignment="1" applyProtection="1">
      <alignment horizontal="left" vertical="center"/>
      <protection locked="0" hidden="1"/>
    </xf>
    <xf numFmtId="0" fontId="126" fillId="3" borderId="10" xfId="0" applyFont="1" applyFill="1" applyBorder="1" applyAlignment="1" applyProtection="1">
      <alignment horizontal="left" vertical="center"/>
      <protection locked="0" hidden="1"/>
    </xf>
    <xf numFmtId="0" fontId="72" fillId="8" borderId="56" xfId="0" applyFont="1" applyFill="1" applyBorder="1" applyAlignment="1" applyProtection="1">
      <alignment horizontal="left" vertical="center"/>
      <protection locked="0" hidden="1"/>
    </xf>
    <xf numFmtId="0" fontId="72" fillId="8" borderId="10" xfId="0" applyFont="1" applyFill="1" applyBorder="1" applyAlignment="1" applyProtection="1">
      <alignment horizontal="left" vertical="center"/>
      <protection locked="0" hidden="1"/>
    </xf>
    <xf numFmtId="0" fontId="63" fillId="8" borderId="0" xfId="0" applyFont="1" applyFill="1" applyAlignment="1">
      <alignment horizontal="left" vertical="center" wrapText="1"/>
    </xf>
    <xf numFmtId="0" fontId="158" fillId="8" borderId="56" xfId="0" applyFont="1" applyFill="1" applyBorder="1" applyAlignment="1" applyProtection="1">
      <alignment horizontal="left" vertical="top" wrapText="1"/>
      <protection locked="0" hidden="1"/>
    </xf>
    <xf numFmtId="0" fontId="107" fillId="8" borderId="0" xfId="0" applyFont="1" applyFill="1" applyAlignment="1" applyProtection="1">
      <alignment horizontal="left" vertical="top" wrapText="1"/>
      <protection hidden="1"/>
    </xf>
    <xf numFmtId="2" fontId="103" fillId="8" borderId="0" xfId="0" applyNumberFormat="1" applyFont="1" applyFill="1" applyAlignment="1" applyProtection="1">
      <alignment horizontal="center" vertical="center"/>
      <protection hidden="1"/>
    </xf>
    <xf numFmtId="0" fontId="103" fillId="8" borderId="0" xfId="0" applyFont="1" applyFill="1" applyAlignment="1" applyProtection="1">
      <alignment horizontal="center"/>
      <protection hidden="1"/>
    </xf>
    <xf numFmtId="0" fontId="57" fillId="8" borderId="0" xfId="0" applyFont="1" applyFill="1" applyAlignment="1" applyProtection="1">
      <alignment horizontal="left" vertical="center"/>
      <protection hidden="1"/>
    </xf>
    <xf numFmtId="0" fontId="57" fillId="8" borderId="66" xfId="0" applyFont="1" applyFill="1" applyBorder="1" applyAlignment="1" applyProtection="1">
      <alignment horizontal="left" vertical="center"/>
      <protection hidden="1"/>
    </xf>
    <xf numFmtId="0" fontId="129" fillId="8" borderId="0" xfId="0" applyFont="1" applyFill="1" applyAlignment="1" applyProtection="1">
      <alignment horizontal="left"/>
      <protection hidden="1"/>
    </xf>
    <xf numFmtId="0" fontId="129" fillId="8" borderId="0" xfId="0" applyFont="1" applyFill="1" applyAlignment="1" applyProtection="1">
      <alignment horizontal="center"/>
      <protection hidden="1"/>
    </xf>
    <xf numFmtId="0" fontId="72" fillId="8" borderId="0" xfId="0" applyFont="1" applyFill="1" applyAlignment="1" applyProtection="1">
      <alignment horizontal="left" vertical="center"/>
      <protection locked="0" hidden="1"/>
    </xf>
    <xf numFmtId="0" fontId="49" fillId="8" borderId="0" xfId="0" applyFont="1" applyFill="1" applyAlignment="1" applyProtection="1">
      <alignment horizontal="left" vertical="top" wrapText="1"/>
      <protection hidden="1"/>
    </xf>
    <xf numFmtId="0" fontId="49" fillId="8" borderId="0" xfId="0" applyFont="1" applyFill="1" applyAlignment="1" applyProtection="1">
      <alignment horizontal="left" vertical="top"/>
      <protection hidden="1"/>
    </xf>
    <xf numFmtId="1" fontId="51" fillId="8" borderId="0" xfId="0" applyNumberFormat="1" applyFont="1" applyFill="1" applyAlignment="1" applyProtection="1">
      <alignment horizontal="center" vertical="top"/>
      <protection hidden="1"/>
    </xf>
    <xf numFmtId="0" fontId="55" fillId="8" borderId="0" xfId="0" applyFont="1" applyFill="1" applyAlignment="1" applyProtection="1">
      <alignment horizontal="left" vertical="top"/>
      <protection hidden="1"/>
    </xf>
    <xf numFmtId="0" fontId="132" fillId="10" borderId="0" xfId="0" applyFont="1" applyFill="1" applyAlignment="1">
      <alignment horizontal="center" vertical="center"/>
    </xf>
    <xf numFmtId="16" fontId="135" fillId="3" borderId="0" xfId="0" quotePrefix="1" applyNumberFormat="1" applyFont="1" applyFill="1" applyAlignment="1">
      <alignment horizontal="center" vertical="center"/>
    </xf>
    <xf numFmtId="0" fontId="103" fillId="8" borderId="0" xfId="0" applyFont="1" applyFill="1" applyAlignment="1" applyProtection="1">
      <alignment horizontal="center" vertical="center"/>
      <protection hidden="1"/>
    </xf>
    <xf numFmtId="0" fontId="55" fillId="13" borderId="56" xfId="0" applyFont="1" applyFill="1" applyBorder="1" applyAlignment="1" applyProtection="1">
      <alignment horizontal="center"/>
      <protection hidden="1"/>
    </xf>
    <xf numFmtId="0" fontId="55" fillId="13" borderId="10" xfId="0" applyFont="1" applyFill="1" applyBorder="1" applyAlignment="1" applyProtection="1">
      <alignment horizontal="center"/>
      <protection hidden="1"/>
    </xf>
    <xf numFmtId="0" fontId="55" fillId="20" borderId="56" xfId="0" applyFont="1" applyFill="1" applyBorder="1" applyAlignment="1" applyProtection="1">
      <alignment horizontal="center"/>
      <protection hidden="1"/>
    </xf>
    <xf numFmtId="0" fontId="55" fillId="20" borderId="10" xfId="0" applyFont="1" applyFill="1" applyBorder="1" applyAlignment="1" applyProtection="1">
      <alignment horizontal="center"/>
      <protection hidden="1"/>
    </xf>
    <xf numFmtId="164" fontId="49" fillId="8" borderId="0" xfId="0" applyNumberFormat="1" applyFont="1" applyFill="1" applyAlignment="1" applyProtection="1">
      <alignment horizontal="left" vertical="center"/>
      <protection hidden="1"/>
    </xf>
    <xf numFmtId="0" fontId="54" fillId="8" borderId="0" xfId="0" applyFont="1" applyFill="1" applyAlignment="1" applyProtection="1">
      <alignment horizontal="center" vertical="center"/>
      <protection locked="0" hidden="1"/>
    </xf>
    <xf numFmtId="0" fontId="140" fillId="13" borderId="0" xfId="0" applyFont="1" applyFill="1" applyAlignment="1">
      <alignment horizontal="center"/>
    </xf>
    <xf numFmtId="0" fontId="118" fillId="8" borderId="0" xfId="0" applyFont="1" applyFill="1" applyAlignment="1" applyProtection="1">
      <alignment horizontal="right"/>
      <protection hidden="1"/>
    </xf>
    <xf numFmtId="0" fontId="118" fillId="8" borderId="9" xfId="0" applyFont="1" applyFill="1" applyBorder="1" applyAlignment="1" applyProtection="1">
      <alignment horizontal="right"/>
      <protection hidden="1"/>
    </xf>
    <xf numFmtId="0" fontId="86" fillId="20" borderId="0" xfId="0" applyFont="1" applyFill="1" applyAlignment="1" applyProtection="1">
      <alignment horizontal="left" vertical="center"/>
      <protection hidden="1"/>
    </xf>
    <xf numFmtId="0" fontId="44" fillId="8" borderId="10" xfId="0" applyFont="1" applyFill="1" applyBorder="1" applyAlignment="1" applyProtection="1">
      <alignment horizontal="left"/>
      <protection locked="0" hidden="1"/>
    </xf>
    <xf numFmtId="164" fontId="49" fillId="8" borderId="0" xfId="0" applyNumberFormat="1" applyFont="1" applyFill="1" applyAlignment="1">
      <alignment horizontal="left" vertical="center"/>
    </xf>
    <xf numFmtId="0" fontId="118" fillId="8" borderId="0" xfId="0" applyFont="1" applyFill="1" applyAlignment="1" applyProtection="1">
      <alignment horizontal="left" vertical="top" wrapText="1"/>
      <protection hidden="1"/>
    </xf>
    <xf numFmtId="0" fontId="57" fillId="8" borderId="10" xfId="0" applyFont="1" applyFill="1" applyBorder="1" applyAlignment="1" applyProtection="1">
      <alignment horizontal="left" vertical="center"/>
      <protection hidden="1"/>
    </xf>
    <xf numFmtId="0" fontId="88" fillId="13" borderId="0" xfId="0" applyFont="1" applyFill="1" applyAlignment="1" applyProtection="1">
      <alignment horizontal="left" vertical="top" wrapText="1"/>
      <protection hidden="1"/>
    </xf>
    <xf numFmtId="0" fontId="54" fillId="13" borderId="0" xfId="0" applyFont="1" applyFill="1" applyAlignment="1" applyProtection="1">
      <alignment horizontal="center" vertical="center"/>
      <protection hidden="1"/>
    </xf>
    <xf numFmtId="0" fontId="86" fillId="13" borderId="0" xfId="0" applyFont="1" applyFill="1" applyAlignment="1" applyProtection="1">
      <alignment horizontal="left" vertical="center"/>
      <protection hidden="1"/>
    </xf>
    <xf numFmtId="164" fontId="60" fillId="19" borderId="0" xfId="0" applyNumberFormat="1" applyFont="1" applyFill="1" applyAlignment="1">
      <alignment horizontal="center"/>
    </xf>
    <xf numFmtId="0" fontId="60" fillId="19" borderId="0" xfId="0" applyFont="1" applyFill="1" applyAlignment="1">
      <alignment horizontal="center"/>
    </xf>
    <xf numFmtId="0" fontId="60" fillId="19" borderId="0" xfId="0" applyFont="1" applyFill="1" applyAlignment="1">
      <alignment horizontal="left" vertical="center"/>
    </xf>
    <xf numFmtId="164" fontId="49" fillId="8" borderId="9" xfId="0" applyNumberFormat="1" applyFont="1" applyFill="1" applyBorder="1" applyAlignment="1">
      <alignment horizontal="left" vertical="center"/>
    </xf>
    <xf numFmtId="0" fontId="55" fillId="3" borderId="0" xfId="0" applyFont="1" applyFill="1" applyAlignment="1" applyProtection="1">
      <alignment horizontal="center"/>
      <protection hidden="1"/>
    </xf>
    <xf numFmtId="0" fontId="55" fillId="13" borderId="0" xfId="0" applyFont="1" applyFill="1" applyAlignment="1" applyProtection="1">
      <alignment horizontal="center" vertical="top"/>
      <protection hidden="1"/>
    </xf>
    <xf numFmtId="0" fontId="44" fillId="3" borderId="10" xfId="0" applyFont="1" applyFill="1" applyBorder="1" applyAlignment="1" applyProtection="1">
      <alignment horizontal="left"/>
      <protection locked="0" hidden="1"/>
    </xf>
    <xf numFmtId="0" fontId="55" fillId="13" borderId="0" xfId="0" applyFont="1" applyFill="1" applyAlignment="1" applyProtection="1">
      <alignment horizontal="left" vertical="center" wrapText="1"/>
      <protection hidden="1"/>
    </xf>
    <xf numFmtId="0" fontId="88" fillId="20" borderId="0" xfId="0" applyFont="1" applyFill="1" applyAlignment="1" applyProtection="1">
      <alignment horizontal="left" vertical="top" wrapText="1"/>
      <protection hidden="1"/>
    </xf>
    <xf numFmtId="0" fontId="54" fillId="20" borderId="0" xfId="0" applyFont="1" applyFill="1" applyAlignment="1" applyProtection="1">
      <alignment horizontal="center" vertical="center"/>
      <protection hidden="1"/>
    </xf>
    <xf numFmtId="164" fontId="49" fillId="0" borderId="0" xfId="0" applyNumberFormat="1" applyFont="1" applyAlignment="1">
      <alignment horizontal="left" vertical="center"/>
    </xf>
    <xf numFmtId="0" fontId="54" fillId="0" borderId="0" xfId="0" applyFont="1" applyAlignment="1">
      <alignment horizontal="center" vertical="center"/>
    </xf>
    <xf numFmtId="0" fontId="70" fillId="8" borderId="0" xfId="0" applyFont="1" applyFill="1" applyAlignment="1" applyProtection="1">
      <alignment horizontal="left"/>
      <protection hidden="1"/>
    </xf>
    <xf numFmtId="0" fontId="51" fillId="8" borderId="10" xfId="0" applyFont="1" applyFill="1" applyBorder="1" applyAlignment="1">
      <alignment horizontal="center"/>
    </xf>
    <xf numFmtId="0" fontId="97" fillId="8" borderId="0" xfId="0" applyFont="1" applyFill="1" applyAlignment="1" applyProtection="1">
      <alignment horizontal="center" vertical="center"/>
      <protection hidden="1"/>
    </xf>
    <xf numFmtId="0" fontId="55" fillId="13" borderId="0" xfId="0" quotePrefix="1" applyFont="1" applyFill="1" applyAlignment="1" applyProtection="1">
      <alignment horizontal="center"/>
      <protection hidden="1"/>
    </xf>
    <xf numFmtId="0" fontId="55" fillId="13" borderId="0" xfId="0" applyFont="1" applyFill="1" applyAlignment="1" applyProtection="1">
      <alignment horizontal="center"/>
      <protection hidden="1"/>
    </xf>
    <xf numFmtId="0" fontId="50" fillId="8" borderId="0" xfId="0" applyFont="1" applyFill="1" applyAlignment="1" applyProtection="1">
      <alignment horizontal="center"/>
      <protection hidden="1"/>
    </xf>
    <xf numFmtId="164" fontId="139" fillId="10" borderId="0" xfId="0" applyNumberFormat="1" applyFont="1" applyFill="1" applyAlignment="1">
      <alignment horizontal="center" vertical="center"/>
    </xf>
    <xf numFmtId="0" fontId="54" fillId="13" borderId="66" xfId="0" applyFont="1" applyFill="1" applyBorder="1" applyAlignment="1" applyProtection="1">
      <alignment horizontal="center" vertical="center"/>
      <protection hidden="1"/>
    </xf>
    <xf numFmtId="0" fontId="86" fillId="13" borderId="66" xfId="0" applyFont="1" applyFill="1" applyBorder="1" applyAlignment="1" applyProtection="1">
      <alignment horizontal="left" vertical="center"/>
      <protection hidden="1"/>
    </xf>
    <xf numFmtId="0" fontId="169" fillId="3" borderId="0" xfId="0" applyFont="1" applyFill="1" applyAlignment="1" applyProtection="1">
      <alignment horizontal="center"/>
      <protection hidden="1"/>
    </xf>
    <xf numFmtId="0" fontId="171" fillId="3" borderId="0" xfId="0" applyFont="1" applyFill="1" applyAlignment="1">
      <alignment horizontal="center"/>
    </xf>
    <xf numFmtId="0" fontId="55" fillId="20" borderId="0" xfId="0" quotePrefix="1" applyFont="1" applyFill="1" applyAlignment="1" applyProtection="1">
      <alignment horizontal="center"/>
      <protection hidden="1"/>
    </xf>
    <xf numFmtId="0" fontId="55" fillId="20" borderId="0" xfId="0" applyFont="1" applyFill="1" applyAlignment="1" applyProtection="1">
      <alignment horizontal="center"/>
      <protection hidden="1"/>
    </xf>
    <xf numFmtId="0" fontId="55" fillId="8" borderId="0" xfId="0" applyFont="1" applyFill="1" applyAlignment="1" applyProtection="1">
      <alignment horizontal="right"/>
      <protection hidden="1"/>
    </xf>
    <xf numFmtId="0" fontId="55" fillId="8" borderId="9" xfId="0" applyFont="1" applyFill="1" applyBorder="1" applyAlignment="1" applyProtection="1">
      <alignment horizontal="right"/>
      <protection hidden="1"/>
    </xf>
    <xf numFmtId="0" fontId="150" fillId="8" borderId="0" xfId="0" applyFont="1" applyFill="1" applyAlignment="1">
      <alignment horizontal="left" vertical="center"/>
    </xf>
    <xf numFmtId="0" fontId="151" fillId="8" borderId="0" xfId="0" applyFont="1" applyFill="1" applyAlignment="1">
      <alignment horizontal="left" vertical="center"/>
    </xf>
    <xf numFmtId="0" fontId="109" fillId="8" borderId="56" xfId="0" applyFont="1" applyFill="1" applyBorder="1" applyAlignment="1">
      <alignment horizontal="left" vertical="center" wrapText="1"/>
    </xf>
    <xf numFmtId="0" fontId="109" fillId="8" borderId="0" xfId="0" applyFont="1" applyFill="1" applyAlignment="1">
      <alignment horizontal="left" vertical="center" wrapText="1"/>
    </xf>
    <xf numFmtId="0" fontId="44" fillId="8" borderId="10" xfId="0" applyFont="1" applyFill="1" applyBorder="1" applyAlignment="1">
      <alignment horizontal="left"/>
    </xf>
    <xf numFmtId="0" fontId="54" fillId="0" borderId="0" xfId="0" applyFont="1" applyAlignment="1" applyProtection="1">
      <alignment horizontal="center" vertical="center"/>
      <protection locked="0" hidden="1"/>
    </xf>
    <xf numFmtId="0" fontId="55" fillId="13" borderId="56" xfId="0" applyFont="1" applyFill="1" applyBorder="1" applyAlignment="1" applyProtection="1">
      <alignment horizontal="center" vertical="center" wrapText="1"/>
      <protection hidden="1"/>
    </xf>
    <xf numFmtId="0" fontId="55" fillId="13" borderId="10" xfId="0" applyFont="1" applyFill="1" applyBorder="1" applyAlignment="1" applyProtection="1">
      <alignment horizontal="center" vertical="center" wrapText="1"/>
      <protection hidden="1"/>
    </xf>
    <xf numFmtId="0" fontId="55" fillId="20" borderId="56" xfId="0" applyFont="1" applyFill="1" applyBorder="1" applyAlignment="1" applyProtection="1">
      <alignment horizontal="center" vertical="center" wrapText="1"/>
      <protection hidden="1"/>
    </xf>
    <xf numFmtId="0" fontId="55" fillId="20" borderId="10" xfId="0" applyFont="1" applyFill="1" applyBorder="1" applyAlignment="1" applyProtection="1">
      <alignment horizontal="center" vertical="center" wrapText="1"/>
      <protection hidden="1"/>
    </xf>
    <xf numFmtId="0" fontId="55" fillId="13" borderId="0" xfId="0" applyFont="1" applyFill="1" applyAlignment="1" applyProtection="1">
      <alignment horizontal="center" vertical="center" wrapText="1"/>
      <protection hidden="1"/>
    </xf>
    <xf numFmtId="0" fontId="55" fillId="20" borderId="0" xfId="0" applyFont="1" applyFill="1" applyAlignment="1" applyProtection="1">
      <alignment horizontal="center" vertical="center" wrapText="1"/>
      <protection hidden="1"/>
    </xf>
    <xf numFmtId="0" fontId="55" fillId="8" borderId="0" xfId="0" applyFont="1" applyFill="1" applyAlignment="1" applyProtection="1">
      <alignment horizontal="center"/>
      <protection hidden="1"/>
    </xf>
    <xf numFmtId="0" fontId="55" fillId="8" borderId="9" xfId="0" applyFont="1" applyFill="1" applyBorder="1" applyAlignment="1" applyProtection="1">
      <alignment horizontal="center"/>
      <protection hidden="1"/>
    </xf>
    <xf numFmtId="0" fontId="144" fillId="8" borderId="0" xfId="0" applyFont="1" applyFill="1" applyAlignment="1" applyProtection="1">
      <alignment horizontal="center" vertical="center"/>
      <protection locked="0" hidden="1"/>
    </xf>
    <xf numFmtId="0" fontId="41" fillId="18" borderId="0" xfId="0" applyFont="1" applyFill="1" applyAlignment="1">
      <alignment horizontal="center"/>
    </xf>
    <xf numFmtId="0" fontId="40" fillId="18" borderId="0" xfId="0" applyFont="1" applyFill="1" applyAlignment="1">
      <alignment horizontal="center"/>
    </xf>
    <xf numFmtId="0" fontId="11" fillId="11" borderId="0" xfId="0" applyFont="1" applyFill="1" applyAlignment="1">
      <alignment horizontal="center"/>
    </xf>
    <xf numFmtId="0" fontId="2" fillId="5" borderId="10" xfId="0" applyFont="1" applyFill="1" applyBorder="1" applyAlignment="1">
      <alignment horizontal="left" vertical="center"/>
    </xf>
    <xf numFmtId="0" fontId="31" fillId="0" borderId="0" xfId="0" applyFont="1" applyAlignment="1">
      <alignment horizontal="center" vertical="center"/>
    </xf>
    <xf numFmtId="0" fontId="2" fillId="5" borderId="0" xfId="0" applyFont="1" applyFill="1" applyAlignment="1">
      <alignment horizontal="center"/>
    </xf>
    <xf numFmtId="0" fontId="2" fillId="24" borderId="0" xfId="0" applyFont="1" applyFill="1" applyAlignment="1">
      <alignment horizontal="center"/>
    </xf>
    <xf numFmtId="0" fontId="0" fillId="6" borderId="0" xfId="0" applyFill="1" applyAlignment="1">
      <alignment horizontal="center"/>
    </xf>
    <xf numFmtId="0" fontId="0" fillId="23" borderId="0" xfId="0" applyFill="1" applyAlignment="1">
      <alignment horizontal="center"/>
    </xf>
    <xf numFmtId="0" fontId="2" fillId="26" borderId="0" xfId="0" applyFont="1" applyFill="1" applyAlignment="1">
      <alignment horizontal="center"/>
    </xf>
    <xf numFmtId="0" fontId="2" fillId="9" borderId="0" xfId="0" applyFont="1" applyFill="1" applyAlignment="1">
      <alignment horizontal="center"/>
    </xf>
    <xf numFmtId="14" fontId="51" fillId="3" borderId="0" xfId="0" applyNumberFormat="1" applyFont="1" applyFill="1" applyAlignment="1">
      <alignment horizontal="center" vertical="center"/>
    </xf>
    <xf numFmtId="14" fontId="139" fillId="25" borderId="0" xfId="0" applyNumberFormat="1" applyFont="1" applyFill="1" applyAlignment="1">
      <alignment horizontal="center" vertical="center"/>
    </xf>
    <xf numFmtId="14" fontId="139" fillId="25" borderId="0" xfId="0" applyNumberFormat="1" applyFont="1" applyFill="1" applyAlignment="1">
      <alignment horizontal="left" vertical="center"/>
    </xf>
    <xf numFmtId="0" fontId="0" fillId="0" borderId="0" xfId="0" applyAlignment="1" applyProtection="1">
      <alignment horizontal="left"/>
      <protection hidden="1"/>
    </xf>
    <xf numFmtId="0" fontId="0" fillId="0" borderId="9" xfId="0" applyBorder="1" applyAlignment="1" applyProtection="1">
      <alignment horizontal="left"/>
      <protection hidden="1"/>
    </xf>
    <xf numFmtId="0" fontId="0" fillId="5" borderId="2" xfId="0" applyFill="1" applyBorder="1" applyAlignment="1" applyProtection="1">
      <alignment horizontal="center"/>
      <protection hidden="1"/>
    </xf>
    <xf numFmtId="0" fontId="0" fillId="7" borderId="49" xfId="0" applyFill="1" applyBorder="1" applyAlignment="1" applyProtection="1">
      <alignment horizontal="center"/>
      <protection hidden="1"/>
    </xf>
    <xf numFmtId="0" fontId="0" fillId="7" borderId="54" xfId="0" applyFill="1" applyBorder="1" applyAlignment="1" applyProtection="1">
      <alignment horizontal="center"/>
      <protection hidden="1"/>
    </xf>
    <xf numFmtId="0" fontId="0" fillId="7" borderId="6" xfId="0" applyFill="1" applyBorder="1" applyAlignment="1" applyProtection="1">
      <alignment horizontal="center"/>
      <protection hidden="1"/>
    </xf>
    <xf numFmtId="0" fontId="0" fillId="7" borderId="53" xfId="0" applyFill="1" applyBorder="1" applyAlignment="1" applyProtection="1">
      <alignment horizontal="center"/>
      <protection hidden="1"/>
    </xf>
    <xf numFmtId="0" fontId="0" fillId="7" borderId="2" xfId="0" applyFill="1" applyBorder="1" applyAlignment="1" applyProtection="1">
      <alignment horizontal="center"/>
      <protection hidden="1"/>
    </xf>
    <xf numFmtId="0" fontId="0" fillId="4" borderId="1" xfId="0" applyFill="1" applyBorder="1" applyAlignment="1">
      <alignment horizontal="left"/>
    </xf>
    <xf numFmtId="0" fontId="21" fillId="9" borderId="24" xfId="0" applyFont="1" applyFill="1" applyBorder="1" applyAlignment="1">
      <alignment horizontal="center" vertical="center" wrapText="1"/>
    </xf>
    <xf numFmtId="0" fontId="21" fillId="9" borderId="28" xfId="0" applyFont="1" applyFill="1" applyBorder="1" applyAlignment="1">
      <alignment horizontal="center" vertical="center" wrapText="1"/>
    </xf>
    <xf numFmtId="0" fontId="0" fillId="4" borderId="2" xfId="0" applyFill="1" applyBorder="1" applyAlignment="1">
      <alignment horizontal="left"/>
    </xf>
    <xf numFmtId="0" fontId="0" fillId="9" borderId="31" xfId="0" applyFill="1" applyBorder="1" applyAlignment="1">
      <alignment horizontal="center" vertical="center" wrapText="1"/>
    </xf>
    <xf numFmtId="0" fontId="0" fillId="9" borderId="15" xfId="0" applyFill="1" applyBorder="1" applyAlignment="1">
      <alignment horizontal="center" vertical="center" wrapText="1"/>
    </xf>
    <xf numFmtId="0" fontId="21" fillId="9" borderId="22" xfId="0" applyFont="1" applyFill="1" applyBorder="1" applyAlignment="1">
      <alignment horizontal="center" vertical="center" wrapText="1"/>
    </xf>
    <xf numFmtId="0" fontId="21" fillId="9" borderId="27" xfId="0" applyFont="1" applyFill="1" applyBorder="1" applyAlignment="1">
      <alignment horizontal="center" vertical="center" wrapText="1"/>
    </xf>
    <xf numFmtId="0" fontId="21" fillId="9" borderId="41" xfId="0" applyFont="1" applyFill="1" applyBorder="1" applyAlignment="1">
      <alignment horizontal="center" vertical="center"/>
    </xf>
    <xf numFmtId="0" fontId="21" fillId="9" borderId="42" xfId="0" applyFont="1" applyFill="1" applyBorder="1" applyAlignment="1">
      <alignment horizontal="center" vertical="center"/>
    </xf>
    <xf numFmtId="0" fontId="21" fillId="9" borderId="43" xfId="0" applyFont="1" applyFill="1" applyBorder="1" applyAlignment="1">
      <alignment horizontal="center" vertical="center"/>
    </xf>
    <xf numFmtId="0" fontId="21" fillId="9" borderId="44" xfId="0" applyFont="1" applyFill="1" applyBorder="1" applyAlignment="1">
      <alignment horizontal="center" vertical="center"/>
    </xf>
    <xf numFmtId="0" fontId="21" fillId="9" borderId="45" xfId="0" applyFont="1" applyFill="1" applyBorder="1" applyAlignment="1">
      <alignment horizontal="center" vertical="center"/>
    </xf>
    <xf numFmtId="0" fontId="21" fillId="9" borderId="46" xfId="0" applyFont="1" applyFill="1" applyBorder="1" applyAlignment="1">
      <alignment horizontal="center" vertical="center"/>
    </xf>
    <xf numFmtId="0" fontId="0" fillId="9" borderId="23" xfId="0" applyFill="1" applyBorder="1" applyAlignment="1">
      <alignment horizontal="center" vertical="center" wrapText="1"/>
    </xf>
    <xf numFmtId="0" fontId="0" fillId="9" borderId="2" xfId="0" applyFill="1" applyBorder="1" applyAlignment="1">
      <alignment horizontal="center" vertical="center" wrapText="1"/>
    </xf>
    <xf numFmtId="0" fontId="21" fillId="9" borderId="23" xfId="0" applyFont="1" applyFill="1" applyBorder="1" applyAlignment="1">
      <alignment horizontal="center" vertical="center" wrapText="1"/>
    </xf>
    <xf numFmtId="0" fontId="21" fillId="9" borderId="2" xfId="0" applyFont="1" applyFill="1" applyBorder="1" applyAlignment="1">
      <alignment horizontal="center" vertical="center" wrapText="1"/>
    </xf>
    <xf numFmtId="0" fontId="23" fillId="3" borderId="1" xfId="0" applyFont="1" applyFill="1" applyBorder="1" applyAlignment="1">
      <alignment horizontal="left" vertical="top" wrapText="1"/>
    </xf>
    <xf numFmtId="0" fontId="21" fillId="9" borderId="50" xfId="0" applyFont="1" applyFill="1" applyBorder="1" applyAlignment="1">
      <alignment horizontal="center" vertical="center" wrapText="1"/>
    </xf>
    <xf numFmtId="0" fontId="21" fillId="9" borderId="51" xfId="0" applyFont="1" applyFill="1" applyBorder="1" applyAlignment="1">
      <alignment horizontal="center" vertical="center" wrapText="1"/>
    </xf>
    <xf numFmtId="0" fontId="0" fillId="4" borderId="23" xfId="0" applyFill="1" applyBorder="1" applyAlignment="1">
      <alignment horizontal="left"/>
    </xf>
    <xf numFmtId="0" fontId="0" fillId="4" borderId="3" xfId="0" applyFill="1" applyBorder="1" applyAlignment="1">
      <alignment horizontal="left"/>
    </xf>
    <xf numFmtId="0" fontId="15" fillId="0" borderId="26" xfId="0" applyFont="1" applyBorder="1" applyAlignment="1">
      <alignment horizontal="center" vertical="center"/>
    </xf>
    <xf numFmtId="0" fontId="15" fillId="0" borderId="24" xfId="0" applyFont="1" applyBorder="1" applyAlignment="1">
      <alignment horizontal="center" vertical="center"/>
    </xf>
    <xf numFmtId="0" fontId="15" fillId="0" borderId="26" xfId="0" applyFont="1" applyBorder="1" applyAlignment="1">
      <alignment horizontal="center" vertical="center" wrapText="1"/>
    </xf>
    <xf numFmtId="0" fontId="15" fillId="0" borderId="24" xfId="0" applyFont="1" applyBorder="1" applyAlignment="1">
      <alignment horizontal="center" vertical="center" wrapText="1"/>
    </xf>
    <xf numFmtId="0" fontId="0" fillId="0" borderId="31" xfId="0" applyBorder="1" applyAlignment="1">
      <alignment horizontal="center"/>
    </xf>
    <xf numFmtId="0" fontId="0" fillId="0" borderId="4" xfId="0" applyBorder="1" applyAlignment="1">
      <alignment horizontal="center"/>
    </xf>
    <xf numFmtId="0" fontId="0" fillId="0" borderId="15" xfId="0" applyBorder="1" applyAlignment="1">
      <alignment horizontal="center"/>
    </xf>
    <xf numFmtId="0" fontId="13" fillId="0" borderId="0" xfId="0" applyFont="1" applyAlignment="1">
      <alignment horizontal="center"/>
    </xf>
    <xf numFmtId="0" fontId="14" fillId="0" borderId="22"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3" xfId="0" applyFont="1" applyBorder="1" applyAlignment="1">
      <alignment horizontal="center" vertical="center"/>
    </xf>
    <xf numFmtId="0" fontId="14" fillId="0" borderId="2" xfId="0" applyFont="1" applyBorder="1" applyAlignment="1">
      <alignment horizontal="center" vertical="center"/>
    </xf>
    <xf numFmtId="0" fontId="14" fillId="0" borderId="23" xfId="0" applyFont="1" applyBorder="1" applyAlignment="1">
      <alignment horizontal="center" vertical="center" wrapText="1"/>
    </xf>
    <xf numFmtId="0" fontId="14" fillId="0" borderId="2" xfId="0" applyFont="1" applyBorder="1" applyAlignment="1">
      <alignment horizontal="center" vertical="center" wrapText="1"/>
    </xf>
    <xf numFmtId="0" fontId="0" fillId="0" borderId="0" xfId="0" applyAlignment="1">
      <alignment horizontal="left" vertical="top" wrapText="1"/>
    </xf>
    <xf numFmtId="0" fontId="14" fillId="0" borderId="24" xfId="0" applyFont="1" applyBorder="1" applyAlignment="1">
      <alignment horizontal="center" vertical="center" wrapText="1"/>
    </xf>
    <xf numFmtId="0" fontId="14" fillId="0" borderId="28" xfId="0" applyFont="1" applyBorder="1" applyAlignment="1">
      <alignment horizontal="center" vertical="center" wrapText="1"/>
    </xf>
    <xf numFmtId="164" fontId="109" fillId="8" borderId="0" xfId="0" applyNumberFormat="1" applyFont="1" applyFill="1" applyAlignment="1">
      <alignment horizontal="left" vertical="center"/>
    </xf>
    <xf numFmtId="164" fontId="109" fillId="8" borderId="0" xfId="0" applyNumberFormat="1" applyFont="1" applyFill="1" applyAlignment="1">
      <alignment vertical="center"/>
    </xf>
  </cellXfs>
  <cellStyles count="4">
    <cellStyle name="Excel Built-in Normal" xfId="1" xr:uid="{00000000-0005-0000-0000-000000000000}"/>
    <cellStyle name="Normalny" xfId="0" builtinId="0"/>
    <cellStyle name="Procentowy" xfId="2" builtinId="5"/>
    <cellStyle name="Walutowy" xfId="3" builtinId="4"/>
  </cellStyles>
  <dxfs count="283">
    <dxf>
      <font>
        <color rgb="FFFF0000"/>
      </font>
    </dxf>
    <dxf>
      <font>
        <color rgb="FFC00000"/>
      </font>
      <fill>
        <patternFill>
          <bgColor rgb="FFC00000"/>
        </patternFill>
      </fill>
    </dxf>
    <dxf>
      <font>
        <color rgb="FFFF0000"/>
      </font>
    </dxf>
    <dxf>
      <font>
        <color rgb="FFC00000"/>
      </font>
      <fill>
        <patternFill>
          <bgColor rgb="FFC00000"/>
        </patternFill>
      </fill>
    </dxf>
    <dxf>
      <font>
        <color rgb="FFEF4423"/>
      </font>
    </dxf>
    <dxf>
      <border>
        <left/>
        <right/>
        <top/>
        <bottom/>
        <vertical/>
        <horizontal/>
      </border>
    </dxf>
    <dxf>
      <fill>
        <patternFill>
          <bgColor theme="0"/>
        </patternFill>
      </fill>
    </dxf>
    <dxf>
      <border>
        <left/>
        <right/>
        <top/>
        <bottom/>
        <vertical/>
        <horizontal/>
      </border>
    </dxf>
    <dxf>
      <fill>
        <patternFill>
          <bgColor theme="0"/>
        </patternFill>
      </fill>
    </dxf>
    <dxf>
      <font>
        <b/>
        <i val="0"/>
        <color theme="0"/>
      </font>
      <fill>
        <patternFill>
          <bgColor rgb="FF1EA654"/>
        </patternFill>
      </fill>
    </dxf>
    <dxf>
      <font>
        <b/>
        <i val="0"/>
        <color theme="0"/>
      </font>
      <fill>
        <patternFill>
          <bgColor rgb="FF3FB651"/>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rgb="FFEF4423"/>
      </font>
    </dxf>
    <dxf>
      <border>
        <left/>
        <right/>
        <top/>
        <bottom/>
        <vertical/>
        <horizontal/>
      </border>
    </dxf>
    <dxf>
      <fill>
        <patternFill>
          <bgColor theme="0"/>
        </patternFill>
      </fill>
    </dxf>
    <dxf>
      <border>
        <left/>
        <right/>
        <top/>
        <bottom/>
        <vertical/>
        <horizontal/>
      </border>
    </dxf>
    <dxf>
      <fill>
        <patternFill>
          <bgColor theme="0"/>
        </patternFill>
      </fill>
    </dxf>
    <dxf>
      <font>
        <b/>
        <i val="0"/>
        <color theme="0"/>
      </font>
      <fill>
        <patternFill>
          <bgColor rgb="FF1EA654"/>
        </patternFill>
      </fill>
    </dxf>
    <dxf>
      <font>
        <b/>
        <i val="0"/>
        <color theme="0"/>
      </font>
      <fill>
        <patternFill>
          <bgColor rgb="FF3FB651"/>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rgb="FFEF4423"/>
      </font>
    </dxf>
    <dxf>
      <border>
        <left/>
        <right/>
        <top/>
        <bottom/>
        <vertical/>
        <horizontal/>
      </border>
    </dxf>
    <dxf>
      <fill>
        <patternFill>
          <bgColor theme="0"/>
        </patternFill>
      </fill>
    </dxf>
    <dxf>
      <border>
        <left/>
        <right/>
        <top/>
        <bottom/>
        <vertical/>
        <horizontal/>
      </border>
    </dxf>
    <dxf>
      <fill>
        <patternFill>
          <bgColor theme="0"/>
        </patternFill>
      </fill>
    </dxf>
    <dxf>
      <font>
        <b/>
        <i val="0"/>
        <color theme="0"/>
      </font>
      <fill>
        <patternFill>
          <bgColor rgb="FF1EA654"/>
        </patternFill>
      </fill>
    </dxf>
    <dxf>
      <font>
        <b/>
        <i val="0"/>
        <color theme="0"/>
      </font>
      <fill>
        <patternFill>
          <bgColor rgb="FF3FB651"/>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rgb="FFEF4423"/>
      </font>
    </dxf>
    <dxf>
      <fill>
        <patternFill>
          <bgColor theme="4" tint="0.79998168889431442"/>
        </patternFill>
      </fill>
    </dxf>
    <dxf>
      <fill>
        <patternFill>
          <bgColor theme="7" tint="0.79998168889431442"/>
        </patternFill>
      </fill>
    </dxf>
    <dxf>
      <fill>
        <patternFill>
          <bgColor theme="5" tint="0.79998168889431442"/>
        </patternFill>
      </fill>
    </dxf>
    <dxf>
      <font>
        <color theme="0" tint="-0.14996795556505021"/>
      </font>
      <fill>
        <patternFill>
          <bgColor theme="0" tint="-0.14996795556505021"/>
        </patternFill>
      </fill>
    </dxf>
    <dxf>
      <fill>
        <patternFill>
          <bgColor theme="4" tint="0.79998168889431442"/>
        </patternFill>
      </fill>
    </dxf>
    <dxf>
      <fill>
        <patternFill>
          <bgColor theme="7" tint="0.79998168889431442"/>
        </patternFill>
      </fill>
    </dxf>
    <dxf>
      <fill>
        <patternFill>
          <bgColor theme="5" tint="0.79998168889431442"/>
        </patternFill>
      </fill>
    </dxf>
    <dxf>
      <font>
        <color theme="0" tint="-0.14996795556505021"/>
      </font>
      <fill>
        <patternFill>
          <bgColor theme="0" tint="-0.14996795556505021"/>
        </patternFill>
      </fill>
    </dxf>
    <dxf>
      <fill>
        <patternFill>
          <bgColor theme="4" tint="0.79998168889431442"/>
        </patternFill>
      </fill>
    </dxf>
    <dxf>
      <fill>
        <patternFill>
          <bgColor theme="7" tint="0.79998168889431442"/>
        </patternFill>
      </fill>
    </dxf>
    <dxf>
      <fill>
        <patternFill>
          <bgColor theme="5" tint="0.79998168889431442"/>
        </patternFill>
      </fill>
    </dxf>
    <dxf>
      <font>
        <color theme="0" tint="-0.14996795556505021"/>
      </font>
      <fill>
        <patternFill>
          <bgColor theme="0" tint="-0.14996795556505021"/>
        </patternFill>
      </fill>
    </dxf>
    <dxf>
      <fill>
        <patternFill>
          <bgColor theme="4" tint="0.79998168889431442"/>
        </patternFill>
      </fill>
    </dxf>
    <dxf>
      <fill>
        <patternFill>
          <bgColor theme="7" tint="0.79998168889431442"/>
        </patternFill>
      </fill>
    </dxf>
    <dxf>
      <fill>
        <patternFill>
          <bgColor theme="5" tint="0.79998168889431442"/>
        </patternFill>
      </fill>
    </dxf>
    <dxf>
      <font>
        <color theme="0" tint="-0.14996795556505021"/>
      </font>
      <fill>
        <patternFill>
          <bgColor theme="0" tint="-0.14996795556505021"/>
        </patternFill>
      </fill>
    </dxf>
    <dxf>
      <fill>
        <patternFill>
          <bgColor theme="4" tint="0.79998168889431442"/>
        </patternFill>
      </fill>
    </dxf>
    <dxf>
      <fill>
        <patternFill>
          <bgColor theme="7" tint="0.79998168889431442"/>
        </patternFill>
      </fill>
    </dxf>
    <dxf>
      <fill>
        <patternFill>
          <bgColor theme="5" tint="0.79998168889431442"/>
        </patternFill>
      </fill>
    </dxf>
    <dxf>
      <font>
        <color theme="0" tint="-0.14996795556505021"/>
      </font>
      <fill>
        <patternFill>
          <bgColor theme="0" tint="-0.14996795556505021"/>
        </patternFill>
      </fill>
    </dxf>
    <dxf>
      <fill>
        <patternFill>
          <bgColor theme="4" tint="0.79998168889431442"/>
        </patternFill>
      </fill>
    </dxf>
    <dxf>
      <fill>
        <patternFill>
          <bgColor theme="7" tint="0.79998168889431442"/>
        </patternFill>
      </fill>
    </dxf>
    <dxf>
      <fill>
        <patternFill>
          <bgColor theme="5" tint="0.79998168889431442"/>
        </patternFill>
      </fill>
    </dxf>
    <dxf>
      <font>
        <color theme="0" tint="-0.14996795556505021"/>
      </font>
      <fill>
        <patternFill>
          <bgColor theme="0" tint="-0.14996795556505021"/>
        </patternFill>
      </fill>
    </dxf>
    <dxf>
      <fill>
        <patternFill>
          <bgColor theme="4" tint="0.79998168889431442"/>
        </patternFill>
      </fill>
    </dxf>
    <dxf>
      <fill>
        <patternFill>
          <bgColor theme="7" tint="0.79998168889431442"/>
        </patternFill>
      </fill>
    </dxf>
    <dxf>
      <fill>
        <patternFill>
          <bgColor theme="5" tint="0.79998168889431442"/>
        </patternFill>
      </fill>
    </dxf>
    <dxf>
      <font>
        <color theme="0" tint="-0.14996795556505021"/>
      </font>
      <fill>
        <patternFill>
          <bgColor theme="0" tint="-0.14996795556505021"/>
        </patternFill>
      </fill>
    </dxf>
    <dxf>
      <fill>
        <patternFill>
          <bgColor theme="4" tint="0.79998168889431442"/>
        </patternFill>
      </fill>
    </dxf>
    <dxf>
      <fill>
        <patternFill>
          <bgColor theme="7" tint="0.79998168889431442"/>
        </patternFill>
      </fill>
    </dxf>
    <dxf>
      <fill>
        <patternFill>
          <bgColor theme="5" tint="0.79998168889431442"/>
        </patternFill>
      </fill>
    </dxf>
    <dxf>
      <font>
        <color theme="0" tint="-0.14996795556505021"/>
      </font>
      <fill>
        <patternFill>
          <bgColor theme="0" tint="-0.14996795556505021"/>
        </patternFill>
      </fill>
    </dxf>
    <dxf>
      <fill>
        <patternFill>
          <bgColor theme="4" tint="0.79998168889431442"/>
        </patternFill>
      </fill>
    </dxf>
    <dxf>
      <fill>
        <patternFill>
          <bgColor theme="7" tint="0.79998168889431442"/>
        </patternFill>
      </fill>
    </dxf>
    <dxf>
      <fill>
        <patternFill>
          <bgColor theme="5" tint="0.79998168889431442"/>
        </patternFill>
      </fill>
    </dxf>
    <dxf>
      <font>
        <color theme="0" tint="-0.14996795556505021"/>
      </font>
      <fill>
        <patternFill>
          <bgColor theme="0" tint="-0.14996795556505021"/>
        </patternFill>
      </fill>
    </dxf>
    <dxf>
      <fill>
        <patternFill>
          <bgColor theme="4" tint="0.79998168889431442"/>
        </patternFill>
      </fill>
    </dxf>
    <dxf>
      <fill>
        <patternFill>
          <bgColor theme="7" tint="0.79998168889431442"/>
        </patternFill>
      </fill>
    </dxf>
    <dxf>
      <fill>
        <patternFill>
          <bgColor theme="5" tint="0.79998168889431442"/>
        </patternFill>
      </fill>
    </dxf>
    <dxf>
      <font>
        <color theme="0" tint="-0.14996795556505021"/>
      </font>
      <fill>
        <patternFill>
          <bgColor theme="0" tint="-0.14996795556505021"/>
        </patternFill>
      </fill>
    </dxf>
    <dxf>
      <fill>
        <patternFill>
          <bgColor theme="4" tint="0.79998168889431442"/>
        </patternFill>
      </fill>
    </dxf>
    <dxf>
      <fill>
        <patternFill>
          <bgColor theme="7" tint="0.79998168889431442"/>
        </patternFill>
      </fill>
    </dxf>
    <dxf>
      <fill>
        <patternFill>
          <bgColor theme="5" tint="0.79998168889431442"/>
        </patternFill>
      </fill>
    </dxf>
    <dxf>
      <font>
        <color theme="0" tint="-0.14996795556505021"/>
      </font>
      <fill>
        <patternFill>
          <bgColor theme="0" tint="-0.14996795556505021"/>
        </patternFill>
      </fill>
    </dxf>
    <dxf>
      <fill>
        <patternFill>
          <bgColor theme="4" tint="0.79998168889431442"/>
        </patternFill>
      </fill>
    </dxf>
    <dxf>
      <fill>
        <patternFill>
          <bgColor theme="7" tint="0.79998168889431442"/>
        </patternFill>
      </fill>
    </dxf>
    <dxf>
      <fill>
        <patternFill>
          <bgColor theme="5" tint="0.79998168889431442"/>
        </patternFill>
      </fill>
    </dxf>
    <dxf>
      <font>
        <color theme="0" tint="-0.14996795556505021"/>
      </font>
      <fill>
        <patternFill>
          <bgColor theme="0" tint="-0.14996795556505021"/>
        </patternFill>
      </fill>
    </dxf>
    <dxf>
      <fill>
        <patternFill>
          <bgColor theme="4" tint="0.79998168889431442"/>
        </patternFill>
      </fill>
    </dxf>
    <dxf>
      <fill>
        <patternFill>
          <bgColor theme="7" tint="0.79998168889431442"/>
        </patternFill>
      </fill>
    </dxf>
    <dxf>
      <fill>
        <patternFill>
          <bgColor theme="5" tint="0.79998168889431442"/>
        </patternFill>
      </fill>
    </dxf>
    <dxf>
      <font>
        <color theme="0" tint="-0.14996795556505021"/>
      </font>
      <fill>
        <patternFill>
          <bgColor theme="0" tint="-0.14996795556505021"/>
        </patternFill>
      </fill>
    </dxf>
    <dxf>
      <fill>
        <patternFill>
          <bgColor theme="4" tint="0.79998168889431442"/>
        </patternFill>
      </fill>
    </dxf>
    <dxf>
      <fill>
        <patternFill>
          <bgColor theme="7" tint="0.79998168889431442"/>
        </patternFill>
      </fill>
    </dxf>
    <dxf>
      <fill>
        <patternFill>
          <bgColor theme="5" tint="0.79998168889431442"/>
        </patternFill>
      </fill>
    </dxf>
    <dxf>
      <font>
        <color theme="0" tint="-0.14996795556505021"/>
      </font>
      <fill>
        <patternFill>
          <bgColor theme="0" tint="-0.14996795556505021"/>
        </patternFill>
      </fill>
    </dxf>
    <dxf>
      <fill>
        <patternFill>
          <bgColor theme="4" tint="0.79998168889431442"/>
        </patternFill>
      </fill>
    </dxf>
    <dxf>
      <fill>
        <patternFill>
          <bgColor theme="7" tint="0.79998168889431442"/>
        </patternFill>
      </fill>
    </dxf>
    <dxf>
      <fill>
        <patternFill>
          <bgColor theme="5" tint="0.79998168889431442"/>
        </patternFill>
      </fill>
    </dxf>
    <dxf>
      <font>
        <color theme="0" tint="-0.14996795556505021"/>
      </font>
      <fill>
        <patternFill>
          <bgColor theme="0" tint="-0.14996795556505021"/>
        </patternFill>
      </fill>
    </dxf>
    <dxf>
      <fill>
        <patternFill>
          <bgColor theme="4" tint="0.79998168889431442"/>
        </patternFill>
      </fill>
    </dxf>
    <dxf>
      <fill>
        <patternFill>
          <bgColor theme="7" tint="0.79998168889431442"/>
        </patternFill>
      </fill>
    </dxf>
    <dxf>
      <fill>
        <patternFill>
          <bgColor theme="5" tint="0.79998168889431442"/>
        </patternFill>
      </fill>
    </dxf>
    <dxf>
      <font>
        <color theme="0" tint="-0.14996795556505021"/>
      </font>
      <fill>
        <patternFill>
          <bgColor theme="0" tint="-0.14996795556505021"/>
        </patternFill>
      </fill>
    </dxf>
    <dxf>
      <fill>
        <patternFill>
          <bgColor theme="4" tint="0.79998168889431442"/>
        </patternFill>
      </fill>
    </dxf>
    <dxf>
      <fill>
        <patternFill>
          <bgColor theme="7" tint="0.79998168889431442"/>
        </patternFill>
      </fill>
    </dxf>
    <dxf>
      <fill>
        <patternFill>
          <bgColor theme="5" tint="0.79998168889431442"/>
        </patternFill>
      </fill>
    </dxf>
    <dxf>
      <font>
        <color theme="0" tint="-0.14996795556505021"/>
      </font>
      <fill>
        <patternFill>
          <bgColor theme="0" tint="-0.14996795556505021"/>
        </patternFill>
      </fill>
    </dxf>
    <dxf>
      <fill>
        <patternFill>
          <bgColor theme="4" tint="0.79998168889431442"/>
        </patternFill>
      </fill>
    </dxf>
    <dxf>
      <fill>
        <patternFill>
          <bgColor theme="7" tint="0.79998168889431442"/>
        </patternFill>
      </fill>
    </dxf>
    <dxf>
      <fill>
        <patternFill>
          <bgColor theme="5" tint="0.79998168889431442"/>
        </patternFill>
      </fill>
    </dxf>
    <dxf>
      <font>
        <color theme="0" tint="-0.14996795556505021"/>
      </font>
      <fill>
        <patternFill>
          <bgColor theme="0" tint="-0.14996795556505021"/>
        </patternFill>
      </fill>
    </dxf>
    <dxf>
      <fill>
        <patternFill>
          <bgColor theme="4" tint="0.79998168889431442"/>
        </patternFill>
      </fill>
    </dxf>
    <dxf>
      <fill>
        <patternFill>
          <bgColor theme="7" tint="0.79998168889431442"/>
        </patternFill>
      </fill>
    </dxf>
    <dxf>
      <fill>
        <patternFill>
          <bgColor theme="5" tint="0.79998168889431442"/>
        </patternFill>
      </fill>
    </dxf>
    <dxf>
      <font>
        <color theme="0" tint="-0.14996795556505021"/>
      </font>
      <fill>
        <patternFill>
          <bgColor theme="0" tint="-0.14996795556505021"/>
        </patternFill>
      </fill>
    </dxf>
    <dxf>
      <fill>
        <patternFill>
          <bgColor theme="4" tint="0.79998168889431442"/>
        </patternFill>
      </fill>
    </dxf>
    <dxf>
      <fill>
        <patternFill>
          <bgColor theme="7" tint="0.79998168889431442"/>
        </patternFill>
      </fill>
    </dxf>
    <dxf>
      <fill>
        <patternFill>
          <bgColor theme="5" tint="0.79998168889431442"/>
        </patternFill>
      </fill>
    </dxf>
    <dxf>
      <font>
        <color theme="0" tint="-0.14996795556505021"/>
      </font>
      <fill>
        <patternFill>
          <bgColor theme="0" tint="-0.14996795556505021"/>
        </patternFill>
      </fill>
    </dxf>
  </dxfs>
  <tableStyles count="0" defaultTableStyle="TableStyleMedium2" defaultPivotStyle="PivotStyleLight16"/>
  <colors>
    <mruColors>
      <color rgb="FFFF5050"/>
      <color rgb="FFEF4423"/>
      <color rgb="FF414141"/>
      <color rgb="FFF1F1F3"/>
      <color rgb="FF55555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06/relationships/vbaProject" Target="vbaProject.bin"/><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svg"/><Relationship Id="rId18" Type="http://schemas.openxmlformats.org/officeDocument/2006/relationships/image" Target="../media/image18.sv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sv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svg"/><Relationship Id="rId16" Type="http://schemas.openxmlformats.org/officeDocument/2006/relationships/image" Target="../media/image16.png"/><Relationship Id="rId20" Type="http://schemas.openxmlformats.org/officeDocument/2006/relationships/image" Target="../media/image20.sv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svg"/><Relationship Id="rId24" Type="http://schemas.openxmlformats.org/officeDocument/2006/relationships/image" Target="../media/image24.svg"/><Relationship Id="rId5" Type="http://schemas.openxmlformats.org/officeDocument/2006/relationships/image" Target="../media/image5.png"/><Relationship Id="rId15" Type="http://schemas.openxmlformats.org/officeDocument/2006/relationships/image" Target="../media/image15.svg"/><Relationship Id="rId23" Type="http://schemas.openxmlformats.org/officeDocument/2006/relationships/image" Target="../media/image23.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sv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svg"/></Relationships>
</file>

<file path=xl/drawings/_rels/drawing10.xml.rels><?xml version="1.0" encoding="UTF-8" standalone="yes"?>
<Relationships xmlns="http://schemas.openxmlformats.org/package/2006/relationships"><Relationship Id="rId1" Type="http://schemas.openxmlformats.org/officeDocument/2006/relationships/image" Target="../media/image177.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0.png"/><Relationship Id="rId2" Type="http://schemas.openxmlformats.org/officeDocument/2006/relationships/image" Target="../media/image179.png"/><Relationship Id="rId1" Type="http://schemas.openxmlformats.org/officeDocument/2006/relationships/image" Target="../media/image178.png"/><Relationship Id="rId6" Type="http://schemas.openxmlformats.org/officeDocument/2006/relationships/image" Target="../media/image183.png"/><Relationship Id="rId5" Type="http://schemas.openxmlformats.org/officeDocument/2006/relationships/image" Target="../media/image182.png"/><Relationship Id="rId4" Type="http://schemas.openxmlformats.org/officeDocument/2006/relationships/image" Target="../media/image18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8" Type="http://schemas.openxmlformats.org/officeDocument/2006/relationships/image" Target="../media/image191.jpeg"/><Relationship Id="rId13" Type="http://schemas.openxmlformats.org/officeDocument/2006/relationships/image" Target="../media/image124.png"/><Relationship Id="rId18" Type="http://schemas.openxmlformats.org/officeDocument/2006/relationships/image" Target="../media/image199.jpeg"/><Relationship Id="rId3" Type="http://schemas.openxmlformats.org/officeDocument/2006/relationships/image" Target="../media/image186.png"/><Relationship Id="rId21" Type="http://schemas.openxmlformats.org/officeDocument/2006/relationships/image" Target="../media/image202.png"/><Relationship Id="rId7" Type="http://schemas.openxmlformats.org/officeDocument/2006/relationships/image" Target="../media/image190.png"/><Relationship Id="rId12" Type="http://schemas.microsoft.com/office/2007/relationships/hdphoto" Target="../media/hdphoto7.wdp"/><Relationship Id="rId17" Type="http://schemas.openxmlformats.org/officeDocument/2006/relationships/image" Target="../media/image198.jpeg"/><Relationship Id="rId2" Type="http://schemas.openxmlformats.org/officeDocument/2006/relationships/image" Target="../media/image185.png"/><Relationship Id="rId16" Type="http://schemas.openxmlformats.org/officeDocument/2006/relationships/image" Target="../media/image197.jpeg"/><Relationship Id="rId20" Type="http://schemas.openxmlformats.org/officeDocument/2006/relationships/image" Target="../media/image201.png"/><Relationship Id="rId1" Type="http://schemas.openxmlformats.org/officeDocument/2006/relationships/image" Target="../media/image184.png"/><Relationship Id="rId6" Type="http://schemas.openxmlformats.org/officeDocument/2006/relationships/image" Target="../media/image189.png"/><Relationship Id="rId11" Type="http://schemas.openxmlformats.org/officeDocument/2006/relationships/image" Target="../media/image194.png"/><Relationship Id="rId5" Type="http://schemas.openxmlformats.org/officeDocument/2006/relationships/image" Target="../media/image188.png"/><Relationship Id="rId15" Type="http://schemas.openxmlformats.org/officeDocument/2006/relationships/image" Target="../media/image196.png"/><Relationship Id="rId10" Type="http://schemas.openxmlformats.org/officeDocument/2006/relationships/image" Target="../media/image193.jpeg"/><Relationship Id="rId19" Type="http://schemas.openxmlformats.org/officeDocument/2006/relationships/image" Target="../media/image200.jpeg"/><Relationship Id="rId4" Type="http://schemas.openxmlformats.org/officeDocument/2006/relationships/image" Target="../media/image187.png"/><Relationship Id="rId9" Type="http://schemas.openxmlformats.org/officeDocument/2006/relationships/image" Target="../media/image192.jpeg"/><Relationship Id="rId14" Type="http://schemas.openxmlformats.org/officeDocument/2006/relationships/image" Target="../media/image195.jpeg"/></Relationships>
</file>

<file path=xl/drawings/_rels/drawing14.xml.rels><?xml version="1.0" encoding="UTF-8" standalone="yes"?>
<Relationships xmlns="http://schemas.openxmlformats.org/package/2006/relationships"><Relationship Id="rId8" Type="http://schemas.openxmlformats.org/officeDocument/2006/relationships/image" Target="../media/image210.svg"/><Relationship Id="rId13" Type="http://schemas.openxmlformats.org/officeDocument/2006/relationships/image" Target="../media/image215.png"/><Relationship Id="rId18" Type="http://schemas.openxmlformats.org/officeDocument/2006/relationships/image" Target="../media/image220.svg"/><Relationship Id="rId26" Type="http://schemas.openxmlformats.org/officeDocument/2006/relationships/image" Target="../media/image228.svg"/><Relationship Id="rId39" Type="http://schemas.openxmlformats.org/officeDocument/2006/relationships/image" Target="../media/image241.png"/><Relationship Id="rId3" Type="http://schemas.openxmlformats.org/officeDocument/2006/relationships/image" Target="../media/image205.png"/><Relationship Id="rId21" Type="http://schemas.openxmlformats.org/officeDocument/2006/relationships/image" Target="../media/image223.png"/><Relationship Id="rId34" Type="http://schemas.openxmlformats.org/officeDocument/2006/relationships/image" Target="../media/image236.svg"/><Relationship Id="rId42" Type="http://schemas.openxmlformats.org/officeDocument/2006/relationships/image" Target="../media/image244.svg"/><Relationship Id="rId7" Type="http://schemas.openxmlformats.org/officeDocument/2006/relationships/image" Target="../media/image209.png"/><Relationship Id="rId12" Type="http://schemas.openxmlformats.org/officeDocument/2006/relationships/image" Target="../media/image214.svg"/><Relationship Id="rId17" Type="http://schemas.openxmlformats.org/officeDocument/2006/relationships/image" Target="../media/image219.png"/><Relationship Id="rId25" Type="http://schemas.openxmlformats.org/officeDocument/2006/relationships/image" Target="../media/image227.png"/><Relationship Id="rId33" Type="http://schemas.openxmlformats.org/officeDocument/2006/relationships/image" Target="../media/image235.png"/><Relationship Id="rId38" Type="http://schemas.openxmlformats.org/officeDocument/2006/relationships/image" Target="../media/image240.svg"/><Relationship Id="rId2" Type="http://schemas.openxmlformats.org/officeDocument/2006/relationships/image" Target="../media/image204.svg"/><Relationship Id="rId16" Type="http://schemas.openxmlformats.org/officeDocument/2006/relationships/image" Target="../media/image218.svg"/><Relationship Id="rId20" Type="http://schemas.openxmlformats.org/officeDocument/2006/relationships/image" Target="../media/image222.svg"/><Relationship Id="rId29" Type="http://schemas.openxmlformats.org/officeDocument/2006/relationships/image" Target="../media/image231.png"/><Relationship Id="rId41" Type="http://schemas.openxmlformats.org/officeDocument/2006/relationships/image" Target="../media/image243.png"/><Relationship Id="rId1" Type="http://schemas.openxmlformats.org/officeDocument/2006/relationships/image" Target="../media/image203.png"/><Relationship Id="rId6" Type="http://schemas.openxmlformats.org/officeDocument/2006/relationships/image" Target="../media/image208.svg"/><Relationship Id="rId11" Type="http://schemas.openxmlformats.org/officeDocument/2006/relationships/image" Target="../media/image213.png"/><Relationship Id="rId24" Type="http://schemas.openxmlformats.org/officeDocument/2006/relationships/image" Target="../media/image226.svg"/><Relationship Id="rId32" Type="http://schemas.openxmlformats.org/officeDocument/2006/relationships/image" Target="../media/image234.svg"/><Relationship Id="rId37" Type="http://schemas.openxmlformats.org/officeDocument/2006/relationships/image" Target="../media/image239.png"/><Relationship Id="rId40" Type="http://schemas.openxmlformats.org/officeDocument/2006/relationships/image" Target="../media/image242.svg"/><Relationship Id="rId5" Type="http://schemas.openxmlformats.org/officeDocument/2006/relationships/image" Target="../media/image207.png"/><Relationship Id="rId15" Type="http://schemas.openxmlformats.org/officeDocument/2006/relationships/image" Target="../media/image217.png"/><Relationship Id="rId23" Type="http://schemas.openxmlformats.org/officeDocument/2006/relationships/image" Target="../media/image225.png"/><Relationship Id="rId28" Type="http://schemas.openxmlformats.org/officeDocument/2006/relationships/image" Target="../media/image230.svg"/><Relationship Id="rId36" Type="http://schemas.openxmlformats.org/officeDocument/2006/relationships/image" Target="../media/image238.svg"/><Relationship Id="rId10" Type="http://schemas.openxmlformats.org/officeDocument/2006/relationships/image" Target="../media/image212.svg"/><Relationship Id="rId19" Type="http://schemas.openxmlformats.org/officeDocument/2006/relationships/image" Target="../media/image221.png"/><Relationship Id="rId31" Type="http://schemas.openxmlformats.org/officeDocument/2006/relationships/image" Target="../media/image233.png"/><Relationship Id="rId44" Type="http://schemas.openxmlformats.org/officeDocument/2006/relationships/image" Target="../media/image246.svg"/><Relationship Id="rId4" Type="http://schemas.openxmlformats.org/officeDocument/2006/relationships/image" Target="../media/image206.svg"/><Relationship Id="rId9" Type="http://schemas.openxmlformats.org/officeDocument/2006/relationships/image" Target="../media/image211.png"/><Relationship Id="rId14" Type="http://schemas.openxmlformats.org/officeDocument/2006/relationships/image" Target="../media/image216.svg"/><Relationship Id="rId22" Type="http://schemas.openxmlformats.org/officeDocument/2006/relationships/image" Target="../media/image224.svg"/><Relationship Id="rId27" Type="http://schemas.openxmlformats.org/officeDocument/2006/relationships/image" Target="../media/image229.png"/><Relationship Id="rId30" Type="http://schemas.openxmlformats.org/officeDocument/2006/relationships/image" Target="../media/image232.svg"/><Relationship Id="rId35" Type="http://schemas.openxmlformats.org/officeDocument/2006/relationships/image" Target="../media/image237.png"/><Relationship Id="rId43" Type="http://schemas.openxmlformats.org/officeDocument/2006/relationships/image" Target="../media/image245.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49.png"/><Relationship Id="rId2" Type="http://schemas.openxmlformats.org/officeDocument/2006/relationships/image" Target="../media/image248.png"/><Relationship Id="rId1" Type="http://schemas.openxmlformats.org/officeDocument/2006/relationships/image" Target="../media/image247.jpeg"/><Relationship Id="rId4" Type="http://schemas.openxmlformats.org/officeDocument/2006/relationships/image" Target="../media/image250.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51.jpeg"/></Relationships>
</file>

<file path=xl/drawings/_rels/drawing2.xml.rels><?xml version="1.0" encoding="UTF-8" standalone="yes"?>
<Relationships xmlns="http://schemas.openxmlformats.org/package/2006/relationships"><Relationship Id="rId13" Type="http://schemas.openxmlformats.org/officeDocument/2006/relationships/image" Target="../media/image31.svg"/><Relationship Id="rId18" Type="http://schemas.openxmlformats.org/officeDocument/2006/relationships/image" Target="../media/image36.png"/><Relationship Id="rId26" Type="http://schemas.openxmlformats.org/officeDocument/2006/relationships/image" Target="../media/image44.svg"/><Relationship Id="rId39" Type="http://schemas.openxmlformats.org/officeDocument/2006/relationships/image" Target="../media/image53.png"/><Relationship Id="rId21" Type="http://schemas.openxmlformats.org/officeDocument/2006/relationships/image" Target="../media/image39.png"/><Relationship Id="rId34" Type="http://schemas.openxmlformats.org/officeDocument/2006/relationships/image" Target="../media/image12.png"/><Relationship Id="rId42" Type="http://schemas.openxmlformats.org/officeDocument/2006/relationships/image" Target="../media/image56.png"/><Relationship Id="rId47" Type="http://schemas.openxmlformats.org/officeDocument/2006/relationships/image" Target="../media/image61.svg"/><Relationship Id="rId50" Type="http://schemas.openxmlformats.org/officeDocument/2006/relationships/image" Target="../media/image64.png"/><Relationship Id="rId55" Type="http://schemas.openxmlformats.org/officeDocument/2006/relationships/image" Target="../media/image68.png"/><Relationship Id="rId63" Type="http://schemas.openxmlformats.org/officeDocument/2006/relationships/image" Target="../media/image76.png"/><Relationship Id="rId68" Type="http://schemas.openxmlformats.org/officeDocument/2006/relationships/image" Target="../media/image81.png"/><Relationship Id="rId76" Type="http://schemas.openxmlformats.org/officeDocument/2006/relationships/image" Target="../media/image89.png"/><Relationship Id="rId84" Type="http://schemas.openxmlformats.org/officeDocument/2006/relationships/image" Target="../media/image97.png"/><Relationship Id="rId7" Type="http://schemas.openxmlformats.org/officeDocument/2006/relationships/image" Target="../media/image28.png"/><Relationship Id="rId71" Type="http://schemas.openxmlformats.org/officeDocument/2006/relationships/image" Target="../media/image84.png"/><Relationship Id="rId2" Type="http://schemas.openxmlformats.org/officeDocument/2006/relationships/image" Target="../media/image6.png"/><Relationship Id="rId16" Type="http://schemas.openxmlformats.org/officeDocument/2006/relationships/image" Target="../media/image34.png"/><Relationship Id="rId29" Type="http://schemas.openxmlformats.org/officeDocument/2006/relationships/image" Target="../media/image47.png"/><Relationship Id="rId11" Type="http://schemas.microsoft.com/office/2007/relationships/hdphoto" Target="../media/hdphoto1.wdp"/><Relationship Id="rId24" Type="http://schemas.openxmlformats.org/officeDocument/2006/relationships/image" Target="../media/image42.png"/><Relationship Id="rId32" Type="http://schemas.openxmlformats.org/officeDocument/2006/relationships/image" Target="../media/image10.png"/><Relationship Id="rId37" Type="http://schemas.openxmlformats.org/officeDocument/2006/relationships/image" Target="../media/image51.png"/><Relationship Id="rId40" Type="http://schemas.openxmlformats.org/officeDocument/2006/relationships/image" Target="../media/image54.png"/><Relationship Id="rId45" Type="http://schemas.openxmlformats.org/officeDocument/2006/relationships/image" Target="../media/image59.png"/><Relationship Id="rId53" Type="http://schemas.openxmlformats.org/officeDocument/2006/relationships/image" Target="../media/image66.png"/><Relationship Id="rId58" Type="http://schemas.openxmlformats.org/officeDocument/2006/relationships/image" Target="../media/image71.png"/><Relationship Id="rId66" Type="http://schemas.openxmlformats.org/officeDocument/2006/relationships/image" Target="../media/image79.png"/><Relationship Id="rId74" Type="http://schemas.openxmlformats.org/officeDocument/2006/relationships/image" Target="../media/image87.png"/><Relationship Id="rId79" Type="http://schemas.openxmlformats.org/officeDocument/2006/relationships/image" Target="../media/image92.png"/><Relationship Id="rId5" Type="http://schemas.openxmlformats.org/officeDocument/2006/relationships/image" Target="../media/image26.png"/><Relationship Id="rId61" Type="http://schemas.openxmlformats.org/officeDocument/2006/relationships/image" Target="../media/image74.jpeg"/><Relationship Id="rId82" Type="http://schemas.openxmlformats.org/officeDocument/2006/relationships/image" Target="../media/image95.png"/><Relationship Id="rId19" Type="http://schemas.openxmlformats.org/officeDocument/2006/relationships/image" Target="../media/image37.png"/><Relationship Id="rId4" Type="http://schemas.openxmlformats.org/officeDocument/2006/relationships/image" Target="../media/image25.png"/><Relationship Id="rId9" Type="http://schemas.openxmlformats.org/officeDocument/2006/relationships/image" Target="../media/image22.svg"/><Relationship Id="rId14" Type="http://schemas.openxmlformats.org/officeDocument/2006/relationships/image" Target="../media/image32.png"/><Relationship Id="rId22" Type="http://schemas.openxmlformats.org/officeDocument/2006/relationships/image" Target="../media/image40.png"/><Relationship Id="rId27" Type="http://schemas.openxmlformats.org/officeDocument/2006/relationships/image" Target="../media/image45.png"/><Relationship Id="rId30" Type="http://schemas.openxmlformats.org/officeDocument/2006/relationships/image" Target="../media/image48.svg"/><Relationship Id="rId35" Type="http://schemas.openxmlformats.org/officeDocument/2006/relationships/image" Target="../media/image13.svg"/><Relationship Id="rId43" Type="http://schemas.openxmlformats.org/officeDocument/2006/relationships/image" Target="../media/image57.png"/><Relationship Id="rId48" Type="http://schemas.openxmlformats.org/officeDocument/2006/relationships/image" Target="../media/image62.jpeg"/><Relationship Id="rId56" Type="http://schemas.openxmlformats.org/officeDocument/2006/relationships/image" Target="../media/image69.jpeg"/><Relationship Id="rId64" Type="http://schemas.openxmlformats.org/officeDocument/2006/relationships/image" Target="../media/image77.svg"/><Relationship Id="rId69" Type="http://schemas.openxmlformats.org/officeDocument/2006/relationships/image" Target="../media/image82.png"/><Relationship Id="rId77" Type="http://schemas.openxmlformats.org/officeDocument/2006/relationships/image" Target="../media/image90.png"/><Relationship Id="rId8" Type="http://schemas.openxmlformats.org/officeDocument/2006/relationships/image" Target="../media/image21.png"/><Relationship Id="rId51" Type="http://schemas.microsoft.com/office/2007/relationships/hdphoto" Target="../media/hdphoto2.wdp"/><Relationship Id="rId72" Type="http://schemas.openxmlformats.org/officeDocument/2006/relationships/image" Target="../media/image85.png"/><Relationship Id="rId80" Type="http://schemas.openxmlformats.org/officeDocument/2006/relationships/image" Target="../media/image93.png"/><Relationship Id="rId85" Type="http://schemas.openxmlformats.org/officeDocument/2006/relationships/image" Target="../media/image98.png"/><Relationship Id="rId3" Type="http://schemas.openxmlformats.org/officeDocument/2006/relationships/image" Target="../media/image7.svg"/><Relationship Id="rId12" Type="http://schemas.openxmlformats.org/officeDocument/2006/relationships/image" Target="../media/image30.png"/><Relationship Id="rId17" Type="http://schemas.openxmlformats.org/officeDocument/2006/relationships/image" Target="../media/image35.svg"/><Relationship Id="rId25" Type="http://schemas.openxmlformats.org/officeDocument/2006/relationships/image" Target="../media/image43.png"/><Relationship Id="rId33" Type="http://schemas.openxmlformats.org/officeDocument/2006/relationships/image" Target="../media/image11.svg"/><Relationship Id="rId38" Type="http://schemas.openxmlformats.org/officeDocument/2006/relationships/image" Target="../media/image52.png"/><Relationship Id="rId46" Type="http://schemas.openxmlformats.org/officeDocument/2006/relationships/image" Target="../media/image60.png"/><Relationship Id="rId59" Type="http://schemas.openxmlformats.org/officeDocument/2006/relationships/image" Target="../media/image72.png"/><Relationship Id="rId67" Type="http://schemas.openxmlformats.org/officeDocument/2006/relationships/image" Target="../media/image80.png"/><Relationship Id="rId20" Type="http://schemas.openxmlformats.org/officeDocument/2006/relationships/image" Target="../media/image38.png"/><Relationship Id="rId41" Type="http://schemas.openxmlformats.org/officeDocument/2006/relationships/image" Target="../media/image55.png"/><Relationship Id="rId54" Type="http://schemas.openxmlformats.org/officeDocument/2006/relationships/image" Target="../media/image67.png"/><Relationship Id="rId62" Type="http://schemas.openxmlformats.org/officeDocument/2006/relationships/image" Target="../media/image75.jpeg"/><Relationship Id="rId70" Type="http://schemas.openxmlformats.org/officeDocument/2006/relationships/image" Target="../media/image83.png"/><Relationship Id="rId75" Type="http://schemas.openxmlformats.org/officeDocument/2006/relationships/image" Target="../media/image88.png"/><Relationship Id="rId83" Type="http://schemas.openxmlformats.org/officeDocument/2006/relationships/image" Target="../media/image96.png"/><Relationship Id="rId1" Type="http://schemas.openxmlformats.org/officeDocument/2006/relationships/image" Target="../media/image5.png"/><Relationship Id="rId6" Type="http://schemas.openxmlformats.org/officeDocument/2006/relationships/image" Target="../media/image27.png"/><Relationship Id="rId15" Type="http://schemas.openxmlformats.org/officeDocument/2006/relationships/image" Target="../media/image33.svg"/><Relationship Id="rId23" Type="http://schemas.openxmlformats.org/officeDocument/2006/relationships/image" Target="../media/image41.png"/><Relationship Id="rId28" Type="http://schemas.openxmlformats.org/officeDocument/2006/relationships/image" Target="../media/image46.svg"/><Relationship Id="rId36" Type="http://schemas.openxmlformats.org/officeDocument/2006/relationships/image" Target="../media/image50.png"/><Relationship Id="rId49" Type="http://schemas.openxmlformats.org/officeDocument/2006/relationships/image" Target="../media/image63.png"/><Relationship Id="rId57" Type="http://schemas.openxmlformats.org/officeDocument/2006/relationships/image" Target="../media/image70.png"/><Relationship Id="rId10" Type="http://schemas.openxmlformats.org/officeDocument/2006/relationships/image" Target="../media/image29.png"/><Relationship Id="rId31" Type="http://schemas.openxmlformats.org/officeDocument/2006/relationships/image" Target="../media/image49.png"/><Relationship Id="rId44" Type="http://schemas.openxmlformats.org/officeDocument/2006/relationships/image" Target="../media/image58.png"/><Relationship Id="rId52" Type="http://schemas.openxmlformats.org/officeDocument/2006/relationships/image" Target="../media/image65.png"/><Relationship Id="rId60" Type="http://schemas.openxmlformats.org/officeDocument/2006/relationships/image" Target="../media/image73.png"/><Relationship Id="rId65" Type="http://schemas.openxmlformats.org/officeDocument/2006/relationships/image" Target="../media/image78.png"/><Relationship Id="rId73" Type="http://schemas.openxmlformats.org/officeDocument/2006/relationships/image" Target="../media/image86.svg"/><Relationship Id="rId78" Type="http://schemas.openxmlformats.org/officeDocument/2006/relationships/image" Target="../media/image91.jpeg"/><Relationship Id="rId81" Type="http://schemas.openxmlformats.org/officeDocument/2006/relationships/image" Target="../media/image94.svg"/><Relationship Id="rId86" Type="http://schemas.microsoft.com/office/2007/relationships/hdphoto" Target="../media/hdphoto3.wdp"/></Relationships>
</file>

<file path=xl/drawings/_rels/drawing3.xml.rels><?xml version="1.0" encoding="UTF-8" standalone="yes"?>
<Relationships xmlns="http://schemas.openxmlformats.org/package/2006/relationships"><Relationship Id="rId13" Type="http://schemas.openxmlformats.org/officeDocument/2006/relationships/image" Target="../media/image43.png"/><Relationship Id="rId18" Type="http://schemas.openxmlformats.org/officeDocument/2006/relationships/image" Target="../media/image11.svg"/><Relationship Id="rId26" Type="http://schemas.openxmlformats.org/officeDocument/2006/relationships/image" Target="../media/image105.png"/><Relationship Id="rId39" Type="http://schemas.openxmlformats.org/officeDocument/2006/relationships/image" Target="../media/image34.png"/><Relationship Id="rId21" Type="http://schemas.openxmlformats.org/officeDocument/2006/relationships/image" Target="../media/image100.png"/><Relationship Id="rId34" Type="http://schemas.openxmlformats.org/officeDocument/2006/relationships/image" Target="../media/image107.jpeg"/><Relationship Id="rId42" Type="http://schemas.openxmlformats.org/officeDocument/2006/relationships/image" Target="../media/image46.svg"/><Relationship Id="rId47" Type="http://schemas.openxmlformats.org/officeDocument/2006/relationships/image" Target="../media/image111.png"/><Relationship Id="rId50" Type="http://schemas.openxmlformats.org/officeDocument/2006/relationships/image" Target="../media/image78.png"/><Relationship Id="rId55" Type="http://schemas.openxmlformats.org/officeDocument/2006/relationships/image" Target="../media/image83.png"/><Relationship Id="rId63" Type="http://schemas.openxmlformats.org/officeDocument/2006/relationships/image" Target="../media/image95.png"/><Relationship Id="rId68" Type="http://schemas.openxmlformats.org/officeDocument/2006/relationships/image" Target="../media/image113.png"/><Relationship Id="rId7" Type="http://schemas.openxmlformats.org/officeDocument/2006/relationships/image" Target="../media/image31.svg"/><Relationship Id="rId2" Type="http://schemas.openxmlformats.org/officeDocument/2006/relationships/image" Target="../media/image6.png"/><Relationship Id="rId16" Type="http://schemas.openxmlformats.org/officeDocument/2006/relationships/image" Target="../media/image48.svg"/><Relationship Id="rId29" Type="http://schemas.openxmlformats.org/officeDocument/2006/relationships/image" Target="../media/image72.png"/><Relationship Id="rId1" Type="http://schemas.openxmlformats.org/officeDocument/2006/relationships/image" Target="../media/image5.png"/><Relationship Id="rId6" Type="http://schemas.openxmlformats.org/officeDocument/2006/relationships/image" Target="../media/image30.png"/><Relationship Id="rId11" Type="http://schemas.openxmlformats.org/officeDocument/2006/relationships/image" Target="../media/image41.png"/><Relationship Id="rId24" Type="http://schemas.openxmlformats.org/officeDocument/2006/relationships/image" Target="../media/image103.png"/><Relationship Id="rId32" Type="http://schemas.openxmlformats.org/officeDocument/2006/relationships/image" Target="../media/image76.png"/><Relationship Id="rId37" Type="http://schemas.openxmlformats.org/officeDocument/2006/relationships/image" Target="../media/image110.jpeg"/><Relationship Id="rId40" Type="http://schemas.openxmlformats.org/officeDocument/2006/relationships/image" Target="../media/image35.svg"/><Relationship Id="rId45" Type="http://schemas.openxmlformats.org/officeDocument/2006/relationships/image" Target="../media/image93.png"/><Relationship Id="rId53" Type="http://schemas.openxmlformats.org/officeDocument/2006/relationships/image" Target="../media/image81.png"/><Relationship Id="rId58" Type="http://schemas.openxmlformats.org/officeDocument/2006/relationships/image" Target="../media/image86.svg"/><Relationship Id="rId66" Type="http://schemas.openxmlformats.org/officeDocument/2006/relationships/image" Target="../media/image98.png"/><Relationship Id="rId5" Type="http://schemas.microsoft.com/office/2007/relationships/hdphoto" Target="../media/hdphoto4.wdp"/><Relationship Id="rId15" Type="http://schemas.openxmlformats.org/officeDocument/2006/relationships/image" Target="../media/image47.png"/><Relationship Id="rId23" Type="http://schemas.openxmlformats.org/officeDocument/2006/relationships/image" Target="../media/image102.png"/><Relationship Id="rId28" Type="http://schemas.openxmlformats.org/officeDocument/2006/relationships/image" Target="../media/image61.svg"/><Relationship Id="rId36" Type="http://schemas.openxmlformats.org/officeDocument/2006/relationships/image" Target="../media/image109.jpeg"/><Relationship Id="rId49" Type="http://schemas.openxmlformats.org/officeDocument/2006/relationships/image" Target="../media/image49.png"/><Relationship Id="rId57" Type="http://schemas.openxmlformats.org/officeDocument/2006/relationships/image" Target="../media/image85.png"/><Relationship Id="rId61" Type="http://schemas.openxmlformats.org/officeDocument/2006/relationships/image" Target="../media/image89.png"/><Relationship Id="rId10" Type="http://schemas.openxmlformats.org/officeDocument/2006/relationships/image" Target="../media/image40.png"/><Relationship Id="rId19" Type="http://schemas.openxmlformats.org/officeDocument/2006/relationships/image" Target="../media/image12.png"/><Relationship Id="rId31" Type="http://schemas.openxmlformats.org/officeDocument/2006/relationships/image" Target="../media/image106.jpeg"/><Relationship Id="rId44" Type="http://schemas.openxmlformats.org/officeDocument/2006/relationships/image" Target="../media/image22.svg"/><Relationship Id="rId52" Type="http://schemas.openxmlformats.org/officeDocument/2006/relationships/image" Target="../media/image80.png"/><Relationship Id="rId60" Type="http://schemas.openxmlformats.org/officeDocument/2006/relationships/image" Target="../media/image88.png"/><Relationship Id="rId65" Type="http://schemas.openxmlformats.org/officeDocument/2006/relationships/image" Target="../media/image97.png"/><Relationship Id="rId4" Type="http://schemas.openxmlformats.org/officeDocument/2006/relationships/image" Target="../media/image99.png"/><Relationship Id="rId9" Type="http://schemas.openxmlformats.org/officeDocument/2006/relationships/image" Target="../media/image33.svg"/><Relationship Id="rId14" Type="http://schemas.openxmlformats.org/officeDocument/2006/relationships/image" Target="../media/image44.svg"/><Relationship Id="rId22" Type="http://schemas.openxmlformats.org/officeDocument/2006/relationships/image" Target="../media/image101.png"/><Relationship Id="rId27" Type="http://schemas.openxmlformats.org/officeDocument/2006/relationships/image" Target="../media/image60.png"/><Relationship Id="rId30" Type="http://schemas.openxmlformats.org/officeDocument/2006/relationships/image" Target="../media/image73.png"/><Relationship Id="rId35" Type="http://schemas.openxmlformats.org/officeDocument/2006/relationships/image" Target="../media/image108.jpeg"/><Relationship Id="rId43" Type="http://schemas.openxmlformats.org/officeDocument/2006/relationships/image" Target="../media/image21.png"/><Relationship Id="rId48" Type="http://schemas.openxmlformats.org/officeDocument/2006/relationships/image" Target="../media/image112.png"/><Relationship Id="rId56" Type="http://schemas.openxmlformats.org/officeDocument/2006/relationships/image" Target="../media/image84.png"/><Relationship Id="rId64" Type="http://schemas.openxmlformats.org/officeDocument/2006/relationships/image" Target="../media/image96.png"/><Relationship Id="rId69" Type="http://schemas.openxmlformats.org/officeDocument/2006/relationships/image" Target="../media/image114.png"/><Relationship Id="rId8" Type="http://schemas.openxmlformats.org/officeDocument/2006/relationships/image" Target="../media/image32.png"/><Relationship Id="rId51" Type="http://schemas.openxmlformats.org/officeDocument/2006/relationships/image" Target="../media/image79.png"/><Relationship Id="rId3" Type="http://schemas.openxmlformats.org/officeDocument/2006/relationships/image" Target="../media/image7.svg"/><Relationship Id="rId12" Type="http://schemas.openxmlformats.org/officeDocument/2006/relationships/image" Target="../media/image42.png"/><Relationship Id="rId17" Type="http://schemas.openxmlformats.org/officeDocument/2006/relationships/image" Target="../media/image10.png"/><Relationship Id="rId25" Type="http://schemas.openxmlformats.org/officeDocument/2006/relationships/image" Target="../media/image104.png"/><Relationship Id="rId33" Type="http://schemas.openxmlformats.org/officeDocument/2006/relationships/image" Target="../media/image77.svg"/><Relationship Id="rId38" Type="http://schemas.openxmlformats.org/officeDocument/2006/relationships/image" Target="../media/image75.jpeg"/><Relationship Id="rId46" Type="http://schemas.openxmlformats.org/officeDocument/2006/relationships/image" Target="../media/image94.svg"/><Relationship Id="rId59" Type="http://schemas.openxmlformats.org/officeDocument/2006/relationships/image" Target="../media/image87.png"/><Relationship Id="rId67" Type="http://schemas.microsoft.com/office/2007/relationships/hdphoto" Target="../media/hdphoto3.wdp"/><Relationship Id="rId20" Type="http://schemas.openxmlformats.org/officeDocument/2006/relationships/image" Target="../media/image13.svg"/><Relationship Id="rId41" Type="http://schemas.openxmlformats.org/officeDocument/2006/relationships/image" Target="../media/image45.png"/><Relationship Id="rId54" Type="http://schemas.openxmlformats.org/officeDocument/2006/relationships/image" Target="../media/image82.png"/><Relationship Id="rId62" Type="http://schemas.openxmlformats.org/officeDocument/2006/relationships/image" Target="../media/image90.png"/><Relationship Id="rId70" Type="http://schemas.openxmlformats.org/officeDocument/2006/relationships/image" Target="../media/image115.png"/></Relationships>
</file>

<file path=xl/drawings/_rels/drawing4.xml.rels><?xml version="1.0" encoding="UTF-8" standalone="yes"?>
<Relationships xmlns="http://schemas.openxmlformats.org/package/2006/relationships"><Relationship Id="rId13" Type="http://schemas.openxmlformats.org/officeDocument/2006/relationships/image" Target="../media/image43.png"/><Relationship Id="rId18" Type="http://schemas.openxmlformats.org/officeDocument/2006/relationships/image" Target="../media/image11.svg"/><Relationship Id="rId26" Type="http://schemas.openxmlformats.org/officeDocument/2006/relationships/image" Target="../media/image105.png"/><Relationship Id="rId39" Type="http://schemas.openxmlformats.org/officeDocument/2006/relationships/image" Target="../media/image34.png"/><Relationship Id="rId21" Type="http://schemas.openxmlformats.org/officeDocument/2006/relationships/image" Target="../media/image100.png"/><Relationship Id="rId34" Type="http://schemas.openxmlformats.org/officeDocument/2006/relationships/image" Target="../media/image107.jpeg"/><Relationship Id="rId42" Type="http://schemas.openxmlformats.org/officeDocument/2006/relationships/image" Target="../media/image46.svg"/><Relationship Id="rId47" Type="http://schemas.openxmlformats.org/officeDocument/2006/relationships/image" Target="../media/image112.png"/><Relationship Id="rId50" Type="http://schemas.openxmlformats.org/officeDocument/2006/relationships/image" Target="../media/image78.png"/><Relationship Id="rId55" Type="http://schemas.openxmlformats.org/officeDocument/2006/relationships/image" Target="../media/image83.png"/><Relationship Id="rId63" Type="http://schemas.openxmlformats.org/officeDocument/2006/relationships/image" Target="../media/image95.png"/><Relationship Id="rId68" Type="http://schemas.openxmlformats.org/officeDocument/2006/relationships/image" Target="../media/image113.png"/><Relationship Id="rId7" Type="http://schemas.openxmlformats.org/officeDocument/2006/relationships/image" Target="../media/image31.svg"/><Relationship Id="rId2" Type="http://schemas.openxmlformats.org/officeDocument/2006/relationships/image" Target="../media/image6.png"/><Relationship Id="rId16" Type="http://schemas.openxmlformats.org/officeDocument/2006/relationships/image" Target="../media/image48.svg"/><Relationship Id="rId29" Type="http://schemas.openxmlformats.org/officeDocument/2006/relationships/image" Target="../media/image72.png"/><Relationship Id="rId1" Type="http://schemas.openxmlformats.org/officeDocument/2006/relationships/image" Target="../media/image5.png"/><Relationship Id="rId6" Type="http://schemas.openxmlformats.org/officeDocument/2006/relationships/image" Target="../media/image30.png"/><Relationship Id="rId11" Type="http://schemas.openxmlformats.org/officeDocument/2006/relationships/image" Target="../media/image41.png"/><Relationship Id="rId24" Type="http://schemas.openxmlformats.org/officeDocument/2006/relationships/image" Target="../media/image103.png"/><Relationship Id="rId32" Type="http://schemas.openxmlformats.org/officeDocument/2006/relationships/image" Target="../media/image76.png"/><Relationship Id="rId37" Type="http://schemas.openxmlformats.org/officeDocument/2006/relationships/image" Target="../media/image110.jpeg"/><Relationship Id="rId40" Type="http://schemas.openxmlformats.org/officeDocument/2006/relationships/image" Target="../media/image35.svg"/><Relationship Id="rId45" Type="http://schemas.openxmlformats.org/officeDocument/2006/relationships/image" Target="../media/image93.png"/><Relationship Id="rId53" Type="http://schemas.openxmlformats.org/officeDocument/2006/relationships/image" Target="../media/image81.png"/><Relationship Id="rId58" Type="http://schemas.openxmlformats.org/officeDocument/2006/relationships/image" Target="../media/image86.svg"/><Relationship Id="rId66" Type="http://schemas.openxmlformats.org/officeDocument/2006/relationships/image" Target="../media/image98.png"/><Relationship Id="rId5" Type="http://schemas.microsoft.com/office/2007/relationships/hdphoto" Target="../media/hdphoto4.wdp"/><Relationship Id="rId15" Type="http://schemas.openxmlformats.org/officeDocument/2006/relationships/image" Target="../media/image47.png"/><Relationship Id="rId23" Type="http://schemas.openxmlformats.org/officeDocument/2006/relationships/image" Target="../media/image102.png"/><Relationship Id="rId28" Type="http://schemas.openxmlformats.org/officeDocument/2006/relationships/image" Target="../media/image61.svg"/><Relationship Id="rId36" Type="http://schemas.openxmlformats.org/officeDocument/2006/relationships/image" Target="../media/image109.jpeg"/><Relationship Id="rId49" Type="http://schemas.openxmlformats.org/officeDocument/2006/relationships/image" Target="../media/image49.png"/><Relationship Id="rId57" Type="http://schemas.openxmlformats.org/officeDocument/2006/relationships/image" Target="../media/image85.png"/><Relationship Id="rId61" Type="http://schemas.openxmlformats.org/officeDocument/2006/relationships/image" Target="../media/image89.png"/><Relationship Id="rId10" Type="http://schemas.openxmlformats.org/officeDocument/2006/relationships/image" Target="../media/image40.png"/><Relationship Id="rId19" Type="http://schemas.openxmlformats.org/officeDocument/2006/relationships/image" Target="../media/image12.png"/><Relationship Id="rId31" Type="http://schemas.openxmlformats.org/officeDocument/2006/relationships/image" Target="../media/image106.jpeg"/><Relationship Id="rId44" Type="http://schemas.openxmlformats.org/officeDocument/2006/relationships/image" Target="../media/image22.svg"/><Relationship Id="rId52" Type="http://schemas.openxmlformats.org/officeDocument/2006/relationships/image" Target="../media/image80.png"/><Relationship Id="rId60" Type="http://schemas.openxmlformats.org/officeDocument/2006/relationships/image" Target="../media/image88.png"/><Relationship Id="rId65" Type="http://schemas.openxmlformats.org/officeDocument/2006/relationships/image" Target="../media/image97.png"/><Relationship Id="rId4" Type="http://schemas.openxmlformats.org/officeDocument/2006/relationships/image" Target="../media/image99.png"/><Relationship Id="rId9" Type="http://schemas.openxmlformats.org/officeDocument/2006/relationships/image" Target="../media/image33.svg"/><Relationship Id="rId14" Type="http://schemas.openxmlformats.org/officeDocument/2006/relationships/image" Target="../media/image44.svg"/><Relationship Id="rId22" Type="http://schemas.openxmlformats.org/officeDocument/2006/relationships/image" Target="../media/image101.png"/><Relationship Id="rId27" Type="http://schemas.openxmlformats.org/officeDocument/2006/relationships/image" Target="../media/image60.png"/><Relationship Id="rId30" Type="http://schemas.openxmlformats.org/officeDocument/2006/relationships/image" Target="../media/image73.png"/><Relationship Id="rId35" Type="http://schemas.openxmlformats.org/officeDocument/2006/relationships/image" Target="../media/image108.jpeg"/><Relationship Id="rId43" Type="http://schemas.openxmlformats.org/officeDocument/2006/relationships/image" Target="../media/image21.png"/><Relationship Id="rId48" Type="http://schemas.openxmlformats.org/officeDocument/2006/relationships/image" Target="../media/image116.png"/><Relationship Id="rId56" Type="http://schemas.openxmlformats.org/officeDocument/2006/relationships/image" Target="../media/image84.png"/><Relationship Id="rId64" Type="http://schemas.openxmlformats.org/officeDocument/2006/relationships/image" Target="../media/image96.png"/><Relationship Id="rId69" Type="http://schemas.openxmlformats.org/officeDocument/2006/relationships/image" Target="../media/image114.png"/><Relationship Id="rId8" Type="http://schemas.openxmlformats.org/officeDocument/2006/relationships/image" Target="../media/image32.png"/><Relationship Id="rId51" Type="http://schemas.openxmlformats.org/officeDocument/2006/relationships/image" Target="../media/image79.png"/><Relationship Id="rId3" Type="http://schemas.openxmlformats.org/officeDocument/2006/relationships/image" Target="../media/image7.svg"/><Relationship Id="rId12" Type="http://schemas.openxmlformats.org/officeDocument/2006/relationships/image" Target="../media/image42.png"/><Relationship Id="rId17" Type="http://schemas.openxmlformats.org/officeDocument/2006/relationships/image" Target="../media/image10.png"/><Relationship Id="rId25" Type="http://schemas.openxmlformats.org/officeDocument/2006/relationships/image" Target="../media/image104.png"/><Relationship Id="rId33" Type="http://schemas.openxmlformats.org/officeDocument/2006/relationships/image" Target="../media/image77.svg"/><Relationship Id="rId38" Type="http://schemas.openxmlformats.org/officeDocument/2006/relationships/image" Target="../media/image75.jpeg"/><Relationship Id="rId46" Type="http://schemas.openxmlformats.org/officeDocument/2006/relationships/image" Target="../media/image94.svg"/><Relationship Id="rId59" Type="http://schemas.openxmlformats.org/officeDocument/2006/relationships/image" Target="../media/image87.png"/><Relationship Id="rId67" Type="http://schemas.microsoft.com/office/2007/relationships/hdphoto" Target="../media/hdphoto3.wdp"/><Relationship Id="rId20" Type="http://schemas.openxmlformats.org/officeDocument/2006/relationships/image" Target="../media/image13.svg"/><Relationship Id="rId41" Type="http://schemas.openxmlformats.org/officeDocument/2006/relationships/image" Target="../media/image45.png"/><Relationship Id="rId54" Type="http://schemas.openxmlformats.org/officeDocument/2006/relationships/image" Target="../media/image82.png"/><Relationship Id="rId62" Type="http://schemas.openxmlformats.org/officeDocument/2006/relationships/image" Target="../media/image90.png"/><Relationship Id="rId70" Type="http://schemas.openxmlformats.org/officeDocument/2006/relationships/image" Target="../media/image117.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3.png"/><Relationship Id="rId13" Type="http://schemas.openxmlformats.org/officeDocument/2006/relationships/image" Target="../media/image128.png"/><Relationship Id="rId18" Type="http://schemas.openxmlformats.org/officeDocument/2006/relationships/image" Target="../media/image133.png"/><Relationship Id="rId3" Type="http://schemas.openxmlformats.org/officeDocument/2006/relationships/image" Target="../media/image119.png"/><Relationship Id="rId7" Type="http://schemas.openxmlformats.org/officeDocument/2006/relationships/image" Target="../media/image122.png"/><Relationship Id="rId12" Type="http://schemas.openxmlformats.org/officeDocument/2006/relationships/image" Target="../media/image127.png"/><Relationship Id="rId17" Type="http://schemas.openxmlformats.org/officeDocument/2006/relationships/image" Target="../media/image132.png"/><Relationship Id="rId2" Type="http://schemas.microsoft.com/office/2007/relationships/hdphoto" Target="../media/hdphoto5.wdp"/><Relationship Id="rId16" Type="http://schemas.openxmlformats.org/officeDocument/2006/relationships/image" Target="../media/image131.png"/><Relationship Id="rId1" Type="http://schemas.openxmlformats.org/officeDocument/2006/relationships/image" Target="../media/image118.png"/><Relationship Id="rId6" Type="http://schemas.openxmlformats.org/officeDocument/2006/relationships/image" Target="../media/image121.png"/><Relationship Id="rId11" Type="http://schemas.openxmlformats.org/officeDocument/2006/relationships/image" Target="../media/image126.png"/><Relationship Id="rId5" Type="http://schemas.openxmlformats.org/officeDocument/2006/relationships/image" Target="../media/image120.png"/><Relationship Id="rId15" Type="http://schemas.openxmlformats.org/officeDocument/2006/relationships/image" Target="../media/image130.png"/><Relationship Id="rId10" Type="http://schemas.openxmlformats.org/officeDocument/2006/relationships/image" Target="../media/image125.png"/><Relationship Id="rId19" Type="http://schemas.openxmlformats.org/officeDocument/2006/relationships/image" Target="../media/image95.png"/><Relationship Id="rId4" Type="http://schemas.microsoft.com/office/2007/relationships/hdphoto" Target="../media/hdphoto6.wdp"/><Relationship Id="rId9" Type="http://schemas.openxmlformats.org/officeDocument/2006/relationships/image" Target="../media/image124.png"/><Relationship Id="rId14" Type="http://schemas.openxmlformats.org/officeDocument/2006/relationships/image" Target="../media/image129.png"/></Relationships>
</file>

<file path=xl/drawings/_rels/drawing6.xml.rels><?xml version="1.0" encoding="UTF-8" standalone="yes"?>
<Relationships xmlns="http://schemas.openxmlformats.org/package/2006/relationships"><Relationship Id="rId3" Type="http://schemas.openxmlformats.org/officeDocument/2006/relationships/image" Target="../media/image136.png"/><Relationship Id="rId2" Type="http://schemas.openxmlformats.org/officeDocument/2006/relationships/image" Target="../media/image135.png"/><Relationship Id="rId1" Type="http://schemas.openxmlformats.org/officeDocument/2006/relationships/image" Target="../media/image134.png"/><Relationship Id="rId4" Type="http://schemas.openxmlformats.org/officeDocument/2006/relationships/image" Target="../media/image137.jpeg"/></Relationships>
</file>

<file path=xl/drawings/_rels/drawing7.xml.rels><?xml version="1.0" encoding="UTF-8" standalone="yes"?>
<Relationships xmlns="http://schemas.openxmlformats.org/package/2006/relationships"><Relationship Id="rId8" Type="http://schemas.openxmlformats.org/officeDocument/2006/relationships/image" Target="../media/image145.jpeg"/><Relationship Id="rId13" Type="http://schemas.openxmlformats.org/officeDocument/2006/relationships/image" Target="../media/image150.png"/><Relationship Id="rId3" Type="http://schemas.openxmlformats.org/officeDocument/2006/relationships/image" Target="../media/image140.jpeg"/><Relationship Id="rId7" Type="http://schemas.openxmlformats.org/officeDocument/2006/relationships/image" Target="../media/image144.jpeg"/><Relationship Id="rId12" Type="http://schemas.openxmlformats.org/officeDocument/2006/relationships/image" Target="../media/image149.png"/><Relationship Id="rId2" Type="http://schemas.openxmlformats.org/officeDocument/2006/relationships/image" Target="../media/image139.jpeg"/><Relationship Id="rId1" Type="http://schemas.openxmlformats.org/officeDocument/2006/relationships/image" Target="../media/image138.jpeg"/><Relationship Id="rId6" Type="http://schemas.openxmlformats.org/officeDocument/2006/relationships/image" Target="../media/image143.jpeg"/><Relationship Id="rId11" Type="http://schemas.openxmlformats.org/officeDocument/2006/relationships/image" Target="../media/image148.jpeg"/><Relationship Id="rId5" Type="http://schemas.openxmlformats.org/officeDocument/2006/relationships/image" Target="../media/image142.jpeg"/><Relationship Id="rId10" Type="http://schemas.openxmlformats.org/officeDocument/2006/relationships/image" Target="../media/image147.png"/><Relationship Id="rId4" Type="http://schemas.openxmlformats.org/officeDocument/2006/relationships/image" Target="../media/image141.jpeg"/><Relationship Id="rId9" Type="http://schemas.openxmlformats.org/officeDocument/2006/relationships/image" Target="../media/image146.jpeg"/></Relationships>
</file>

<file path=xl/drawings/_rels/drawing8.xml.rels><?xml version="1.0" encoding="UTF-8" standalone="yes"?>
<Relationships xmlns="http://schemas.openxmlformats.org/package/2006/relationships"><Relationship Id="rId8" Type="http://schemas.openxmlformats.org/officeDocument/2006/relationships/image" Target="../media/image157.jpeg"/><Relationship Id="rId13" Type="http://schemas.openxmlformats.org/officeDocument/2006/relationships/image" Target="../media/image162.png"/><Relationship Id="rId18" Type="http://schemas.openxmlformats.org/officeDocument/2006/relationships/image" Target="../media/image167.png"/><Relationship Id="rId26" Type="http://schemas.openxmlformats.org/officeDocument/2006/relationships/image" Target="../media/image174.png"/><Relationship Id="rId3" Type="http://schemas.openxmlformats.org/officeDocument/2006/relationships/image" Target="../media/image152.png"/><Relationship Id="rId21" Type="http://schemas.openxmlformats.org/officeDocument/2006/relationships/image" Target="../media/image170.jpeg"/><Relationship Id="rId7" Type="http://schemas.openxmlformats.org/officeDocument/2006/relationships/image" Target="../media/image156.jpeg"/><Relationship Id="rId12" Type="http://schemas.openxmlformats.org/officeDocument/2006/relationships/image" Target="../media/image161.png"/><Relationship Id="rId17" Type="http://schemas.openxmlformats.org/officeDocument/2006/relationships/image" Target="../media/image166.png"/><Relationship Id="rId25" Type="http://schemas.openxmlformats.org/officeDocument/2006/relationships/image" Target="../media/image173.png"/><Relationship Id="rId2" Type="http://schemas.openxmlformats.org/officeDocument/2006/relationships/image" Target="../media/image151.png"/><Relationship Id="rId16" Type="http://schemas.openxmlformats.org/officeDocument/2006/relationships/image" Target="../media/image165.jpeg"/><Relationship Id="rId20" Type="http://schemas.openxmlformats.org/officeDocument/2006/relationships/image" Target="../media/image169.jpeg"/><Relationship Id="rId1" Type="http://schemas.openxmlformats.org/officeDocument/2006/relationships/image" Target="../media/image111.png"/><Relationship Id="rId6" Type="http://schemas.openxmlformats.org/officeDocument/2006/relationships/image" Target="../media/image155.jpeg"/><Relationship Id="rId11" Type="http://schemas.openxmlformats.org/officeDocument/2006/relationships/image" Target="../media/image160.jpeg"/><Relationship Id="rId24" Type="http://schemas.openxmlformats.org/officeDocument/2006/relationships/image" Target="../media/image114.png"/><Relationship Id="rId5" Type="http://schemas.openxmlformats.org/officeDocument/2006/relationships/image" Target="../media/image154.jpeg"/><Relationship Id="rId15" Type="http://schemas.openxmlformats.org/officeDocument/2006/relationships/image" Target="../media/image164.jpeg"/><Relationship Id="rId23" Type="http://schemas.openxmlformats.org/officeDocument/2006/relationships/image" Target="../media/image172.png"/><Relationship Id="rId28" Type="http://schemas.openxmlformats.org/officeDocument/2006/relationships/image" Target="../media/image112.png"/><Relationship Id="rId10" Type="http://schemas.openxmlformats.org/officeDocument/2006/relationships/image" Target="../media/image159.jpeg"/><Relationship Id="rId19" Type="http://schemas.openxmlformats.org/officeDocument/2006/relationships/image" Target="../media/image168.jpeg"/><Relationship Id="rId4" Type="http://schemas.openxmlformats.org/officeDocument/2006/relationships/image" Target="../media/image153.png"/><Relationship Id="rId9" Type="http://schemas.openxmlformats.org/officeDocument/2006/relationships/image" Target="../media/image158.png"/><Relationship Id="rId14" Type="http://schemas.openxmlformats.org/officeDocument/2006/relationships/image" Target="../media/image163.jpeg"/><Relationship Id="rId22" Type="http://schemas.openxmlformats.org/officeDocument/2006/relationships/image" Target="../media/image171.png"/><Relationship Id="rId27" Type="http://schemas.openxmlformats.org/officeDocument/2006/relationships/image" Target="../media/image175.png"/></Relationships>
</file>

<file path=xl/drawings/_rels/drawing9.xml.rels><?xml version="1.0" encoding="UTF-8" standalone="yes"?>
<Relationships xmlns="http://schemas.openxmlformats.org/package/2006/relationships"><Relationship Id="rId8" Type="http://schemas.openxmlformats.org/officeDocument/2006/relationships/image" Target="../media/image158.png"/><Relationship Id="rId13" Type="http://schemas.openxmlformats.org/officeDocument/2006/relationships/image" Target="../media/image163.jpeg"/><Relationship Id="rId18" Type="http://schemas.openxmlformats.org/officeDocument/2006/relationships/image" Target="../media/image170.jpeg"/><Relationship Id="rId26" Type="http://schemas.openxmlformats.org/officeDocument/2006/relationships/image" Target="../media/image113.png"/><Relationship Id="rId3" Type="http://schemas.openxmlformats.org/officeDocument/2006/relationships/image" Target="../media/image152.png"/><Relationship Id="rId21" Type="http://schemas.openxmlformats.org/officeDocument/2006/relationships/image" Target="../media/image114.png"/><Relationship Id="rId7" Type="http://schemas.openxmlformats.org/officeDocument/2006/relationships/image" Target="../media/image157.jpeg"/><Relationship Id="rId12" Type="http://schemas.openxmlformats.org/officeDocument/2006/relationships/image" Target="../media/image162.png"/><Relationship Id="rId17" Type="http://schemas.openxmlformats.org/officeDocument/2006/relationships/image" Target="../media/image169.jpeg"/><Relationship Id="rId25" Type="http://schemas.openxmlformats.org/officeDocument/2006/relationships/image" Target="../media/image112.png"/><Relationship Id="rId2" Type="http://schemas.openxmlformats.org/officeDocument/2006/relationships/image" Target="../media/image151.png"/><Relationship Id="rId16" Type="http://schemas.openxmlformats.org/officeDocument/2006/relationships/image" Target="../media/image166.png"/><Relationship Id="rId20" Type="http://schemas.openxmlformats.org/officeDocument/2006/relationships/image" Target="../media/image172.png"/><Relationship Id="rId1" Type="http://schemas.openxmlformats.org/officeDocument/2006/relationships/image" Target="../media/image111.png"/><Relationship Id="rId6" Type="http://schemas.openxmlformats.org/officeDocument/2006/relationships/image" Target="../media/image156.jpeg"/><Relationship Id="rId11" Type="http://schemas.openxmlformats.org/officeDocument/2006/relationships/image" Target="../media/image161.png"/><Relationship Id="rId24" Type="http://schemas.openxmlformats.org/officeDocument/2006/relationships/image" Target="../media/image175.png"/><Relationship Id="rId5" Type="http://schemas.openxmlformats.org/officeDocument/2006/relationships/image" Target="../media/image155.jpeg"/><Relationship Id="rId15" Type="http://schemas.openxmlformats.org/officeDocument/2006/relationships/image" Target="../media/image165.jpeg"/><Relationship Id="rId23" Type="http://schemas.openxmlformats.org/officeDocument/2006/relationships/image" Target="../media/image174.png"/><Relationship Id="rId10" Type="http://schemas.openxmlformats.org/officeDocument/2006/relationships/image" Target="../media/image160.jpeg"/><Relationship Id="rId19" Type="http://schemas.openxmlformats.org/officeDocument/2006/relationships/image" Target="../media/image171.png"/><Relationship Id="rId4" Type="http://schemas.openxmlformats.org/officeDocument/2006/relationships/image" Target="../media/image154.jpeg"/><Relationship Id="rId9" Type="http://schemas.openxmlformats.org/officeDocument/2006/relationships/image" Target="../media/image159.jpeg"/><Relationship Id="rId14" Type="http://schemas.openxmlformats.org/officeDocument/2006/relationships/image" Target="../media/image164.jpeg"/><Relationship Id="rId22" Type="http://schemas.openxmlformats.org/officeDocument/2006/relationships/image" Target="../media/image173.png"/><Relationship Id="rId27" Type="http://schemas.openxmlformats.org/officeDocument/2006/relationships/image" Target="../media/image176.png"/></Relationships>
</file>

<file path=xl/drawings/drawing1.xml><?xml version="1.0" encoding="utf-8"?>
<xdr:wsDr xmlns:xdr="http://schemas.openxmlformats.org/drawingml/2006/spreadsheetDrawing" xmlns:a="http://schemas.openxmlformats.org/drawingml/2006/main">
  <xdr:twoCellAnchor>
    <xdr:from>
      <xdr:col>2</xdr:col>
      <xdr:colOff>410309</xdr:colOff>
      <xdr:row>206</xdr:row>
      <xdr:rowOff>105509</xdr:rowOff>
    </xdr:from>
    <xdr:to>
      <xdr:col>4</xdr:col>
      <xdr:colOff>896816</xdr:colOff>
      <xdr:row>212</xdr:row>
      <xdr:rowOff>189329</xdr:rowOff>
    </xdr:to>
    <xdr:grpSp>
      <xdr:nvGrpSpPr>
        <xdr:cNvPr id="237" name="Grupa 236">
          <a:extLst>
            <a:ext uri="{FF2B5EF4-FFF2-40B4-BE49-F238E27FC236}">
              <a16:creationId xmlns:a16="http://schemas.microsoft.com/office/drawing/2014/main" id="{5FA5ADAC-7CE4-4BC4-BE79-9F96C4D0816D}"/>
            </a:ext>
          </a:extLst>
        </xdr:cNvPr>
        <xdr:cNvGrpSpPr>
          <a:grpSpLocks noChangeAspect="1"/>
        </xdr:cNvGrpSpPr>
      </xdr:nvGrpSpPr>
      <xdr:grpSpPr>
        <a:xfrm>
          <a:off x="913229" y="30555029"/>
          <a:ext cx="1427577" cy="1190625"/>
          <a:chOff x="7039708" y="34190354"/>
          <a:chExt cx="1430215" cy="1197513"/>
        </a:xfrm>
      </xdr:grpSpPr>
      <xdr:grpSp>
        <xdr:nvGrpSpPr>
          <xdr:cNvPr id="232" name="Grupa 231">
            <a:extLst>
              <a:ext uri="{FF2B5EF4-FFF2-40B4-BE49-F238E27FC236}">
                <a16:creationId xmlns:a16="http://schemas.microsoft.com/office/drawing/2014/main" id="{3F525C5C-1F99-4D46-BFCF-DDD2052F3F8F}"/>
              </a:ext>
            </a:extLst>
          </xdr:cNvPr>
          <xdr:cNvGrpSpPr>
            <a:grpSpLocks noChangeAspect="1"/>
          </xdr:cNvGrpSpPr>
        </xdr:nvGrpSpPr>
        <xdr:grpSpPr>
          <a:xfrm>
            <a:off x="7039708" y="34190354"/>
            <a:ext cx="1406769" cy="1197513"/>
            <a:chOff x="7383780" y="35272980"/>
            <a:chExt cx="1196340" cy="1196340"/>
          </a:xfrm>
        </xdr:grpSpPr>
        <xdr:pic>
          <xdr:nvPicPr>
            <xdr:cNvPr id="233" name="Grafika 232" descr="Home1 kontur">
              <a:extLst>
                <a:ext uri="{FF2B5EF4-FFF2-40B4-BE49-F238E27FC236}">
                  <a16:creationId xmlns:a16="http://schemas.microsoft.com/office/drawing/2014/main" id="{C746221D-C5CE-4CD9-AAEF-E0C091C524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 uri="{96DAC541-7B7A-43D3-8B79-37D633B846F1}">
                  <asvg:svgBlip xmlns:asvg="http://schemas.microsoft.com/office/drawing/2016/SVG/main" r:embed="rId2"/>
                </a:ext>
              </a:extLst>
            </a:blip>
            <a:stretch>
              <a:fillRect/>
            </a:stretch>
          </xdr:blipFill>
          <xdr:spPr>
            <a:xfrm>
              <a:off x="7383780" y="35272980"/>
              <a:ext cx="1196340" cy="1196340"/>
            </a:xfrm>
            <a:prstGeom prst="rect">
              <a:avLst/>
            </a:prstGeom>
          </xdr:spPr>
        </xdr:pic>
        <xdr:sp macro="" textlink="">
          <xdr:nvSpPr>
            <xdr:cNvPr id="234" name="Prostokąt 233">
              <a:extLst>
                <a:ext uri="{FF2B5EF4-FFF2-40B4-BE49-F238E27FC236}">
                  <a16:creationId xmlns:a16="http://schemas.microsoft.com/office/drawing/2014/main" id="{5961DDAF-6C9F-4FE5-8DCC-BD5A287C3B31}"/>
                </a:ext>
              </a:extLst>
            </xdr:cNvPr>
            <xdr:cNvSpPr/>
          </xdr:nvSpPr>
          <xdr:spPr>
            <a:xfrm>
              <a:off x="7764780" y="35821620"/>
              <a:ext cx="426720" cy="41148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pic>
        <xdr:nvPicPr>
          <xdr:cNvPr id="236" name="Grafika 235" descr="Dom kontur">
            <a:extLst>
              <a:ext uri="{FF2B5EF4-FFF2-40B4-BE49-F238E27FC236}">
                <a16:creationId xmlns:a16="http://schemas.microsoft.com/office/drawing/2014/main" id="{6E692CF4-2BF4-4616-B2B9-579E677F6980}"/>
              </a:ext>
            </a:extLst>
          </xdr:cNvPr>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 uri="{96DAC541-7B7A-43D3-8B79-37D633B846F1}">
                <asvg:svgBlip xmlns:asvg="http://schemas.microsoft.com/office/drawing/2016/SVG/main" r:embed="rId4"/>
              </a:ext>
            </a:extLst>
          </a:blip>
          <a:srcRect l="60417" b="61165"/>
          <a:stretch/>
        </xdr:blipFill>
        <xdr:spPr>
          <a:xfrm>
            <a:off x="7913077" y="34196215"/>
            <a:ext cx="556846" cy="468923"/>
          </a:xfrm>
          <a:prstGeom prst="rect">
            <a:avLst/>
          </a:prstGeom>
        </xdr:spPr>
      </xdr:pic>
    </xdr:grpSp>
    <xdr:clientData/>
  </xdr:twoCellAnchor>
  <xdr:twoCellAnchor>
    <xdr:from>
      <xdr:col>10</xdr:col>
      <xdr:colOff>467165</xdr:colOff>
      <xdr:row>206</xdr:row>
      <xdr:rowOff>128954</xdr:rowOff>
    </xdr:from>
    <xdr:to>
      <xdr:col>13</xdr:col>
      <xdr:colOff>45134</xdr:colOff>
      <xdr:row>213</xdr:row>
      <xdr:rowOff>19343</xdr:rowOff>
    </xdr:to>
    <xdr:grpSp>
      <xdr:nvGrpSpPr>
        <xdr:cNvPr id="225" name="Grupa 224">
          <a:extLst>
            <a:ext uri="{FF2B5EF4-FFF2-40B4-BE49-F238E27FC236}">
              <a16:creationId xmlns:a16="http://schemas.microsoft.com/office/drawing/2014/main" id="{8567B586-07B5-4408-BEC6-8EA2377E6A8F}"/>
            </a:ext>
          </a:extLst>
        </xdr:cNvPr>
        <xdr:cNvGrpSpPr>
          <a:grpSpLocks noChangeAspect="1"/>
        </xdr:cNvGrpSpPr>
      </xdr:nvGrpSpPr>
      <xdr:grpSpPr>
        <a:xfrm>
          <a:off x="5984045" y="30584189"/>
          <a:ext cx="1406769" cy="1178169"/>
          <a:chOff x="7383780" y="35272980"/>
          <a:chExt cx="1196340" cy="1196340"/>
        </a:xfrm>
      </xdr:grpSpPr>
      <xdr:pic>
        <xdr:nvPicPr>
          <xdr:cNvPr id="30" name="Grafika 29" descr="Home1 kontur">
            <a:extLst>
              <a:ext uri="{FF2B5EF4-FFF2-40B4-BE49-F238E27FC236}">
                <a16:creationId xmlns:a16="http://schemas.microsoft.com/office/drawing/2014/main" id="{259751A4-E28A-47F5-B6EA-E6D67DA21C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 uri="{96DAC541-7B7A-43D3-8B79-37D633B846F1}">
                <asvg:svgBlip xmlns:asvg="http://schemas.microsoft.com/office/drawing/2016/SVG/main" r:embed="rId2"/>
              </a:ext>
            </a:extLst>
          </a:blip>
          <a:stretch>
            <a:fillRect/>
          </a:stretch>
        </xdr:blipFill>
        <xdr:spPr>
          <a:xfrm>
            <a:off x="7383780" y="35272980"/>
            <a:ext cx="1196340" cy="1196340"/>
          </a:xfrm>
          <a:prstGeom prst="rect">
            <a:avLst/>
          </a:prstGeom>
        </xdr:spPr>
      </xdr:pic>
      <xdr:sp macro="" textlink="">
        <xdr:nvSpPr>
          <xdr:cNvPr id="31" name="Prostokąt 30">
            <a:extLst>
              <a:ext uri="{FF2B5EF4-FFF2-40B4-BE49-F238E27FC236}">
                <a16:creationId xmlns:a16="http://schemas.microsoft.com/office/drawing/2014/main" id="{ECD06728-D308-41C3-9967-1D6B7371C837}"/>
              </a:ext>
            </a:extLst>
          </xdr:cNvPr>
          <xdr:cNvSpPr/>
        </xdr:nvSpPr>
        <xdr:spPr>
          <a:xfrm>
            <a:off x="7764780" y="35813981"/>
            <a:ext cx="426720" cy="41148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2</xdr:col>
      <xdr:colOff>0</xdr:colOff>
      <xdr:row>2</xdr:row>
      <xdr:rowOff>89647</xdr:rowOff>
    </xdr:from>
    <xdr:to>
      <xdr:col>4</xdr:col>
      <xdr:colOff>496522</xdr:colOff>
      <xdr:row>4</xdr:row>
      <xdr:rowOff>58495</xdr:rowOff>
    </xdr:to>
    <xdr:pic>
      <xdr:nvPicPr>
        <xdr:cNvPr id="2" name="Obraz 1" descr="Znalezione obrazy dla zapytania logo viessmann">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670560" y="341107"/>
          <a:ext cx="1447832" cy="3231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475131</xdr:colOff>
      <xdr:row>2</xdr:row>
      <xdr:rowOff>26895</xdr:rowOff>
    </xdr:from>
    <xdr:to>
      <xdr:col>14</xdr:col>
      <xdr:colOff>167864</xdr:colOff>
      <xdr:row>3</xdr:row>
      <xdr:rowOff>173130</xdr:rowOff>
    </xdr:to>
    <xdr:pic>
      <xdr:nvPicPr>
        <xdr:cNvPr id="3" name="Grafika 2" descr="Kalendarz dzienny kontur">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 uri="{96DAC541-7B7A-43D3-8B79-37D633B846F1}">
              <asvg:svgBlip xmlns:asvg="http://schemas.microsoft.com/office/drawing/2016/SVG/main" r:embed="rId7"/>
            </a:ext>
          </a:extLst>
        </a:blip>
        <a:stretch>
          <a:fillRect/>
        </a:stretch>
      </xdr:blipFill>
      <xdr:spPr>
        <a:xfrm>
          <a:off x="6632091" y="278355"/>
          <a:ext cx="304239" cy="321496"/>
        </a:xfrm>
        <a:prstGeom prst="rect">
          <a:avLst/>
        </a:prstGeom>
      </xdr:spPr>
    </xdr:pic>
    <xdr:clientData/>
  </xdr:twoCellAnchor>
  <xdr:twoCellAnchor editAs="oneCell">
    <xdr:from>
      <xdr:col>5</xdr:col>
      <xdr:colOff>373799</xdr:colOff>
      <xdr:row>21</xdr:row>
      <xdr:rowOff>48858</xdr:rowOff>
    </xdr:from>
    <xdr:to>
      <xdr:col>6</xdr:col>
      <xdr:colOff>169515</xdr:colOff>
      <xdr:row>23</xdr:row>
      <xdr:rowOff>97267</xdr:rowOff>
    </xdr:to>
    <xdr:pic>
      <xdr:nvPicPr>
        <xdr:cNvPr id="4" name="Obraz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878874" y="3725508"/>
          <a:ext cx="395792" cy="410359"/>
        </a:xfrm>
        <a:prstGeom prst="rect">
          <a:avLst/>
        </a:prstGeom>
      </xdr:spPr>
    </xdr:pic>
    <xdr:clientData/>
  </xdr:twoCellAnchor>
  <xdr:twoCellAnchor editAs="oneCell">
    <xdr:from>
      <xdr:col>5</xdr:col>
      <xdr:colOff>402322</xdr:colOff>
      <xdr:row>15</xdr:row>
      <xdr:rowOff>75882</xdr:rowOff>
    </xdr:from>
    <xdr:to>
      <xdr:col>6</xdr:col>
      <xdr:colOff>169669</xdr:colOff>
      <xdr:row>17</xdr:row>
      <xdr:rowOff>136153</xdr:rowOff>
    </xdr:to>
    <xdr:pic>
      <xdr:nvPicPr>
        <xdr:cNvPr id="5" name="Obraz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901682" y="2735262"/>
          <a:ext cx="376948" cy="384121"/>
        </a:xfrm>
        <a:prstGeom prst="rect">
          <a:avLst/>
        </a:prstGeom>
      </xdr:spPr>
    </xdr:pic>
    <xdr:clientData/>
  </xdr:twoCellAnchor>
  <xdr:twoCellAnchor editAs="oneCell">
    <xdr:from>
      <xdr:col>18</xdr:col>
      <xdr:colOff>230888</xdr:colOff>
      <xdr:row>37</xdr:row>
      <xdr:rowOff>7068</xdr:rowOff>
    </xdr:from>
    <xdr:to>
      <xdr:col>18</xdr:col>
      <xdr:colOff>401592</xdr:colOff>
      <xdr:row>37</xdr:row>
      <xdr:rowOff>168902</xdr:rowOff>
    </xdr:to>
    <xdr:pic macro="[0]!pom02add_Click">
      <xdr:nvPicPr>
        <xdr:cNvPr id="90" name="Grafika 89" descr="Odtwórz z wypełnieniem pełnym">
          <a:extLst>
            <a:ext uri="{FF2B5EF4-FFF2-40B4-BE49-F238E27FC236}">
              <a16:creationId xmlns:a16="http://schemas.microsoft.com/office/drawing/2014/main" id="{00000000-0008-0000-0100-00005A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10712823" y="9471967"/>
          <a:ext cx="165644" cy="174514"/>
        </a:xfrm>
        <a:prstGeom prst="rect">
          <a:avLst/>
        </a:prstGeom>
      </xdr:spPr>
    </xdr:pic>
    <xdr:clientData/>
  </xdr:twoCellAnchor>
  <xdr:twoCellAnchor editAs="oneCell">
    <xdr:from>
      <xdr:col>18</xdr:col>
      <xdr:colOff>236603</xdr:colOff>
      <xdr:row>39</xdr:row>
      <xdr:rowOff>28346</xdr:rowOff>
    </xdr:from>
    <xdr:to>
      <xdr:col>18</xdr:col>
      <xdr:colOff>399687</xdr:colOff>
      <xdr:row>39</xdr:row>
      <xdr:rowOff>174643</xdr:rowOff>
    </xdr:to>
    <xdr:pic macro="[0]!pom02err">
      <xdr:nvPicPr>
        <xdr:cNvPr id="91" name="Grafika 90" descr="Odtwórz z wypełnieniem pełnym">
          <a:extLst>
            <a:ext uri="{FF2B5EF4-FFF2-40B4-BE49-F238E27FC236}">
              <a16:creationId xmlns:a16="http://schemas.microsoft.com/office/drawing/2014/main" id="{00000000-0008-0000-0100-00005B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10674871" y="9935478"/>
          <a:ext cx="146297" cy="163084"/>
        </a:xfrm>
        <a:prstGeom prst="rect">
          <a:avLst/>
        </a:prstGeom>
      </xdr:spPr>
    </xdr:pic>
    <xdr:clientData/>
  </xdr:twoCellAnchor>
  <xdr:twoCellAnchor>
    <xdr:from>
      <xdr:col>19</xdr:col>
      <xdr:colOff>107950</xdr:colOff>
      <xdr:row>39</xdr:row>
      <xdr:rowOff>8256</xdr:rowOff>
    </xdr:from>
    <xdr:to>
      <xdr:col>19</xdr:col>
      <xdr:colOff>513715</xdr:colOff>
      <xdr:row>39</xdr:row>
      <xdr:rowOff>171450</xdr:rowOff>
    </xdr:to>
    <xdr:sp macro="[0]!pom02auto" textlink="">
      <xdr:nvSpPr>
        <xdr:cNvPr id="24576" name="pole tekstowe 24575">
          <a:extLst>
            <a:ext uri="{FF2B5EF4-FFF2-40B4-BE49-F238E27FC236}">
              <a16:creationId xmlns:a16="http://schemas.microsoft.com/office/drawing/2014/main" id="{00000000-0008-0000-0100-000000600000}"/>
            </a:ext>
          </a:extLst>
        </xdr:cNvPr>
        <xdr:cNvSpPr txBox="1"/>
      </xdr:nvSpPr>
      <xdr:spPr>
        <a:xfrm>
          <a:off x="11150600" y="10092056"/>
          <a:ext cx="405765" cy="163194"/>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18</xdr:col>
      <xdr:colOff>230888</xdr:colOff>
      <xdr:row>31</xdr:row>
      <xdr:rowOff>7068</xdr:rowOff>
    </xdr:from>
    <xdr:ext cx="170704" cy="159929"/>
    <xdr:pic macro="[0]!pom01add_Click">
      <xdr:nvPicPr>
        <xdr:cNvPr id="34" name="Grafika 33" descr="Odtwórz z wypełnieniem pełnym">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10713775" y="6760383"/>
          <a:ext cx="159929" cy="170704"/>
        </a:xfrm>
        <a:prstGeom prst="rect">
          <a:avLst/>
        </a:prstGeom>
      </xdr:spPr>
    </xdr:pic>
    <xdr:clientData/>
  </xdr:oneCellAnchor>
  <xdr:oneCellAnchor>
    <xdr:from>
      <xdr:col>18</xdr:col>
      <xdr:colOff>236603</xdr:colOff>
      <xdr:row>33</xdr:row>
      <xdr:rowOff>28346</xdr:rowOff>
    </xdr:from>
    <xdr:ext cx="161179" cy="148202"/>
    <xdr:pic macro="[0]!pom01err">
      <xdr:nvPicPr>
        <xdr:cNvPr id="36" name="Grafika 35" descr="Odtwórz z wypełnieniem pełnym">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10722497" y="7133936"/>
          <a:ext cx="148202" cy="161179"/>
        </a:xfrm>
        <a:prstGeom prst="rect">
          <a:avLst/>
        </a:prstGeom>
      </xdr:spPr>
    </xdr:pic>
    <xdr:clientData/>
  </xdr:oneCellAnchor>
  <xdr:twoCellAnchor>
    <xdr:from>
      <xdr:col>19</xdr:col>
      <xdr:colOff>107950</xdr:colOff>
      <xdr:row>33</xdr:row>
      <xdr:rowOff>8256</xdr:rowOff>
    </xdr:from>
    <xdr:to>
      <xdr:col>19</xdr:col>
      <xdr:colOff>513715</xdr:colOff>
      <xdr:row>33</xdr:row>
      <xdr:rowOff>171450</xdr:rowOff>
    </xdr:to>
    <xdr:sp macro="[0]!pom01auto" textlink="">
      <xdr:nvSpPr>
        <xdr:cNvPr id="38" name="pole tekstowe 37">
          <a:extLst>
            <a:ext uri="{FF2B5EF4-FFF2-40B4-BE49-F238E27FC236}">
              <a16:creationId xmlns:a16="http://schemas.microsoft.com/office/drawing/2014/main" id="{00000000-0008-0000-0100-000026000000}"/>
            </a:ext>
          </a:extLst>
        </xdr:cNvPr>
        <xdr:cNvSpPr txBox="1"/>
      </xdr:nvSpPr>
      <xdr:spPr>
        <a:xfrm>
          <a:off x="11188779" y="7124145"/>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18</xdr:col>
      <xdr:colOff>230888</xdr:colOff>
      <xdr:row>43</xdr:row>
      <xdr:rowOff>7068</xdr:rowOff>
    </xdr:from>
    <xdr:ext cx="166894" cy="163739"/>
    <xdr:pic macro="[0]!pom03add_Click">
      <xdr:nvPicPr>
        <xdr:cNvPr id="40" name="Grafika 39" descr="Odtwórz z wypełnieniem pełnym">
          <a:extLst>
            <a:ext uri="{FF2B5EF4-FFF2-40B4-BE49-F238E27FC236}">
              <a16:creationId xmlns:a16="http://schemas.microsoft.com/office/drawing/2014/main" id="{00000000-0008-0000-0100-000028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10709965" y="6585599"/>
          <a:ext cx="163739" cy="166894"/>
        </a:xfrm>
        <a:prstGeom prst="rect">
          <a:avLst/>
        </a:prstGeom>
      </xdr:spPr>
    </xdr:pic>
    <xdr:clientData/>
  </xdr:oneCellAnchor>
  <xdr:oneCellAnchor>
    <xdr:from>
      <xdr:col>18</xdr:col>
      <xdr:colOff>236603</xdr:colOff>
      <xdr:row>45</xdr:row>
      <xdr:rowOff>28346</xdr:rowOff>
    </xdr:from>
    <xdr:ext cx="164989" cy="144392"/>
    <xdr:pic macro="[0]!pom03err">
      <xdr:nvPicPr>
        <xdr:cNvPr id="41" name="Grafika 40" descr="Odtwórz z wypełnieniem pełnym">
          <a:extLst>
            <a:ext uri="{FF2B5EF4-FFF2-40B4-BE49-F238E27FC236}">
              <a16:creationId xmlns:a16="http://schemas.microsoft.com/office/drawing/2014/main" id="{00000000-0008-0000-0100-000029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10726307" y="6951533"/>
          <a:ext cx="144392" cy="164989"/>
        </a:xfrm>
        <a:prstGeom prst="rect">
          <a:avLst/>
        </a:prstGeom>
      </xdr:spPr>
    </xdr:pic>
    <xdr:clientData/>
  </xdr:oneCellAnchor>
  <xdr:twoCellAnchor>
    <xdr:from>
      <xdr:col>19</xdr:col>
      <xdr:colOff>107950</xdr:colOff>
      <xdr:row>45</xdr:row>
      <xdr:rowOff>8256</xdr:rowOff>
    </xdr:from>
    <xdr:to>
      <xdr:col>19</xdr:col>
      <xdr:colOff>513715</xdr:colOff>
      <xdr:row>45</xdr:row>
      <xdr:rowOff>171450</xdr:rowOff>
    </xdr:to>
    <xdr:sp macro="[0]!pom03auto" textlink="">
      <xdr:nvSpPr>
        <xdr:cNvPr id="43" name="pole tekstowe 42">
          <a:extLst>
            <a:ext uri="{FF2B5EF4-FFF2-40B4-BE49-F238E27FC236}">
              <a16:creationId xmlns:a16="http://schemas.microsoft.com/office/drawing/2014/main" id="{00000000-0008-0000-0100-00002B000000}"/>
            </a:ext>
          </a:extLst>
        </xdr:cNvPr>
        <xdr:cNvSpPr txBox="1"/>
      </xdr:nvSpPr>
      <xdr:spPr>
        <a:xfrm>
          <a:off x="11188779" y="6945552"/>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18</xdr:col>
      <xdr:colOff>230888</xdr:colOff>
      <xdr:row>49</xdr:row>
      <xdr:rowOff>7068</xdr:rowOff>
    </xdr:from>
    <xdr:ext cx="166894" cy="163739"/>
    <xdr:pic macro="[0]!pom04add_Click">
      <xdr:nvPicPr>
        <xdr:cNvPr id="44" name="Grafika 43" descr="Odtwórz z wypełnieniem pełnym">
          <a:extLst>
            <a:ext uri="{FF2B5EF4-FFF2-40B4-BE49-F238E27FC236}">
              <a16:creationId xmlns:a16="http://schemas.microsoft.com/office/drawing/2014/main" id="{00000000-0008-0000-0100-00002C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10709965" y="7657162"/>
          <a:ext cx="163739" cy="166894"/>
        </a:xfrm>
        <a:prstGeom prst="rect">
          <a:avLst/>
        </a:prstGeom>
      </xdr:spPr>
    </xdr:pic>
    <xdr:clientData/>
  </xdr:oneCellAnchor>
  <xdr:oneCellAnchor>
    <xdr:from>
      <xdr:col>18</xdr:col>
      <xdr:colOff>236603</xdr:colOff>
      <xdr:row>51</xdr:row>
      <xdr:rowOff>28346</xdr:rowOff>
    </xdr:from>
    <xdr:ext cx="164989" cy="144392"/>
    <xdr:pic macro="[0]!pom04err">
      <xdr:nvPicPr>
        <xdr:cNvPr id="45" name="Grafika 44" descr="Odtwórz z wypełnieniem pełnym">
          <a:extLst>
            <a:ext uri="{FF2B5EF4-FFF2-40B4-BE49-F238E27FC236}">
              <a16:creationId xmlns:a16="http://schemas.microsoft.com/office/drawing/2014/main" id="{00000000-0008-0000-0100-00002D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10726307" y="8023095"/>
          <a:ext cx="144392" cy="164989"/>
        </a:xfrm>
        <a:prstGeom prst="rect">
          <a:avLst/>
        </a:prstGeom>
      </xdr:spPr>
    </xdr:pic>
    <xdr:clientData/>
  </xdr:oneCellAnchor>
  <xdr:twoCellAnchor>
    <xdr:from>
      <xdr:col>19</xdr:col>
      <xdr:colOff>107950</xdr:colOff>
      <xdr:row>51</xdr:row>
      <xdr:rowOff>8256</xdr:rowOff>
    </xdr:from>
    <xdr:to>
      <xdr:col>19</xdr:col>
      <xdr:colOff>513715</xdr:colOff>
      <xdr:row>51</xdr:row>
      <xdr:rowOff>171450</xdr:rowOff>
    </xdr:to>
    <xdr:sp macro="[0]!pom04auto" textlink="">
      <xdr:nvSpPr>
        <xdr:cNvPr id="47" name="pole tekstowe 46">
          <a:extLst>
            <a:ext uri="{FF2B5EF4-FFF2-40B4-BE49-F238E27FC236}">
              <a16:creationId xmlns:a16="http://schemas.microsoft.com/office/drawing/2014/main" id="{00000000-0008-0000-0100-00002F000000}"/>
            </a:ext>
          </a:extLst>
        </xdr:cNvPr>
        <xdr:cNvSpPr txBox="1"/>
      </xdr:nvSpPr>
      <xdr:spPr>
        <a:xfrm>
          <a:off x="11188779" y="8017114"/>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18</xdr:col>
      <xdr:colOff>230888</xdr:colOff>
      <xdr:row>55</xdr:row>
      <xdr:rowOff>7068</xdr:rowOff>
    </xdr:from>
    <xdr:ext cx="166894" cy="163739"/>
    <xdr:pic macro="[0]!pom05add_Click">
      <xdr:nvPicPr>
        <xdr:cNvPr id="39" name="Grafika 38" descr="Odtwórz z wypełnieniem pełnym">
          <a:extLst>
            <a:ext uri="{FF2B5EF4-FFF2-40B4-BE49-F238E27FC236}">
              <a16:creationId xmlns:a16="http://schemas.microsoft.com/office/drawing/2014/main" id="{00000000-0008-0000-0100-000027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10767115" y="8837071"/>
          <a:ext cx="163739" cy="166894"/>
        </a:xfrm>
        <a:prstGeom prst="rect">
          <a:avLst/>
        </a:prstGeom>
      </xdr:spPr>
    </xdr:pic>
    <xdr:clientData/>
  </xdr:oneCellAnchor>
  <xdr:oneCellAnchor>
    <xdr:from>
      <xdr:col>18</xdr:col>
      <xdr:colOff>236603</xdr:colOff>
      <xdr:row>57</xdr:row>
      <xdr:rowOff>28346</xdr:rowOff>
    </xdr:from>
    <xdr:ext cx="164989" cy="144392"/>
    <xdr:pic macro="[0]!pom05err">
      <xdr:nvPicPr>
        <xdr:cNvPr id="48" name="Grafika 47" descr="Odtwórz z wypełnieniem pełnym">
          <a:extLst>
            <a:ext uri="{FF2B5EF4-FFF2-40B4-BE49-F238E27FC236}">
              <a16:creationId xmlns:a16="http://schemas.microsoft.com/office/drawing/2014/main" id="{00000000-0008-0000-0100-000030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10783457" y="9207767"/>
          <a:ext cx="144392" cy="164989"/>
        </a:xfrm>
        <a:prstGeom prst="rect">
          <a:avLst/>
        </a:prstGeom>
      </xdr:spPr>
    </xdr:pic>
    <xdr:clientData/>
  </xdr:oneCellAnchor>
  <xdr:twoCellAnchor>
    <xdr:from>
      <xdr:col>19</xdr:col>
      <xdr:colOff>107950</xdr:colOff>
      <xdr:row>57</xdr:row>
      <xdr:rowOff>8256</xdr:rowOff>
    </xdr:from>
    <xdr:to>
      <xdr:col>19</xdr:col>
      <xdr:colOff>513715</xdr:colOff>
      <xdr:row>57</xdr:row>
      <xdr:rowOff>171450</xdr:rowOff>
    </xdr:to>
    <xdr:sp macro="[0]!pom05auto" textlink="">
      <xdr:nvSpPr>
        <xdr:cNvPr id="50" name="pole tekstowe 49">
          <a:extLst>
            <a:ext uri="{FF2B5EF4-FFF2-40B4-BE49-F238E27FC236}">
              <a16:creationId xmlns:a16="http://schemas.microsoft.com/office/drawing/2014/main" id="{00000000-0008-0000-0100-000032000000}"/>
            </a:ext>
          </a:extLst>
        </xdr:cNvPr>
        <xdr:cNvSpPr txBox="1"/>
      </xdr:nvSpPr>
      <xdr:spPr>
        <a:xfrm>
          <a:off x="11250295" y="9201786"/>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twoCellAnchor>
    <xdr:from>
      <xdr:col>7</xdr:col>
      <xdr:colOff>107950</xdr:colOff>
      <xdr:row>33</xdr:row>
      <xdr:rowOff>8256</xdr:rowOff>
    </xdr:from>
    <xdr:to>
      <xdr:col>7</xdr:col>
      <xdr:colOff>513715</xdr:colOff>
      <xdr:row>33</xdr:row>
      <xdr:rowOff>171450</xdr:rowOff>
    </xdr:to>
    <xdr:sp macro="[0]!pom01osoba_auto" textlink="">
      <xdr:nvSpPr>
        <xdr:cNvPr id="51" name="pole tekstowe 50">
          <a:extLst>
            <a:ext uri="{FF2B5EF4-FFF2-40B4-BE49-F238E27FC236}">
              <a16:creationId xmlns:a16="http://schemas.microsoft.com/office/drawing/2014/main" id="{00000000-0008-0000-0100-000033000000}"/>
            </a:ext>
          </a:extLst>
        </xdr:cNvPr>
        <xdr:cNvSpPr txBox="1"/>
      </xdr:nvSpPr>
      <xdr:spPr>
        <a:xfrm>
          <a:off x="11250295" y="5944236"/>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6</xdr:col>
      <xdr:colOff>55631</xdr:colOff>
      <xdr:row>33</xdr:row>
      <xdr:rowOff>3020</xdr:rowOff>
    </xdr:from>
    <xdr:ext cx="170704" cy="159929"/>
    <xdr:pic macro="[0]!pom01osoba_add">
      <xdr:nvPicPr>
        <xdr:cNvPr id="52" name="Grafika 51" descr="Odtwórz z wypełnieniem pełnym">
          <a:extLst>
            <a:ext uri="{FF2B5EF4-FFF2-40B4-BE49-F238E27FC236}">
              <a16:creationId xmlns:a16="http://schemas.microsoft.com/office/drawing/2014/main" id="{00000000-0008-0000-0100-000034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3280468" y="5931708"/>
          <a:ext cx="159929" cy="170704"/>
        </a:xfrm>
        <a:prstGeom prst="rect">
          <a:avLst/>
        </a:prstGeom>
      </xdr:spPr>
    </xdr:pic>
    <xdr:clientData/>
  </xdr:oneCellAnchor>
  <xdr:oneCellAnchor>
    <xdr:from>
      <xdr:col>6</xdr:col>
      <xdr:colOff>402339</xdr:colOff>
      <xdr:row>33</xdr:row>
      <xdr:rowOff>22397</xdr:rowOff>
    </xdr:from>
    <xdr:ext cx="161179" cy="148202"/>
    <xdr:pic macro="[0]!pom01osoba_err">
      <xdr:nvPicPr>
        <xdr:cNvPr id="53" name="Grafika 52" descr="Odtwórz z wypełnieniem pełnym">
          <a:extLst>
            <a:ext uri="{FF2B5EF4-FFF2-40B4-BE49-F238E27FC236}">
              <a16:creationId xmlns:a16="http://schemas.microsoft.com/office/drawing/2014/main" id="{00000000-0008-0000-0100-000035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3628278" y="5949983"/>
          <a:ext cx="148202" cy="161179"/>
        </a:xfrm>
        <a:prstGeom prst="rect">
          <a:avLst/>
        </a:prstGeom>
      </xdr:spPr>
    </xdr:pic>
    <xdr:clientData/>
  </xdr:oneCellAnchor>
  <xdr:oneCellAnchor>
    <xdr:from>
      <xdr:col>18</xdr:col>
      <xdr:colOff>230888</xdr:colOff>
      <xdr:row>61</xdr:row>
      <xdr:rowOff>7068</xdr:rowOff>
    </xdr:from>
    <xdr:ext cx="166894" cy="163739"/>
    <xdr:pic macro="[0]!pom06add_Click">
      <xdr:nvPicPr>
        <xdr:cNvPr id="54" name="Grafika 53" descr="Odtwórz z wypełnieniem pełnym">
          <a:extLst>
            <a:ext uri="{FF2B5EF4-FFF2-40B4-BE49-F238E27FC236}">
              <a16:creationId xmlns:a16="http://schemas.microsoft.com/office/drawing/2014/main" id="{FD6D7D6C-D687-45F1-9492-00A141756C4A}"/>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10767115" y="9922921"/>
          <a:ext cx="163739" cy="166894"/>
        </a:xfrm>
        <a:prstGeom prst="rect">
          <a:avLst/>
        </a:prstGeom>
      </xdr:spPr>
    </xdr:pic>
    <xdr:clientData/>
  </xdr:oneCellAnchor>
  <xdr:oneCellAnchor>
    <xdr:from>
      <xdr:col>18</xdr:col>
      <xdr:colOff>236603</xdr:colOff>
      <xdr:row>63</xdr:row>
      <xdr:rowOff>28346</xdr:rowOff>
    </xdr:from>
    <xdr:ext cx="164989" cy="144392"/>
    <xdr:pic macro="[0]!pom06err">
      <xdr:nvPicPr>
        <xdr:cNvPr id="55" name="Grafika 54" descr="Odtwórz z wypełnieniem pełnym">
          <a:extLst>
            <a:ext uri="{FF2B5EF4-FFF2-40B4-BE49-F238E27FC236}">
              <a16:creationId xmlns:a16="http://schemas.microsoft.com/office/drawing/2014/main" id="{10014801-DBD7-4A94-83AC-7E156C802302}"/>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10783457" y="10293617"/>
          <a:ext cx="144392" cy="164989"/>
        </a:xfrm>
        <a:prstGeom prst="rect">
          <a:avLst/>
        </a:prstGeom>
      </xdr:spPr>
    </xdr:pic>
    <xdr:clientData/>
  </xdr:oneCellAnchor>
  <xdr:twoCellAnchor>
    <xdr:from>
      <xdr:col>19</xdr:col>
      <xdr:colOff>107950</xdr:colOff>
      <xdr:row>63</xdr:row>
      <xdr:rowOff>8256</xdr:rowOff>
    </xdr:from>
    <xdr:to>
      <xdr:col>19</xdr:col>
      <xdr:colOff>513715</xdr:colOff>
      <xdr:row>63</xdr:row>
      <xdr:rowOff>171450</xdr:rowOff>
    </xdr:to>
    <xdr:sp macro="[0]!pom06auto" textlink="">
      <xdr:nvSpPr>
        <xdr:cNvPr id="57" name="pole tekstowe 56">
          <a:extLst>
            <a:ext uri="{FF2B5EF4-FFF2-40B4-BE49-F238E27FC236}">
              <a16:creationId xmlns:a16="http://schemas.microsoft.com/office/drawing/2014/main" id="{0AFBE6B6-3302-4B8A-9465-2C2475585F9C}"/>
            </a:ext>
          </a:extLst>
        </xdr:cNvPr>
        <xdr:cNvSpPr txBox="1"/>
      </xdr:nvSpPr>
      <xdr:spPr>
        <a:xfrm>
          <a:off x="11250295" y="10287636"/>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twoCellAnchor>
    <xdr:from>
      <xdr:col>7</xdr:col>
      <xdr:colOff>107950</xdr:colOff>
      <xdr:row>39</xdr:row>
      <xdr:rowOff>8256</xdr:rowOff>
    </xdr:from>
    <xdr:to>
      <xdr:col>7</xdr:col>
      <xdr:colOff>513715</xdr:colOff>
      <xdr:row>39</xdr:row>
      <xdr:rowOff>171450</xdr:rowOff>
    </xdr:to>
    <xdr:sp macro="[0]!pom02osoba_auto" textlink="">
      <xdr:nvSpPr>
        <xdr:cNvPr id="58" name="pole tekstowe 57">
          <a:extLst>
            <a:ext uri="{FF2B5EF4-FFF2-40B4-BE49-F238E27FC236}">
              <a16:creationId xmlns:a16="http://schemas.microsoft.com/office/drawing/2014/main" id="{BB734A3C-B49A-4490-831F-617E3F3833CD}"/>
            </a:ext>
          </a:extLst>
        </xdr:cNvPr>
        <xdr:cNvSpPr txBox="1"/>
      </xdr:nvSpPr>
      <xdr:spPr>
        <a:xfrm>
          <a:off x="3935095" y="5944236"/>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6</xdr:col>
      <xdr:colOff>55631</xdr:colOff>
      <xdr:row>39</xdr:row>
      <xdr:rowOff>3020</xdr:rowOff>
    </xdr:from>
    <xdr:ext cx="170704" cy="159929"/>
    <xdr:pic macro="[0]!pom02osoba_add">
      <xdr:nvPicPr>
        <xdr:cNvPr id="59" name="Grafika 58" descr="Odtwórz z wypełnieniem pełnym">
          <a:extLst>
            <a:ext uri="{FF2B5EF4-FFF2-40B4-BE49-F238E27FC236}">
              <a16:creationId xmlns:a16="http://schemas.microsoft.com/office/drawing/2014/main" id="{9DC2AA15-083D-488E-A81E-00875F619F81}"/>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3284278" y="5931708"/>
          <a:ext cx="159929" cy="170704"/>
        </a:xfrm>
        <a:prstGeom prst="rect">
          <a:avLst/>
        </a:prstGeom>
      </xdr:spPr>
    </xdr:pic>
    <xdr:clientData/>
  </xdr:oneCellAnchor>
  <xdr:oneCellAnchor>
    <xdr:from>
      <xdr:col>6</xdr:col>
      <xdr:colOff>402339</xdr:colOff>
      <xdr:row>39</xdr:row>
      <xdr:rowOff>22397</xdr:rowOff>
    </xdr:from>
    <xdr:ext cx="161179" cy="148202"/>
    <xdr:pic macro="[0]!pom02osoba_err">
      <xdr:nvPicPr>
        <xdr:cNvPr id="60" name="Grafika 59" descr="Odtwórz z wypełnieniem pełnym">
          <a:extLst>
            <a:ext uri="{FF2B5EF4-FFF2-40B4-BE49-F238E27FC236}">
              <a16:creationId xmlns:a16="http://schemas.microsoft.com/office/drawing/2014/main" id="{DB34C1C7-733E-4A4C-A4A2-A8D04F21908C}"/>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3624468" y="5946173"/>
          <a:ext cx="148202" cy="161179"/>
        </a:xfrm>
        <a:prstGeom prst="rect">
          <a:avLst/>
        </a:prstGeom>
      </xdr:spPr>
    </xdr:pic>
    <xdr:clientData/>
  </xdr:oneCellAnchor>
  <xdr:twoCellAnchor>
    <xdr:from>
      <xdr:col>7</xdr:col>
      <xdr:colOff>107950</xdr:colOff>
      <xdr:row>45</xdr:row>
      <xdr:rowOff>8256</xdr:rowOff>
    </xdr:from>
    <xdr:to>
      <xdr:col>7</xdr:col>
      <xdr:colOff>513715</xdr:colOff>
      <xdr:row>45</xdr:row>
      <xdr:rowOff>171450</xdr:rowOff>
    </xdr:to>
    <xdr:sp macro="[0]!pom03osoba_auto" textlink="">
      <xdr:nvSpPr>
        <xdr:cNvPr id="61" name="pole tekstowe 60">
          <a:extLst>
            <a:ext uri="{FF2B5EF4-FFF2-40B4-BE49-F238E27FC236}">
              <a16:creationId xmlns:a16="http://schemas.microsoft.com/office/drawing/2014/main" id="{2F148CE7-D880-4136-BFBD-ED61D69B54A7}"/>
            </a:ext>
          </a:extLst>
        </xdr:cNvPr>
        <xdr:cNvSpPr txBox="1"/>
      </xdr:nvSpPr>
      <xdr:spPr>
        <a:xfrm>
          <a:off x="3935095" y="7030086"/>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6</xdr:col>
      <xdr:colOff>55631</xdr:colOff>
      <xdr:row>45</xdr:row>
      <xdr:rowOff>3020</xdr:rowOff>
    </xdr:from>
    <xdr:ext cx="170704" cy="159929"/>
    <xdr:pic macro="[0]!pom03osoba_add">
      <xdr:nvPicPr>
        <xdr:cNvPr id="62" name="Grafika 61" descr="Odtwórz z wypełnieniem pełnym">
          <a:extLst>
            <a:ext uri="{FF2B5EF4-FFF2-40B4-BE49-F238E27FC236}">
              <a16:creationId xmlns:a16="http://schemas.microsoft.com/office/drawing/2014/main" id="{56CAA937-7570-40D1-A49F-CF63FA9DB85D}"/>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3284278" y="7017558"/>
          <a:ext cx="159929" cy="170704"/>
        </a:xfrm>
        <a:prstGeom prst="rect">
          <a:avLst/>
        </a:prstGeom>
      </xdr:spPr>
    </xdr:pic>
    <xdr:clientData/>
  </xdr:oneCellAnchor>
  <xdr:oneCellAnchor>
    <xdr:from>
      <xdr:col>6</xdr:col>
      <xdr:colOff>402339</xdr:colOff>
      <xdr:row>45</xdr:row>
      <xdr:rowOff>22397</xdr:rowOff>
    </xdr:from>
    <xdr:ext cx="161179" cy="148202"/>
    <xdr:pic macro="[0]!pom03osoba_err">
      <xdr:nvPicPr>
        <xdr:cNvPr id="63" name="Grafika 62" descr="Odtwórz z wypełnieniem pełnym">
          <a:extLst>
            <a:ext uri="{FF2B5EF4-FFF2-40B4-BE49-F238E27FC236}">
              <a16:creationId xmlns:a16="http://schemas.microsoft.com/office/drawing/2014/main" id="{C0D7F76D-DD23-44DA-8BB5-EC1CAF60FB1A}"/>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3624468" y="7032023"/>
          <a:ext cx="148202" cy="161179"/>
        </a:xfrm>
        <a:prstGeom prst="rect">
          <a:avLst/>
        </a:prstGeom>
      </xdr:spPr>
    </xdr:pic>
    <xdr:clientData/>
  </xdr:oneCellAnchor>
  <xdr:twoCellAnchor>
    <xdr:from>
      <xdr:col>7</xdr:col>
      <xdr:colOff>107950</xdr:colOff>
      <xdr:row>51</xdr:row>
      <xdr:rowOff>8256</xdr:rowOff>
    </xdr:from>
    <xdr:to>
      <xdr:col>7</xdr:col>
      <xdr:colOff>513715</xdr:colOff>
      <xdr:row>51</xdr:row>
      <xdr:rowOff>171450</xdr:rowOff>
    </xdr:to>
    <xdr:sp macro="[0]!pom04osoba_auto" textlink="">
      <xdr:nvSpPr>
        <xdr:cNvPr id="64" name="pole tekstowe 63">
          <a:extLst>
            <a:ext uri="{FF2B5EF4-FFF2-40B4-BE49-F238E27FC236}">
              <a16:creationId xmlns:a16="http://schemas.microsoft.com/office/drawing/2014/main" id="{B1704285-85BA-4A80-AB64-D1BF4D433684}"/>
            </a:ext>
          </a:extLst>
        </xdr:cNvPr>
        <xdr:cNvSpPr txBox="1"/>
      </xdr:nvSpPr>
      <xdr:spPr>
        <a:xfrm>
          <a:off x="3935095" y="8115936"/>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6</xdr:col>
      <xdr:colOff>55631</xdr:colOff>
      <xdr:row>51</xdr:row>
      <xdr:rowOff>3020</xdr:rowOff>
    </xdr:from>
    <xdr:ext cx="170704" cy="159929"/>
    <xdr:pic macro="[0]!pom04osoba_add">
      <xdr:nvPicPr>
        <xdr:cNvPr id="65" name="Grafika 64" descr="Odtwórz z wypełnieniem pełnym">
          <a:extLst>
            <a:ext uri="{FF2B5EF4-FFF2-40B4-BE49-F238E27FC236}">
              <a16:creationId xmlns:a16="http://schemas.microsoft.com/office/drawing/2014/main" id="{8DF8F8D6-E10B-4E9D-94CC-58939D07910C}"/>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3284278" y="8103408"/>
          <a:ext cx="159929" cy="170704"/>
        </a:xfrm>
        <a:prstGeom prst="rect">
          <a:avLst/>
        </a:prstGeom>
      </xdr:spPr>
    </xdr:pic>
    <xdr:clientData/>
  </xdr:oneCellAnchor>
  <xdr:oneCellAnchor>
    <xdr:from>
      <xdr:col>6</xdr:col>
      <xdr:colOff>402339</xdr:colOff>
      <xdr:row>51</xdr:row>
      <xdr:rowOff>22397</xdr:rowOff>
    </xdr:from>
    <xdr:ext cx="161179" cy="148202"/>
    <xdr:pic macro="[0]!pom04osoba_err">
      <xdr:nvPicPr>
        <xdr:cNvPr id="66" name="Grafika 65" descr="Odtwórz z wypełnieniem pełnym">
          <a:extLst>
            <a:ext uri="{FF2B5EF4-FFF2-40B4-BE49-F238E27FC236}">
              <a16:creationId xmlns:a16="http://schemas.microsoft.com/office/drawing/2014/main" id="{E5D5659B-2084-4B72-B379-1F77C5F897D9}"/>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3624468" y="8117873"/>
          <a:ext cx="148202" cy="161179"/>
        </a:xfrm>
        <a:prstGeom prst="rect">
          <a:avLst/>
        </a:prstGeom>
      </xdr:spPr>
    </xdr:pic>
    <xdr:clientData/>
  </xdr:oneCellAnchor>
  <xdr:twoCellAnchor>
    <xdr:from>
      <xdr:col>7</xdr:col>
      <xdr:colOff>107950</xdr:colOff>
      <xdr:row>57</xdr:row>
      <xdr:rowOff>8256</xdr:rowOff>
    </xdr:from>
    <xdr:to>
      <xdr:col>7</xdr:col>
      <xdr:colOff>513715</xdr:colOff>
      <xdr:row>57</xdr:row>
      <xdr:rowOff>171450</xdr:rowOff>
    </xdr:to>
    <xdr:sp macro="[0]!pom05osoba_auto" textlink="">
      <xdr:nvSpPr>
        <xdr:cNvPr id="67" name="pole tekstowe 66">
          <a:extLst>
            <a:ext uri="{FF2B5EF4-FFF2-40B4-BE49-F238E27FC236}">
              <a16:creationId xmlns:a16="http://schemas.microsoft.com/office/drawing/2014/main" id="{0E3BEDD1-2056-4657-A77C-A0EA654FE989}"/>
            </a:ext>
          </a:extLst>
        </xdr:cNvPr>
        <xdr:cNvSpPr txBox="1"/>
      </xdr:nvSpPr>
      <xdr:spPr>
        <a:xfrm>
          <a:off x="3935095" y="9201786"/>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6</xdr:col>
      <xdr:colOff>55631</xdr:colOff>
      <xdr:row>57</xdr:row>
      <xdr:rowOff>3020</xdr:rowOff>
    </xdr:from>
    <xdr:ext cx="170704" cy="159929"/>
    <xdr:pic macro="[0]!pom05osoba_add">
      <xdr:nvPicPr>
        <xdr:cNvPr id="68" name="Grafika 67" descr="Odtwórz z wypełnieniem pełnym">
          <a:extLst>
            <a:ext uri="{FF2B5EF4-FFF2-40B4-BE49-F238E27FC236}">
              <a16:creationId xmlns:a16="http://schemas.microsoft.com/office/drawing/2014/main" id="{D31D6AD3-DC19-43A5-A953-1830EE899BBE}"/>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3284278" y="9189258"/>
          <a:ext cx="159929" cy="170704"/>
        </a:xfrm>
        <a:prstGeom prst="rect">
          <a:avLst/>
        </a:prstGeom>
      </xdr:spPr>
    </xdr:pic>
    <xdr:clientData/>
  </xdr:oneCellAnchor>
  <xdr:oneCellAnchor>
    <xdr:from>
      <xdr:col>6</xdr:col>
      <xdr:colOff>402339</xdr:colOff>
      <xdr:row>57</xdr:row>
      <xdr:rowOff>22397</xdr:rowOff>
    </xdr:from>
    <xdr:ext cx="161179" cy="148202"/>
    <xdr:pic macro="[0]!pom05osoba_err">
      <xdr:nvPicPr>
        <xdr:cNvPr id="69" name="Grafika 68" descr="Odtwórz z wypełnieniem pełnym">
          <a:extLst>
            <a:ext uri="{FF2B5EF4-FFF2-40B4-BE49-F238E27FC236}">
              <a16:creationId xmlns:a16="http://schemas.microsoft.com/office/drawing/2014/main" id="{2B55FA5F-9162-410D-9E49-9D8408157E16}"/>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3624468" y="9203723"/>
          <a:ext cx="148202" cy="161179"/>
        </a:xfrm>
        <a:prstGeom prst="rect">
          <a:avLst/>
        </a:prstGeom>
      </xdr:spPr>
    </xdr:pic>
    <xdr:clientData/>
  </xdr:oneCellAnchor>
  <xdr:twoCellAnchor>
    <xdr:from>
      <xdr:col>7</xdr:col>
      <xdr:colOff>107950</xdr:colOff>
      <xdr:row>63</xdr:row>
      <xdr:rowOff>8256</xdr:rowOff>
    </xdr:from>
    <xdr:to>
      <xdr:col>7</xdr:col>
      <xdr:colOff>513715</xdr:colOff>
      <xdr:row>63</xdr:row>
      <xdr:rowOff>171450</xdr:rowOff>
    </xdr:to>
    <xdr:sp macro="[0]!pom06osoba_auto" textlink="">
      <xdr:nvSpPr>
        <xdr:cNvPr id="70" name="pole tekstowe 69">
          <a:extLst>
            <a:ext uri="{FF2B5EF4-FFF2-40B4-BE49-F238E27FC236}">
              <a16:creationId xmlns:a16="http://schemas.microsoft.com/office/drawing/2014/main" id="{5B069CB5-C2B0-4EC9-B6B9-D78F987D2662}"/>
            </a:ext>
          </a:extLst>
        </xdr:cNvPr>
        <xdr:cNvSpPr txBox="1"/>
      </xdr:nvSpPr>
      <xdr:spPr>
        <a:xfrm>
          <a:off x="3935095" y="10287636"/>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6</xdr:col>
      <xdr:colOff>55631</xdr:colOff>
      <xdr:row>63</xdr:row>
      <xdr:rowOff>3020</xdr:rowOff>
    </xdr:from>
    <xdr:ext cx="170704" cy="159929"/>
    <xdr:pic macro="[0]!pom06osoba_add">
      <xdr:nvPicPr>
        <xdr:cNvPr id="71" name="Grafika 70" descr="Odtwórz z wypełnieniem pełnym">
          <a:extLst>
            <a:ext uri="{FF2B5EF4-FFF2-40B4-BE49-F238E27FC236}">
              <a16:creationId xmlns:a16="http://schemas.microsoft.com/office/drawing/2014/main" id="{51881493-9B05-43CE-A796-1A53FBB23AA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3284278" y="10275108"/>
          <a:ext cx="159929" cy="170704"/>
        </a:xfrm>
        <a:prstGeom prst="rect">
          <a:avLst/>
        </a:prstGeom>
      </xdr:spPr>
    </xdr:pic>
    <xdr:clientData/>
  </xdr:oneCellAnchor>
  <xdr:oneCellAnchor>
    <xdr:from>
      <xdr:col>6</xdr:col>
      <xdr:colOff>402339</xdr:colOff>
      <xdr:row>63</xdr:row>
      <xdr:rowOff>22397</xdr:rowOff>
    </xdr:from>
    <xdr:ext cx="161179" cy="148202"/>
    <xdr:pic macro="[0]!pom06osoba_err">
      <xdr:nvPicPr>
        <xdr:cNvPr id="72" name="Grafika 71" descr="Odtwórz z wypełnieniem pełnym">
          <a:extLst>
            <a:ext uri="{FF2B5EF4-FFF2-40B4-BE49-F238E27FC236}">
              <a16:creationId xmlns:a16="http://schemas.microsoft.com/office/drawing/2014/main" id="{F95B5C3A-9234-4112-8771-51A1E7099563}"/>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3624468" y="10289573"/>
          <a:ext cx="148202" cy="161179"/>
        </a:xfrm>
        <a:prstGeom prst="rect">
          <a:avLst/>
        </a:prstGeom>
      </xdr:spPr>
    </xdr:pic>
    <xdr:clientData/>
  </xdr:oneCellAnchor>
  <xdr:oneCellAnchor>
    <xdr:from>
      <xdr:col>18</xdr:col>
      <xdr:colOff>230888</xdr:colOff>
      <xdr:row>67</xdr:row>
      <xdr:rowOff>7068</xdr:rowOff>
    </xdr:from>
    <xdr:ext cx="166894" cy="163739"/>
    <xdr:pic macro="[0]!pom07add_Click">
      <xdr:nvPicPr>
        <xdr:cNvPr id="73" name="Grafika 72" descr="Odtwórz z wypełnieniem pełnym">
          <a:extLst>
            <a:ext uri="{FF2B5EF4-FFF2-40B4-BE49-F238E27FC236}">
              <a16:creationId xmlns:a16="http://schemas.microsoft.com/office/drawing/2014/main" id="{0D8BD023-8EDC-475C-BB15-5B4FC19285A9}"/>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10767115" y="11008771"/>
          <a:ext cx="163739" cy="166894"/>
        </a:xfrm>
        <a:prstGeom prst="rect">
          <a:avLst/>
        </a:prstGeom>
      </xdr:spPr>
    </xdr:pic>
    <xdr:clientData/>
  </xdr:oneCellAnchor>
  <xdr:oneCellAnchor>
    <xdr:from>
      <xdr:col>18</xdr:col>
      <xdr:colOff>236603</xdr:colOff>
      <xdr:row>69</xdr:row>
      <xdr:rowOff>28346</xdr:rowOff>
    </xdr:from>
    <xdr:ext cx="164989" cy="144392"/>
    <xdr:pic macro="[0]!pom07err">
      <xdr:nvPicPr>
        <xdr:cNvPr id="74" name="Grafika 73" descr="Odtwórz z wypełnieniem pełnym">
          <a:extLst>
            <a:ext uri="{FF2B5EF4-FFF2-40B4-BE49-F238E27FC236}">
              <a16:creationId xmlns:a16="http://schemas.microsoft.com/office/drawing/2014/main" id="{2DEE195F-04E2-4314-8B50-F7CA1B00AD2C}"/>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10783457" y="11379467"/>
          <a:ext cx="144392" cy="164989"/>
        </a:xfrm>
        <a:prstGeom prst="rect">
          <a:avLst/>
        </a:prstGeom>
      </xdr:spPr>
    </xdr:pic>
    <xdr:clientData/>
  </xdr:oneCellAnchor>
  <xdr:twoCellAnchor>
    <xdr:from>
      <xdr:col>19</xdr:col>
      <xdr:colOff>107950</xdr:colOff>
      <xdr:row>69</xdr:row>
      <xdr:rowOff>8256</xdr:rowOff>
    </xdr:from>
    <xdr:to>
      <xdr:col>19</xdr:col>
      <xdr:colOff>513715</xdr:colOff>
      <xdr:row>69</xdr:row>
      <xdr:rowOff>171450</xdr:rowOff>
    </xdr:to>
    <xdr:sp macro="[0]!pom07auto" textlink="">
      <xdr:nvSpPr>
        <xdr:cNvPr id="76" name="pole tekstowe 75">
          <a:extLst>
            <a:ext uri="{FF2B5EF4-FFF2-40B4-BE49-F238E27FC236}">
              <a16:creationId xmlns:a16="http://schemas.microsoft.com/office/drawing/2014/main" id="{B36AF665-B247-4DB1-A5B5-2CBC9884752B}"/>
            </a:ext>
          </a:extLst>
        </xdr:cNvPr>
        <xdr:cNvSpPr txBox="1"/>
      </xdr:nvSpPr>
      <xdr:spPr>
        <a:xfrm>
          <a:off x="11250295" y="11373486"/>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twoCellAnchor>
    <xdr:from>
      <xdr:col>7</xdr:col>
      <xdr:colOff>107950</xdr:colOff>
      <xdr:row>69</xdr:row>
      <xdr:rowOff>8256</xdr:rowOff>
    </xdr:from>
    <xdr:to>
      <xdr:col>7</xdr:col>
      <xdr:colOff>513715</xdr:colOff>
      <xdr:row>69</xdr:row>
      <xdr:rowOff>171450</xdr:rowOff>
    </xdr:to>
    <xdr:sp macro="[0]!pom07osoba_auto" textlink="">
      <xdr:nvSpPr>
        <xdr:cNvPr id="77" name="pole tekstowe 76">
          <a:extLst>
            <a:ext uri="{FF2B5EF4-FFF2-40B4-BE49-F238E27FC236}">
              <a16:creationId xmlns:a16="http://schemas.microsoft.com/office/drawing/2014/main" id="{69AA636B-666F-46CE-A058-B941D9FDB1B5}"/>
            </a:ext>
          </a:extLst>
        </xdr:cNvPr>
        <xdr:cNvSpPr txBox="1"/>
      </xdr:nvSpPr>
      <xdr:spPr>
        <a:xfrm>
          <a:off x="3935095" y="11373486"/>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6</xdr:col>
      <xdr:colOff>55631</xdr:colOff>
      <xdr:row>69</xdr:row>
      <xdr:rowOff>3020</xdr:rowOff>
    </xdr:from>
    <xdr:ext cx="170704" cy="159929"/>
    <xdr:pic macro="[0]!pom07osoba_add">
      <xdr:nvPicPr>
        <xdr:cNvPr id="78" name="Grafika 77" descr="Odtwórz z wypełnieniem pełnym">
          <a:extLst>
            <a:ext uri="{FF2B5EF4-FFF2-40B4-BE49-F238E27FC236}">
              <a16:creationId xmlns:a16="http://schemas.microsoft.com/office/drawing/2014/main" id="{6D1DF0CF-A6E6-4AC6-B853-0B2AD4A05B7F}"/>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3284278" y="11360958"/>
          <a:ext cx="159929" cy="170704"/>
        </a:xfrm>
        <a:prstGeom prst="rect">
          <a:avLst/>
        </a:prstGeom>
      </xdr:spPr>
    </xdr:pic>
    <xdr:clientData/>
  </xdr:oneCellAnchor>
  <xdr:oneCellAnchor>
    <xdr:from>
      <xdr:col>6</xdr:col>
      <xdr:colOff>402339</xdr:colOff>
      <xdr:row>69</xdr:row>
      <xdr:rowOff>22397</xdr:rowOff>
    </xdr:from>
    <xdr:ext cx="161179" cy="148202"/>
    <xdr:pic macro="[0]!pom07osoba_err">
      <xdr:nvPicPr>
        <xdr:cNvPr id="79" name="Grafika 78" descr="Odtwórz z wypełnieniem pełnym">
          <a:extLst>
            <a:ext uri="{FF2B5EF4-FFF2-40B4-BE49-F238E27FC236}">
              <a16:creationId xmlns:a16="http://schemas.microsoft.com/office/drawing/2014/main" id="{C476D348-AD18-48AE-8D89-04FB2F3BA38F}"/>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3624468" y="11375423"/>
          <a:ext cx="148202" cy="161179"/>
        </a:xfrm>
        <a:prstGeom prst="rect">
          <a:avLst/>
        </a:prstGeom>
      </xdr:spPr>
    </xdr:pic>
    <xdr:clientData/>
  </xdr:oneCellAnchor>
  <xdr:oneCellAnchor>
    <xdr:from>
      <xdr:col>18</xdr:col>
      <xdr:colOff>230888</xdr:colOff>
      <xdr:row>73</xdr:row>
      <xdr:rowOff>7068</xdr:rowOff>
    </xdr:from>
    <xdr:ext cx="166894" cy="163739"/>
    <xdr:pic macro="[0]!pom08add_Click">
      <xdr:nvPicPr>
        <xdr:cNvPr id="80" name="Grafika 79" descr="Odtwórz z wypełnieniem pełnym">
          <a:extLst>
            <a:ext uri="{FF2B5EF4-FFF2-40B4-BE49-F238E27FC236}">
              <a16:creationId xmlns:a16="http://schemas.microsoft.com/office/drawing/2014/main" id="{6F934C69-7B66-42CE-BF75-3BDC41198148}"/>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10767115" y="12094621"/>
          <a:ext cx="163739" cy="166894"/>
        </a:xfrm>
        <a:prstGeom prst="rect">
          <a:avLst/>
        </a:prstGeom>
      </xdr:spPr>
    </xdr:pic>
    <xdr:clientData/>
  </xdr:oneCellAnchor>
  <xdr:oneCellAnchor>
    <xdr:from>
      <xdr:col>18</xdr:col>
      <xdr:colOff>236603</xdr:colOff>
      <xdr:row>75</xdr:row>
      <xdr:rowOff>28346</xdr:rowOff>
    </xdr:from>
    <xdr:ext cx="164989" cy="144392"/>
    <xdr:pic macro="[0]!pom08err">
      <xdr:nvPicPr>
        <xdr:cNvPr id="81" name="Grafika 80" descr="Odtwórz z wypełnieniem pełnym">
          <a:extLst>
            <a:ext uri="{FF2B5EF4-FFF2-40B4-BE49-F238E27FC236}">
              <a16:creationId xmlns:a16="http://schemas.microsoft.com/office/drawing/2014/main" id="{0415CDC1-32C7-4F4E-84D4-F1F0FD5C1C14}"/>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10783457" y="12465317"/>
          <a:ext cx="144392" cy="164989"/>
        </a:xfrm>
        <a:prstGeom prst="rect">
          <a:avLst/>
        </a:prstGeom>
      </xdr:spPr>
    </xdr:pic>
    <xdr:clientData/>
  </xdr:oneCellAnchor>
  <xdr:twoCellAnchor>
    <xdr:from>
      <xdr:col>19</xdr:col>
      <xdr:colOff>107950</xdr:colOff>
      <xdr:row>75</xdr:row>
      <xdr:rowOff>8256</xdr:rowOff>
    </xdr:from>
    <xdr:to>
      <xdr:col>19</xdr:col>
      <xdr:colOff>513715</xdr:colOff>
      <xdr:row>75</xdr:row>
      <xdr:rowOff>171450</xdr:rowOff>
    </xdr:to>
    <xdr:sp macro="[0]!pom08auto" textlink="">
      <xdr:nvSpPr>
        <xdr:cNvPr id="83" name="pole tekstowe 82">
          <a:extLst>
            <a:ext uri="{FF2B5EF4-FFF2-40B4-BE49-F238E27FC236}">
              <a16:creationId xmlns:a16="http://schemas.microsoft.com/office/drawing/2014/main" id="{E429A9A1-AC59-4D9D-8F0A-C6F917547190}"/>
            </a:ext>
          </a:extLst>
        </xdr:cNvPr>
        <xdr:cNvSpPr txBox="1"/>
      </xdr:nvSpPr>
      <xdr:spPr>
        <a:xfrm>
          <a:off x="11250295" y="12459336"/>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twoCellAnchor>
    <xdr:from>
      <xdr:col>7</xdr:col>
      <xdr:colOff>107950</xdr:colOff>
      <xdr:row>75</xdr:row>
      <xdr:rowOff>8256</xdr:rowOff>
    </xdr:from>
    <xdr:to>
      <xdr:col>7</xdr:col>
      <xdr:colOff>513715</xdr:colOff>
      <xdr:row>75</xdr:row>
      <xdr:rowOff>171450</xdr:rowOff>
    </xdr:to>
    <xdr:sp macro="[0]!pom08osoba_auto" textlink="">
      <xdr:nvSpPr>
        <xdr:cNvPr id="84" name="pole tekstowe 83">
          <a:extLst>
            <a:ext uri="{FF2B5EF4-FFF2-40B4-BE49-F238E27FC236}">
              <a16:creationId xmlns:a16="http://schemas.microsoft.com/office/drawing/2014/main" id="{BB5858BB-6D51-4BB6-817E-5F1B39B3B9C1}"/>
            </a:ext>
          </a:extLst>
        </xdr:cNvPr>
        <xdr:cNvSpPr txBox="1"/>
      </xdr:nvSpPr>
      <xdr:spPr>
        <a:xfrm>
          <a:off x="3935095" y="12459336"/>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6</xdr:col>
      <xdr:colOff>55631</xdr:colOff>
      <xdr:row>75</xdr:row>
      <xdr:rowOff>3020</xdr:rowOff>
    </xdr:from>
    <xdr:ext cx="170704" cy="159929"/>
    <xdr:pic macro="[0]!pom08osoba_add">
      <xdr:nvPicPr>
        <xdr:cNvPr id="85" name="Grafika 84" descr="Odtwórz z wypełnieniem pełnym">
          <a:extLst>
            <a:ext uri="{FF2B5EF4-FFF2-40B4-BE49-F238E27FC236}">
              <a16:creationId xmlns:a16="http://schemas.microsoft.com/office/drawing/2014/main" id="{BEECFD9C-F905-487F-B57A-F72721B1D791}"/>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3284278" y="12446808"/>
          <a:ext cx="159929" cy="170704"/>
        </a:xfrm>
        <a:prstGeom prst="rect">
          <a:avLst/>
        </a:prstGeom>
      </xdr:spPr>
    </xdr:pic>
    <xdr:clientData/>
  </xdr:oneCellAnchor>
  <xdr:oneCellAnchor>
    <xdr:from>
      <xdr:col>6</xdr:col>
      <xdr:colOff>402339</xdr:colOff>
      <xdr:row>75</xdr:row>
      <xdr:rowOff>22397</xdr:rowOff>
    </xdr:from>
    <xdr:ext cx="161179" cy="148202"/>
    <xdr:pic macro="[0]!pom08osoba_err">
      <xdr:nvPicPr>
        <xdr:cNvPr id="86" name="Grafika 85" descr="Odtwórz z wypełnieniem pełnym">
          <a:extLst>
            <a:ext uri="{FF2B5EF4-FFF2-40B4-BE49-F238E27FC236}">
              <a16:creationId xmlns:a16="http://schemas.microsoft.com/office/drawing/2014/main" id="{6E628A89-2806-45C3-ABC9-187D46593D1B}"/>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3624468" y="12461273"/>
          <a:ext cx="148202" cy="161179"/>
        </a:xfrm>
        <a:prstGeom prst="rect">
          <a:avLst/>
        </a:prstGeom>
      </xdr:spPr>
    </xdr:pic>
    <xdr:clientData/>
  </xdr:oneCellAnchor>
  <xdr:oneCellAnchor>
    <xdr:from>
      <xdr:col>18</xdr:col>
      <xdr:colOff>230888</xdr:colOff>
      <xdr:row>79</xdr:row>
      <xdr:rowOff>7068</xdr:rowOff>
    </xdr:from>
    <xdr:ext cx="166894" cy="163739"/>
    <xdr:pic macro="[0]!pom09add_Click">
      <xdr:nvPicPr>
        <xdr:cNvPr id="87" name="Grafika 86" descr="Odtwórz z wypełnieniem pełnym">
          <a:extLst>
            <a:ext uri="{FF2B5EF4-FFF2-40B4-BE49-F238E27FC236}">
              <a16:creationId xmlns:a16="http://schemas.microsoft.com/office/drawing/2014/main" id="{444EDFBC-F669-42BB-BFD7-7744987A8EB7}"/>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10767115" y="13180471"/>
          <a:ext cx="163739" cy="166894"/>
        </a:xfrm>
        <a:prstGeom prst="rect">
          <a:avLst/>
        </a:prstGeom>
      </xdr:spPr>
    </xdr:pic>
    <xdr:clientData/>
  </xdr:oneCellAnchor>
  <xdr:oneCellAnchor>
    <xdr:from>
      <xdr:col>18</xdr:col>
      <xdr:colOff>236603</xdr:colOff>
      <xdr:row>81</xdr:row>
      <xdr:rowOff>28346</xdr:rowOff>
    </xdr:from>
    <xdr:ext cx="164989" cy="144392"/>
    <xdr:pic macro="[0]!pom09err">
      <xdr:nvPicPr>
        <xdr:cNvPr id="88" name="Grafika 87" descr="Odtwórz z wypełnieniem pełnym">
          <a:extLst>
            <a:ext uri="{FF2B5EF4-FFF2-40B4-BE49-F238E27FC236}">
              <a16:creationId xmlns:a16="http://schemas.microsoft.com/office/drawing/2014/main" id="{F402EADD-4100-41BF-B332-8752C7699899}"/>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10783457" y="13551167"/>
          <a:ext cx="144392" cy="164989"/>
        </a:xfrm>
        <a:prstGeom prst="rect">
          <a:avLst/>
        </a:prstGeom>
      </xdr:spPr>
    </xdr:pic>
    <xdr:clientData/>
  </xdr:oneCellAnchor>
  <xdr:twoCellAnchor>
    <xdr:from>
      <xdr:col>19</xdr:col>
      <xdr:colOff>107950</xdr:colOff>
      <xdr:row>81</xdr:row>
      <xdr:rowOff>8256</xdr:rowOff>
    </xdr:from>
    <xdr:to>
      <xdr:col>19</xdr:col>
      <xdr:colOff>513715</xdr:colOff>
      <xdr:row>81</xdr:row>
      <xdr:rowOff>171450</xdr:rowOff>
    </xdr:to>
    <xdr:sp macro="[0]!pom09auto" textlink="">
      <xdr:nvSpPr>
        <xdr:cNvPr id="92" name="pole tekstowe 91">
          <a:extLst>
            <a:ext uri="{FF2B5EF4-FFF2-40B4-BE49-F238E27FC236}">
              <a16:creationId xmlns:a16="http://schemas.microsoft.com/office/drawing/2014/main" id="{D54A7768-9C57-4363-A1B1-70F174552A15}"/>
            </a:ext>
          </a:extLst>
        </xdr:cNvPr>
        <xdr:cNvSpPr txBox="1"/>
      </xdr:nvSpPr>
      <xdr:spPr>
        <a:xfrm>
          <a:off x="11250295" y="13545186"/>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twoCellAnchor>
    <xdr:from>
      <xdr:col>7</xdr:col>
      <xdr:colOff>107950</xdr:colOff>
      <xdr:row>81</xdr:row>
      <xdr:rowOff>8256</xdr:rowOff>
    </xdr:from>
    <xdr:to>
      <xdr:col>7</xdr:col>
      <xdr:colOff>513715</xdr:colOff>
      <xdr:row>81</xdr:row>
      <xdr:rowOff>171450</xdr:rowOff>
    </xdr:to>
    <xdr:sp macro="[0]!pom09osoba_auto" textlink="">
      <xdr:nvSpPr>
        <xdr:cNvPr id="93" name="pole tekstowe 92">
          <a:extLst>
            <a:ext uri="{FF2B5EF4-FFF2-40B4-BE49-F238E27FC236}">
              <a16:creationId xmlns:a16="http://schemas.microsoft.com/office/drawing/2014/main" id="{22ECAF60-C342-4145-A4BC-E1046A572571}"/>
            </a:ext>
          </a:extLst>
        </xdr:cNvPr>
        <xdr:cNvSpPr txBox="1"/>
      </xdr:nvSpPr>
      <xdr:spPr>
        <a:xfrm>
          <a:off x="3935095" y="13545186"/>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6</xdr:col>
      <xdr:colOff>55631</xdr:colOff>
      <xdr:row>81</xdr:row>
      <xdr:rowOff>3020</xdr:rowOff>
    </xdr:from>
    <xdr:ext cx="170704" cy="159929"/>
    <xdr:pic macro="[0]!pom09osoba_add">
      <xdr:nvPicPr>
        <xdr:cNvPr id="94" name="Grafika 93" descr="Odtwórz z wypełnieniem pełnym">
          <a:extLst>
            <a:ext uri="{FF2B5EF4-FFF2-40B4-BE49-F238E27FC236}">
              <a16:creationId xmlns:a16="http://schemas.microsoft.com/office/drawing/2014/main" id="{1F9A510F-B375-4A7C-AD9A-EA996E73E9A2}"/>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3284278" y="13532658"/>
          <a:ext cx="159929" cy="170704"/>
        </a:xfrm>
        <a:prstGeom prst="rect">
          <a:avLst/>
        </a:prstGeom>
      </xdr:spPr>
    </xdr:pic>
    <xdr:clientData/>
  </xdr:oneCellAnchor>
  <xdr:oneCellAnchor>
    <xdr:from>
      <xdr:col>6</xdr:col>
      <xdr:colOff>402339</xdr:colOff>
      <xdr:row>81</xdr:row>
      <xdr:rowOff>22397</xdr:rowOff>
    </xdr:from>
    <xdr:ext cx="161179" cy="148202"/>
    <xdr:pic macro="[0]!pom09osoba_err">
      <xdr:nvPicPr>
        <xdr:cNvPr id="96" name="Grafika 95" descr="Odtwórz z wypełnieniem pełnym">
          <a:extLst>
            <a:ext uri="{FF2B5EF4-FFF2-40B4-BE49-F238E27FC236}">
              <a16:creationId xmlns:a16="http://schemas.microsoft.com/office/drawing/2014/main" id="{34E1CF09-3D8C-4377-9503-F2DC8A893395}"/>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3624468" y="13547123"/>
          <a:ext cx="148202" cy="161179"/>
        </a:xfrm>
        <a:prstGeom prst="rect">
          <a:avLst/>
        </a:prstGeom>
      </xdr:spPr>
    </xdr:pic>
    <xdr:clientData/>
  </xdr:oneCellAnchor>
  <xdr:oneCellAnchor>
    <xdr:from>
      <xdr:col>18</xdr:col>
      <xdr:colOff>230888</xdr:colOff>
      <xdr:row>85</xdr:row>
      <xdr:rowOff>7068</xdr:rowOff>
    </xdr:from>
    <xdr:ext cx="166894" cy="163739"/>
    <xdr:pic macro="[0]!pom10add_Click">
      <xdr:nvPicPr>
        <xdr:cNvPr id="97" name="Grafika 96" descr="Odtwórz z wypełnieniem pełnym">
          <a:extLst>
            <a:ext uri="{FF2B5EF4-FFF2-40B4-BE49-F238E27FC236}">
              <a16:creationId xmlns:a16="http://schemas.microsoft.com/office/drawing/2014/main" id="{2CAE3C68-F37B-407A-95F4-DC0DAA831103}"/>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10767115" y="14266321"/>
          <a:ext cx="163739" cy="166894"/>
        </a:xfrm>
        <a:prstGeom prst="rect">
          <a:avLst/>
        </a:prstGeom>
      </xdr:spPr>
    </xdr:pic>
    <xdr:clientData/>
  </xdr:oneCellAnchor>
  <xdr:oneCellAnchor>
    <xdr:from>
      <xdr:col>18</xdr:col>
      <xdr:colOff>236603</xdr:colOff>
      <xdr:row>87</xdr:row>
      <xdr:rowOff>28346</xdr:rowOff>
    </xdr:from>
    <xdr:ext cx="164989" cy="144392"/>
    <xdr:pic macro="[0]!pom10err">
      <xdr:nvPicPr>
        <xdr:cNvPr id="98" name="Grafika 97" descr="Odtwórz z wypełnieniem pełnym">
          <a:extLst>
            <a:ext uri="{FF2B5EF4-FFF2-40B4-BE49-F238E27FC236}">
              <a16:creationId xmlns:a16="http://schemas.microsoft.com/office/drawing/2014/main" id="{7D7143B4-FD5B-4FF5-B407-25EFE6D797F3}"/>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10783457" y="14637017"/>
          <a:ext cx="144392" cy="164989"/>
        </a:xfrm>
        <a:prstGeom prst="rect">
          <a:avLst/>
        </a:prstGeom>
      </xdr:spPr>
    </xdr:pic>
    <xdr:clientData/>
  </xdr:oneCellAnchor>
  <xdr:twoCellAnchor>
    <xdr:from>
      <xdr:col>19</xdr:col>
      <xdr:colOff>107950</xdr:colOff>
      <xdr:row>87</xdr:row>
      <xdr:rowOff>8256</xdr:rowOff>
    </xdr:from>
    <xdr:to>
      <xdr:col>19</xdr:col>
      <xdr:colOff>513715</xdr:colOff>
      <xdr:row>87</xdr:row>
      <xdr:rowOff>171450</xdr:rowOff>
    </xdr:to>
    <xdr:sp macro="[0]!pom10auto" textlink="">
      <xdr:nvSpPr>
        <xdr:cNvPr id="100" name="pole tekstowe 99">
          <a:extLst>
            <a:ext uri="{FF2B5EF4-FFF2-40B4-BE49-F238E27FC236}">
              <a16:creationId xmlns:a16="http://schemas.microsoft.com/office/drawing/2014/main" id="{C5AE716A-4583-4F06-BA9D-F38272C67F7C}"/>
            </a:ext>
          </a:extLst>
        </xdr:cNvPr>
        <xdr:cNvSpPr txBox="1"/>
      </xdr:nvSpPr>
      <xdr:spPr>
        <a:xfrm>
          <a:off x="11250295" y="14631036"/>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twoCellAnchor>
    <xdr:from>
      <xdr:col>7</xdr:col>
      <xdr:colOff>107950</xdr:colOff>
      <xdr:row>87</xdr:row>
      <xdr:rowOff>8256</xdr:rowOff>
    </xdr:from>
    <xdr:to>
      <xdr:col>7</xdr:col>
      <xdr:colOff>513715</xdr:colOff>
      <xdr:row>87</xdr:row>
      <xdr:rowOff>171450</xdr:rowOff>
    </xdr:to>
    <xdr:sp macro="[0]!pom10osoba_auto" textlink="">
      <xdr:nvSpPr>
        <xdr:cNvPr id="101" name="pole tekstowe 100">
          <a:extLst>
            <a:ext uri="{FF2B5EF4-FFF2-40B4-BE49-F238E27FC236}">
              <a16:creationId xmlns:a16="http://schemas.microsoft.com/office/drawing/2014/main" id="{F235C1DA-2BC3-4D4A-AD7E-7B0F983888A0}"/>
            </a:ext>
          </a:extLst>
        </xdr:cNvPr>
        <xdr:cNvSpPr txBox="1"/>
      </xdr:nvSpPr>
      <xdr:spPr>
        <a:xfrm>
          <a:off x="3935095" y="14631036"/>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6</xdr:col>
      <xdr:colOff>55631</xdr:colOff>
      <xdr:row>87</xdr:row>
      <xdr:rowOff>3020</xdr:rowOff>
    </xdr:from>
    <xdr:ext cx="170704" cy="159929"/>
    <xdr:pic macro="[0]!pom10osoba_add">
      <xdr:nvPicPr>
        <xdr:cNvPr id="102" name="Grafika 101" descr="Odtwórz z wypełnieniem pełnym">
          <a:extLst>
            <a:ext uri="{FF2B5EF4-FFF2-40B4-BE49-F238E27FC236}">
              <a16:creationId xmlns:a16="http://schemas.microsoft.com/office/drawing/2014/main" id="{8F9FEC94-0DCF-45A2-BAA2-311FFE1E3FCD}"/>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3284278" y="14618508"/>
          <a:ext cx="159929" cy="170704"/>
        </a:xfrm>
        <a:prstGeom prst="rect">
          <a:avLst/>
        </a:prstGeom>
      </xdr:spPr>
    </xdr:pic>
    <xdr:clientData/>
  </xdr:oneCellAnchor>
  <xdr:oneCellAnchor>
    <xdr:from>
      <xdr:col>6</xdr:col>
      <xdr:colOff>402339</xdr:colOff>
      <xdr:row>87</xdr:row>
      <xdr:rowOff>22397</xdr:rowOff>
    </xdr:from>
    <xdr:ext cx="161179" cy="148202"/>
    <xdr:pic macro="[0]!pom10osoba_err">
      <xdr:nvPicPr>
        <xdr:cNvPr id="103" name="Grafika 102" descr="Odtwórz z wypełnieniem pełnym">
          <a:extLst>
            <a:ext uri="{FF2B5EF4-FFF2-40B4-BE49-F238E27FC236}">
              <a16:creationId xmlns:a16="http://schemas.microsoft.com/office/drawing/2014/main" id="{E52BEB28-0774-40A7-90A6-3EBE4D57A08E}"/>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3624468" y="14632973"/>
          <a:ext cx="148202" cy="161179"/>
        </a:xfrm>
        <a:prstGeom prst="rect">
          <a:avLst/>
        </a:prstGeom>
      </xdr:spPr>
    </xdr:pic>
    <xdr:clientData/>
  </xdr:oneCellAnchor>
  <xdr:oneCellAnchor>
    <xdr:from>
      <xdr:col>18</xdr:col>
      <xdr:colOff>230888</xdr:colOff>
      <xdr:row>91</xdr:row>
      <xdr:rowOff>7068</xdr:rowOff>
    </xdr:from>
    <xdr:ext cx="166894" cy="163739"/>
    <xdr:pic macro="[0]!pom11add_Click">
      <xdr:nvPicPr>
        <xdr:cNvPr id="104" name="Grafika 103" descr="Odtwórz z wypełnieniem pełnym">
          <a:extLst>
            <a:ext uri="{FF2B5EF4-FFF2-40B4-BE49-F238E27FC236}">
              <a16:creationId xmlns:a16="http://schemas.microsoft.com/office/drawing/2014/main" id="{283D4C91-2A1D-4F00-8038-531ABCFECEA4}"/>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10730136" y="13398762"/>
          <a:ext cx="163739" cy="166894"/>
        </a:xfrm>
        <a:prstGeom prst="rect">
          <a:avLst/>
        </a:prstGeom>
      </xdr:spPr>
    </xdr:pic>
    <xdr:clientData/>
  </xdr:oneCellAnchor>
  <xdr:oneCellAnchor>
    <xdr:from>
      <xdr:col>18</xdr:col>
      <xdr:colOff>236603</xdr:colOff>
      <xdr:row>93</xdr:row>
      <xdr:rowOff>28346</xdr:rowOff>
    </xdr:from>
    <xdr:ext cx="164989" cy="144392"/>
    <xdr:pic macro="[0]!pom11err">
      <xdr:nvPicPr>
        <xdr:cNvPr id="105" name="Grafika 104" descr="Odtwórz z wypełnieniem pełnym">
          <a:extLst>
            <a:ext uri="{FF2B5EF4-FFF2-40B4-BE49-F238E27FC236}">
              <a16:creationId xmlns:a16="http://schemas.microsoft.com/office/drawing/2014/main" id="{D304A437-BD33-40CE-9344-B85916BF6AA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10744573" y="13769906"/>
          <a:ext cx="144392" cy="164989"/>
        </a:xfrm>
        <a:prstGeom prst="rect">
          <a:avLst/>
        </a:prstGeom>
      </xdr:spPr>
    </xdr:pic>
    <xdr:clientData/>
  </xdr:oneCellAnchor>
  <xdr:twoCellAnchor>
    <xdr:from>
      <xdr:col>19</xdr:col>
      <xdr:colOff>107950</xdr:colOff>
      <xdr:row>93</xdr:row>
      <xdr:rowOff>8256</xdr:rowOff>
    </xdr:from>
    <xdr:to>
      <xdr:col>19</xdr:col>
      <xdr:colOff>513715</xdr:colOff>
      <xdr:row>93</xdr:row>
      <xdr:rowOff>171450</xdr:rowOff>
    </xdr:to>
    <xdr:sp macro="[0]!pom11auto" textlink="">
      <xdr:nvSpPr>
        <xdr:cNvPr id="107" name="pole tekstowe 106">
          <a:extLst>
            <a:ext uri="{FF2B5EF4-FFF2-40B4-BE49-F238E27FC236}">
              <a16:creationId xmlns:a16="http://schemas.microsoft.com/office/drawing/2014/main" id="{7EBFECD1-9C55-4CD9-A5F8-13A9652DC1C2}"/>
            </a:ext>
          </a:extLst>
        </xdr:cNvPr>
        <xdr:cNvSpPr txBox="1"/>
      </xdr:nvSpPr>
      <xdr:spPr>
        <a:xfrm>
          <a:off x="11215221" y="13760115"/>
          <a:ext cx="405765" cy="163194"/>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twoCellAnchor>
    <xdr:from>
      <xdr:col>7</xdr:col>
      <xdr:colOff>107950</xdr:colOff>
      <xdr:row>93</xdr:row>
      <xdr:rowOff>8256</xdr:rowOff>
    </xdr:from>
    <xdr:to>
      <xdr:col>7</xdr:col>
      <xdr:colOff>513715</xdr:colOff>
      <xdr:row>93</xdr:row>
      <xdr:rowOff>171450</xdr:rowOff>
    </xdr:to>
    <xdr:sp macro="[0]!pom11osoba_auto" textlink="">
      <xdr:nvSpPr>
        <xdr:cNvPr id="108" name="pole tekstowe 107">
          <a:extLst>
            <a:ext uri="{FF2B5EF4-FFF2-40B4-BE49-F238E27FC236}">
              <a16:creationId xmlns:a16="http://schemas.microsoft.com/office/drawing/2014/main" id="{9A1C4814-0DF8-4FF2-9FC8-272D62523FF8}"/>
            </a:ext>
          </a:extLst>
        </xdr:cNvPr>
        <xdr:cNvSpPr txBox="1"/>
      </xdr:nvSpPr>
      <xdr:spPr>
        <a:xfrm>
          <a:off x="3900021" y="13760115"/>
          <a:ext cx="405765" cy="163194"/>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6</xdr:col>
      <xdr:colOff>55631</xdr:colOff>
      <xdr:row>93</xdr:row>
      <xdr:rowOff>3020</xdr:rowOff>
    </xdr:from>
    <xdr:ext cx="170704" cy="159929"/>
    <xdr:pic macro="[0]!pom11osoba_add">
      <xdr:nvPicPr>
        <xdr:cNvPr id="109" name="Grafika 108" descr="Odtwórz z wypełnieniem pełnym">
          <a:extLst>
            <a:ext uri="{FF2B5EF4-FFF2-40B4-BE49-F238E27FC236}">
              <a16:creationId xmlns:a16="http://schemas.microsoft.com/office/drawing/2014/main" id="{EB3B3D47-198C-4161-8980-FCE2E6559C5C}"/>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3243489" y="13749492"/>
          <a:ext cx="159929" cy="170704"/>
        </a:xfrm>
        <a:prstGeom prst="rect">
          <a:avLst/>
        </a:prstGeom>
      </xdr:spPr>
    </xdr:pic>
    <xdr:clientData/>
  </xdr:oneCellAnchor>
  <xdr:oneCellAnchor>
    <xdr:from>
      <xdr:col>6</xdr:col>
      <xdr:colOff>402339</xdr:colOff>
      <xdr:row>93</xdr:row>
      <xdr:rowOff>22397</xdr:rowOff>
    </xdr:from>
    <xdr:ext cx="161179" cy="148202"/>
    <xdr:pic macro="[0]!pom11osoba_err">
      <xdr:nvPicPr>
        <xdr:cNvPr id="110" name="Grafika 109" descr="Odtwórz z wypełnieniem pełnym">
          <a:extLst>
            <a:ext uri="{FF2B5EF4-FFF2-40B4-BE49-F238E27FC236}">
              <a16:creationId xmlns:a16="http://schemas.microsoft.com/office/drawing/2014/main" id="{75CC623F-3513-4E29-A149-A3DF4EE7B456}"/>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3591299" y="13767767"/>
          <a:ext cx="148202" cy="161179"/>
        </a:xfrm>
        <a:prstGeom prst="rect">
          <a:avLst/>
        </a:prstGeom>
      </xdr:spPr>
    </xdr:pic>
    <xdr:clientData/>
  </xdr:oneCellAnchor>
  <xdr:oneCellAnchor>
    <xdr:from>
      <xdr:col>18</xdr:col>
      <xdr:colOff>230888</xdr:colOff>
      <xdr:row>97</xdr:row>
      <xdr:rowOff>7068</xdr:rowOff>
    </xdr:from>
    <xdr:ext cx="166894" cy="163739"/>
    <xdr:pic macro="[0]!pom12add_Click">
      <xdr:nvPicPr>
        <xdr:cNvPr id="111" name="Grafika 110" descr="Odtwórz z wypełnieniem pełnym">
          <a:extLst>
            <a:ext uri="{FF2B5EF4-FFF2-40B4-BE49-F238E27FC236}">
              <a16:creationId xmlns:a16="http://schemas.microsoft.com/office/drawing/2014/main" id="{640548BC-575D-4422-98DC-B480B97D0484}"/>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10730136" y="14295232"/>
          <a:ext cx="163739" cy="166894"/>
        </a:xfrm>
        <a:prstGeom prst="rect">
          <a:avLst/>
        </a:prstGeom>
      </xdr:spPr>
    </xdr:pic>
    <xdr:clientData/>
  </xdr:oneCellAnchor>
  <xdr:oneCellAnchor>
    <xdr:from>
      <xdr:col>18</xdr:col>
      <xdr:colOff>236603</xdr:colOff>
      <xdr:row>99</xdr:row>
      <xdr:rowOff>28346</xdr:rowOff>
    </xdr:from>
    <xdr:ext cx="164989" cy="144392"/>
    <xdr:pic macro="[0]!pom12err">
      <xdr:nvPicPr>
        <xdr:cNvPr id="112" name="Grafika 111" descr="Odtwórz z wypełnieniem pełnym">
          <a:extLst>
            <a:ext uri="{FF2B5EF4-FFF2-40B4-BE49-F238E27FC236}">
              <a16:creationId xmlns:a16="http://schemas.microsoft.com/office/drawing/2014/main" id="{239895CA-6729-4D02-A784-BA8592A80D61}"/>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10744573" y="14666376"/>
          <a:ext cx="144392" cy="164989"/>
        </a:xfrm>
        <a:prstGeom prst="rect">
          <a:avLst/>
        </a:prstGeom>
      </xdr:spPr>
    </xdr:pic>
    <xdr:clientData/>
  </xdr:oneCellAnchor>
  <xdr:twoCellAnchor>
    <xdr:from>
      <xdr:col>19</xdr:col>
      <xdr:colOff>107950</xdr:colOff>
      <xdr:row>99</xdr:row>
      <xdr:rowOff>8256</xdr:rowOff>
    </xdr:from>
    <xdr:to>
      <xdr:col>19</xdr:col>
      <xdr:colOff>513715</xdr:colOff>
      <xdr:row>99</xdr:row>
      <xdr:rowOff>171450</xdr:rowOff>
    </xdr:to>
    <xdr:sp macro="[0]!pom12auto" textlink="">
      <xdr:nvSpPr>
        <xdr:cNvPr id="114" name="pole tekstowe 113">
          <a:extLst>
            <a:ext uri="{FF2B5EF4-FFF2-40B4-BE49-F238E27FC236}">
              <a16:creationId xmlns:a16="http://schemas.microsoft.com/office/drawing/2014/main" id="{4737F9B2-2593-467B-A088-57A531749B08}"/>
            </a:ext>
          </a:extLst>
        </xdr:cNvPr>
        <xdr:cNvSpPr txBox="1"/>
      </xdr:nvSpPr>
      <xdr:spPr>
        <a:xfrm>
          <a:off x="11215221" y="14656585"/>
          <a:ext cx="405765" cy="163194"/>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twoCellAnchor>
    <xdr:from>
      <xdr:col>7</xdr:col>
      <xdr:colOff>107950</xdr:colOff>
      <xdr:row>99</xdr:row>
      <xdr:rowOff>8256</xdr:rowOff>
    </xdr:from>
    <xdr:to>
      <xdr:col>7</xdr:col>
      <xdr:colOff>513715</xdr:colOff>
      <xdr:row>99</xdr:row>
      <xdr:rowOff>171450</xdr:rowOff>
    </xdr:to>
    <xdr:sp macro="[0]!pom12osoba_auto" textlink="">
      <xdr:nvSpPr>
        <xdr:cNvPr id="115" name="pole tekstowe 114">
          <a:extLst>
            <a:ext uri="{FF2B5EF4-FFF2-40B4-BE49-F238E27FC236}">
              <a16:creationId xmlns:a16="http://schemas.microsoft.com/office/drawing/2014/main" id="{CDEA6306-AB18-4759-843E-9C54A4012548}"/>
            </a:ext>
          </a:extLst>
        </xdr:cNvPr>
        <xdr:cNvSpPr txBox="1"/>
      </xdr:nvSpPr>
      <xdr:spPr>
        <a:xfrm>
          <a:off x="3900021" y="14656585"/>
          <a:ext cx="405765" cy="163194"/>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6</xdr:col>
      <xdr:colOff>55631</xdr:colOff>
      <xdr:row>99</xdr:row>
      <xdr:rowOff>3020</xdr:rowOff>
    </xdr:from>
    <xdr:ext cx="170704" cy="159929"/>
    <xdr:pic macro="[0]!pom12osoba_add">
      <xdr:nvPicPr>
        <xdr:cNvPr id="116" name="Grafika 115" descr="Odtwórz z wypełnieniem pełnym">
          <a:extLst>
            <a:ext uri="{FF2B5EF4-FFF2-40B4-BE49-F238E27FC236}">
              <a16:creationId xmlns:a16="http://schemas.microsoft.com/office/drawing/2014/main" id="{0258A8B5-C0C6-46FE-8956-FBFDD7DC5FF8}"/>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3243489" y="14645962"/>
          <a:ext cx="159929" cy="170704"/>
        </a:xfrm>
        <a:prstGeom prst="rect">
          <a:avLst/>
        </a:prstGeom>
      </xdr:spPr>
    </xdr:pic>
    <xdr:clientData/>
  </xdr:oneCellAnchor>
  <xdr:oneCellAnchor>
    <xdr:from>
      <xdr:col>6</xdr:col>
      <xdr:colOff>402339</xdr:colOff>
      <xdr:row>99</xdr:row>
      <xdr:rowOff>22397</xdr:rowOff>
    </xdr:from>
    <xdr:ext cx="161179" cy="148202"/>
    <xdr:pic macro="[0]!pom12osoba_err">
      <xdr:nvPicPr>
        <xdr:cNvPr id="117" name="Grafika 116" descr="Odtwórz z wypełnieniem pełnym">
          <a:extLst>
            <a:ext uri="{FF2B5EF4-FFF2-40B4-BE49-F238E27FC236}">
              <a16:creationId xmlns:a16="http://schemas.microsoft.com/office/drawing/2014/main" id="{288AA724-972E-4A6C-BD68-38DF10EE0872}"/>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3591299" y="14664237"/>
          <a:ext cx="148202" cy="161179"/>
        </a:xfrm>
        <a:prstGeom prst="rect">
          <a:avLst/>
        </a:prstGeom>
      </xdr:spPr>
    </xdr:pic>
    <xdr:clientData/>
  </xdr:oneCellAnchor>
  <xdr:oneCellAnchor>
    <xdr:from>
      <xdr:col>18</xdr:col>
      <xdr:colOff>230888</xdr:colOff>
      <xdr:row>125</xdr:row>
      <xdr:rowOff>7068</xdr:rowOff>
    </xdr:from>
    <xdr:ext cx="170704" cy="159929"/>
    <xdr:pic macro="[0]!pom1_02add_Click">
      <xdr:nvPicPr>
        <xdr:cNvPr id="119" name="Grafika 118" descr="Odtwórz z wypełnieniem pełnym">
          <a:extLst>
            <a:ext uri="{FF2B5EF4-FFF2-40B4-BE49-F238E27FC236}">
              <a16:creationId xmlns:a16="http://schemas.microsoft.com/office/drawing/2014/main" id="{0A3B30AE-E805-4E6C-975D-AD0054C56B5C}"/>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10657746" y="6413351"/>
          <a:ext cx="159929" cy="170704"/>
        </a:xfrm>
        <a:prstGeom prst="rect">
          <a:avLst/>
        </a:prstGeom>
      </xdr:spPr>
    </xdr:pic>
    <xdr:clientData/>
  </xdr:oneCellAnchor>
  <xdr:oneCellAnchor>
    <xdr:from>
      <xdr:col>18</xdr:col>
      <xdr:colOff>236603</xdr:colOff>
      <xdr:row>127</xdr:row>
      <xdr:rowOff>28346</xdr:rowOff>
    </xdr:from>
    <xdr:ext cx="161179" cy="148202"/>
    <xdr:pic macro="[0]!pom1_02err">
      <xdr:nvPicPr>
        <xdr:cNvPr id="120" name="Grafika 119" descr="Odtwórz z wypełnieniem pełnym">
          <a:extLst>
            <a:ext uri="{FF2B5EF4-FFF2-40B4-BE49-F238E27FC236}">
              <a16:creationId xmlns:a16="http://schemas.microsoft.com/office/drawing/2014/main" id="{2ACDCDC1-7806-443D-AA7E-89FF8F3C2128}"/>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10666468" y="6788305"/>
          <a:ext cx="148202" cy="161179"/>
        </a:xfrm>
        <a:prstGeom prst="rect">
          <a:avLst/>
        </a:prstGeom>
      </xdr:spPr>
    </xdr:pic>
    <xdr:clientData/>
  </xdr:oneCellAnchor>
  <xdr:twoCellAnchor>
    <xdr:from>
      <xdr:col>19</xdr:col>
      <xdr:colOff>107950</xdr:colOff>
      <xdr:row>127</xdr:row>
      <xdr:rowOff>8256</xdr:rowOff>
    </xdr:from>
    <xdr:to>
      <xdr:col>19</xdr:col>
      <xdr:colOff>513715</xdr:colOff>
      <xdr:row>127</xdr:row>
      <xdr:rowOff>171450</xdr:rowOff>
    </xdr:to>
    <xdr:sp macro="[0]!pom1_02auto" textlink="">
      <xdr:nvSpPr>
        <xdr:cNvPr id="122" name="pole tekstowe 121">
          <a:extLst>
            <a:ext uri="{FF2B5EF4-FFF2-40B4-BE49-F238E27FC236}">
              <a16:creationId xmlns:a16="http://schemas.microsoft.com/office/drawing/2014/main" id="{FC0384D9-E591-4DF1-8920-C0EEABC446BC}"/>
            </a:ext>
          </a:extLst>
        </xdr:cNvPr>
        <xdr:cNvSpPr txBox="1"/>
      </xdr:nvSpPr>
      <xdr:spPr>
        <a:xfrm>
          <a:off x="11132633" y="6778514"/>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18</xdr:col>
      <xdr:colOff>230888</xdr:colOff>
      <xdr:row>120</xdr:row>
      <xdr:rowOff>7068</xdr:rowOff>
    </xdr:from>
    <xdr:ext cx="170704" cy="159929"/>
    <xdr:pic macro="[0]!pom1_01add_Click">
      <xdr:nvPicPr>
        <xdr:cNvPr id="123" name="Grafika 122" descr="Odtwórz z wypełnieniem pełnym">
          <a:extLst>
            <a:ext uri="{FF2B5EF4-FFF2-40B4-BE49-F238E27FC236}">
              <a16:creationId xmlns:a16="http://schemas.microsoft.com/office/drawing/2014/main" id="{3FBB7A65-AEA2-4A3D-8D18-EF3874FC3DAF}"/>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10657746" y="5528086"/>
          <a:ext cx="159929" cy="170704"/>
        </a:xfrm>
        <a:prstGeom prst="rect">
          <a:avLst/>
        </a:prstGeom>
      </xdr:spPr>
    </xdr:pic>
    <xdr:clientData/>
  </xdr:oneCellAnchor>
  <xdr:oneCellAnchor>
    <xdr:from>
      <xdr:col>18</xdr:col>
      <xdr:colOff>236603</xdr:colOff>
      <xdr:row>122</xdr:row>
      <xdr:rowOff>28346</xdr:rowOff>
    </xdr:from>
    <xdr:ext cx="161179" cy="148202"/>
    <xdr:pic macro="[0]!pom1_01err">
      <xdr:nvPicPr>
        <xdr:cNvPr id="124" name="Grafika 123" descr="Odtwórz z wypełnieniem pełnym">
          <a:extLst>
            <a:ext uri="{FF2B5EF4-FFF2-40B4-BE49-F238E27FC236}">
              <a16:creationId xmlns:a16="http://schemas.microsoft.com/office/drawing/2014/main" id="{01FCFEF8-07CD-417A-824C-3DD54BA635A1}"/>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10666468" y="5903040"/>
          <a:ext cx="148202" cy="161179"/>
        </a:xfrm>
        <a:prstGeom prst="rect">
          <a:avLst/>
        </a:prstGeom>
      </xdr:spPr>
    </xdr:pic>
    <xdr:clientData/>
  </xdr:oneCellAnchor>
  <xdr:twoCellAnchor>
    <xdr:from>
      <xdr:col>19</xdr:col>
      <xdr:colOff>107950</xdr:colOff>
      <xdr:row>122</xdr:row>
      <xdr:rowOff>8256</xdr:rowOff>
    </xdr:from>
    <xdr:to>
      <xdr:col>19</xdr:col>
      <xdr:colOff>513715</xdr:colOff>
      <xdr:row>122</xdr:row>
      <xdr:rowOff>171450</xdr:rowOff>
    </xdr:to>
    <xdr:sp macro="[0]!pom1_01auto" textlink="">
      <xdr:nvSpPr>
        <xdr:cNvPr id="126" name="pole tekstowe 125">
          <a:extLst>
            <a:ext uri="{FF2B5EF4-FFF2-40B4-BE49-F238E27FC236}">
              <a16:creationId xmlns:a16="http://schemas.microsoft.com/office/drawing/2014/main" id="{20129492-E08A-4A57-AA22-3F30F38BDB70}"/>
            </a:ext>
          </a:extLst>
        </xdr:cNvPr>
        <xdr:cNvSpPr txBox="1"/>
      </xdr:nvSpPr>
      <xdr:spPr>
        <a:xfrm>
          <a:off x="11132633" y="5893249"/>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18</xdr:col>
      <xdr:colOff>230888</xdr:colOff>
      <xdr:row>131</xdr:row>
      <xdr:rowOff>7068</xdr:rowOff>
    </xdr:from>
    <xdr:ext cx="166894" cy="163739"/>
    <xdr:pic macro="[0]!pom1_03add_Click">
      <xdr:nvPicPr>
        <xdr:cNvPr id="127" name="Grafika 126" descr="Odtwórz z wypełnieniem pełnym">
          <a:extLst>
            <a:ext uri="{FF2B5EF4-FFF2-40B4-BE49-F238E27FC236}">
              <a16:creationId xmlns:a16="http://schemas.microsoft.com/office/drawing/2014/main" id="{0B31299B-DE88-4056-8128-70EC7B87F746}"/>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10653936" y="7268808"/>
          <a:ext cx="163739" cy="166894"/>
        </a:xfrm>
        <a:prstGeom prst="rect">
          <a:avLst/>
        </a:prstGeom>
      </xdr:spPr>
    </xdr:pic>
    <xdr:clientData/>
  </xdr:oneCellAnchor>
  <xdr:oneCellAnchor>
    <xdr:from>
      <xdr:col>18</xdr:col>
      <xdr:colOff>236603</xdr:colOff>
      <xdr:row>133</xdr:row>
      <xdr:rowOff>28346</xdr:rowOff>
    </xdr:from>
    <xdr:ext cx="164989" cy="144392"/>
    <xdr:pic macro="[0]!pom1_03err">
      <xdr:nvPicPr>
        <xdr:cNvPr id="128" name="Grafika 127" descr="Odtwórz z wypełnieniem pełnym">
          <a:extLst>
            <a:ext uri="{FF2B5EF4-FFF2-40B4-BE49-F238E27FC236}">
              <a16:creationId xmlns:a16="http://schemas.microsoft.com/office/drawing/2014/main" id="{C32875B5-7B9E-4B61-9A33-5F9B02B92E71}"/>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10670278" y="7636142"/>
          <a:ext cx="144392" cy="164989"/>
        </a:xfrm>
        <a:prstGeom prst="rect">
          <a:avLst/>
        </a:prstGeom>
      </xdr:spPr>
    </xdr:pic>
    <xdr:clientData/>
  </xdr:oneCellAnchor>
  <xdr:twoCellAnchor>
    <xdr:from>
      <xdr:col>19</xdr:col>
      <xdr:colOff>107950</xdr:colOff>
      <xdr:row>133</xdr:row>
      <xdr:rowOff>8256</xdr:rowOff>
    </xdr:from>
    <xdr:to>
      <xdr:col>19</xdr:col>
      <xdr:colOff>513715</xdr:colOff>
      <xdr:row>133</xdr:row>
      <xdr:rowOff>171450</xdr:rowOff>
    </xdr:to>
    <xdr:sp macro="[0]!pom1_03auto" textlink="">
      <xdr:nvSpPr>
        <xdr:cNvPr id="130" name="pole tekstowe 129">
          <a:extLst>
            <a:ext uri="{FF2B5EF4-FFF2-40B4-BE49-F238E27FC236}">
              <a16:creationId xmlns:a16="http://schemas.microsoft.com/office/drawing/2014/main" id="{F7214694-0C7C-4B53-A2CD-6C6BD7B72F27}"/>
            </a:ext>
          </a:extLst>
        </xdr:cNvPr>
        <xdr:cNvSpPr txBox="1"/>
      </xdr:nvSpPr>
      <xdr:spPr>
        <a:xfrm>
          <a:off x="11132633" y="7630161"/>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18</xdr:col>
      <xdr:colOff>230888</xdr:colOff>
      <xdr:row>137</xdr:row>
      <xdr:rowOff>7068</xdr:rowOff>
    </xdr:from>
    <xdr:ext cx="166894" cy="163739"/>
    <xdr:pic macro="[0]!pom1_04add_Click">
      <xdr:nvPicPr>
        <xdr:cNvPr id="131" name="Grafika 130" descr="Odtwórz z wypełnieniem pełnym">
          <a:extLst>
            <a:ext uri="{FF2B5EF4-FFF2-40B4-BE49-F238E27FC236}">
              <a16:creationId xmlns:a16="http://schemas.microsoft.com/office/drawing/2014/main" id="{351D144E-6C1A-4FBE-B86E-0AFBDEDD3D9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10653936" y="8165278"/>
          <a:ext cx="163739" cy="166894"/>
        </a:xfrm>
        <a:prstGeom prst="rect">
          <a:avLst/>
        </a:prstGeom>
      </xdr:spPr>
    </xdr:pic>
    <xdr:clientData/>
  </xdr:oneCellAnchor>
  <xdr:oneCellAnchor>
    <xdr:from>
      <xdr:col>18</xdr:col>
      <xdr:colOff>236603</xdr:colOff>
      <xdr:row>139</xdr:row>
      <xdr:rowOff>28346</xdr:rowOff>
    </xdr:from>
    <xdr:ext cx="164989" cy="144392"/>
    <xdr:pic macro="[0]!pom1_04err">
      <xdr:nvPicPr>
        <xdr:cNvPr id="132" name="Grafika 131" descr="Odtwórz z wypełnieniem pełnym">
          <a:extLst>
            <a:ext uri="{FF2B5EF4-FFF2-40B4-BE49-F238E27FC236}">
              <a16:creationId xmlns:a16="http://schemas.microsoft.com/office/drawing/2014/main" id="{66862432-61AC-4842-BA4A-8A9E5D097A4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10670278" y="8532613"/>
          <a:ext cx="144392" cy="164989"/>
        </a:xfrm>
        <a:prstGeom prst="rect">
          <a:avLst/>
        </a:prstGeom>
      </xdr:spPr>
    </xdr:pic>
    <xdr:clientData/>
  </xdr:oneCellAnchor>
  <xdr:twoCellAnchor>
    <xdr:from>
      <xdr:col>19</xdr:col>
      <xdr:colOff>107950</xdr:colOff>
      <xdr:row>139</xdr:row>
      <xdr:rowOff>8256</xdr:rowOff>
    </xdr:from>
    <xdr:to>
      <xdr:col>19</xdr:col>
      <xdr:colOff>513715</xdr:colOff>
      <xdr:row>139</xdr:row>
      <xdr:rowOff>171450</xdr:rowOff>
    </xdr:to>
    <xdr:sp macro="[0]!pom1_04auto" textlink="">
      <xdr:nvSpPr>
        <xdr:cNvPr id="134" name="pole tekstowe 133">
          <a:extLst>
            <a:ext uri="{FF2B5EF4-FFF2-40B4-BE49-F238E27FC236}">
              <a16:creationId xmlns:a16="http://schemas.microsoft.com/office/drawing/2014/main" id="{C7AF42A3-F337-40BB-B950-2F553B869560}"/>
            </a:ext>
          </a:extLst>
        </xdr:cNvPr>
        <xdr:cNvSpPr txBox="1"/>
      </xdr:nvSpPr>
      <xdr:spPr>
        <a:xfrm>
          <a:off x="11132633" y="8526632"/>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18</xdr:col>
      <xdr:colOff>230888</xdr:colOff>
      <xdr:row>143</xdr:row>
      <xdr:rowOff>7068</xdr:rowOff>
    </xdr:from>
    <xdr:ext cx="166894" cy="163739"/>
    <xdr:pic macro="[0]!pom1_05add_Click">
      <xdr:nvPicPr>
        <xdr:cNvPr id="135" name="Grafika 134" descr="Odtwórz z wypełnieniem pełnym">
          <a:extLst>
            <a:ext uri="{FF2B5EF4-FFF2-40B4-BE49-F238E27FC236}">
              <a16:creationId xmlns:a16="http://schemas.microsoft.com/office/drawing/2014/main" id="{49F40ED0-7A69-43B5-B160-A523D20448B1}"/>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10653936" y="9050543"/>
          <a:ext cx="163739" cy="166894"/>
        </a:xfrm>
        <a:prstGeom prst="rect">
          <a:avLst/>
        </a:prstGeom>
      </xdr:spPr>
    </xdr:pic>
    <xdr:clientData/>
  </xdr:oneCellAnchor>
  <xdr:oneCellAnchor>
    <xdr:from>
      <xdr:col>18</xdr:col>
      <xdr:colOff>236603</xdr:colOff>
      <xdr:row>145</xdr:row>
      <xdr:rowOff>28346</xdr:rowOff>
    </xdr:from>
    <xdr:ext cx="164989" cy="144392"/>
    <xdr:pic macro="[0]!pom1_05err">
      <xdr:nvPicPr>
        <xdr:cNvPr id="136" name="Grafika 135" descr="Odtwórz z wypełnieniem pełnym">
          <a:extLst>
            <a:ext uri="{FF2B5EF4-FFF2-40B4-BE49-F238E27FC236}">
              <a16:creationId xmlns:a16="http://schemas.microsoft.com/office/drawing/2014/main" id="{A52CD2A8-7805-4B07-B5A6-CA6899839BDC}"/>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10670278" y="9417877"/>
          <a:ext cx="144392" cy="164989"/>
        </a:xfrm>
        <a:prstGeom prst="rect">
          <a:avLst/>
        </a:prstGeom>
      </xdr:spPr>
    </xdr:pic>
    <xdr:clientData/>
  </xdr:oneCellAnchor>
  <xdr:twoCellAnchor>
    <xdr:from>
      <xdr:col>19</xdr:col>
      <xdr:colOff>107950</xdr:colOff>
      <xdr:row>145</xdr:row>
      <xdr:rowOff>8256</xdr:rowOff>
    </xdr:from>
    <xdr:to>
      <xdr:col>19</xdr:col>
      <xdr:colOff>513715</xdr:colOff>
      <xdr:row>145</xdr:row>
      <xdr:rowOff>171450</xdr:rowOff>
    </xdr:to>
    <xdr:sp macro="[0]!pom1_05auto" textlink="">
      <xdr:nvSpPr>
        <xdr:cNvPr id="138" name="pole tekstowe 137">
          <a:extLst>
            <a:ext uri="{FF2B5EF4-FFF2-40B4-BE49-F238E27FC236}">
              <a16:creationId xmlns:a16="http://schemas.microsoft.com/office/drawing/2014/main" id="{6F7121C5-1B52-49CB-814B-2440EA337318}"/>
            </a:ext>
          </a:extLst>
        </xdr:cNvPr>
        <xdr:cNvSpPr txBox="1"/>
      </xdr:nvSpPr>
      <xdr:spPr>
        <a:xfrm>
          <a:off x="11132633" y="9411896"/>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twoCellAnchor>
    <xdr:from>
      <xdr:col>7</xdr:col>
      <xdr:colOff>107950</xdr:colOff>
      <xdr:row>122</xdr:row>
      <xdr:rowOff>8256</xdr:rowOff>
    </xdr:from>
    <xdr:to>
      <xdr:col>7</xdr:col>
      <xdr:colOff>513715</xdr:colOff>
      <xdr:row>122</xdr:row>
      <xdr:rowOff>171450</xdr:rowOff>
    </xdr:to>
    <xdr:sp macro="[0]!pom1_01osoba_auto" textlink="">
      <xdr:nvSpPr>
        <xdr:cNvPr id="139" name="pole tekstowe 138">
          <a:extLst>
            <a:ext uri="{FF2B5EF4-FFF2-40B4-BE49-F238E27FC236}">
              <a16:creationId xmlns:a16="http://schemas.microsoft.com/office/drawing/2014/main" id="{49D3C27D-543E-4181-8F7F-94C57F01456F}"/>
            </a:ext>
          </a:extLst>
        </xdr:cNvPr>
        <xdr:cNvSpPr txBox="1"/>
      </xdr:nvSpPr>
      <xdr:spPr>
        <a:xfrm>
          <a:off x="3871221" y="5893249"/>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6</xdr:col>
      <xdr:colOff>55631</xdr:colOff>
      <xdr:row>122</xdr:row>
      <xdr:rowOff>3020</xdr:rowOff>
    </xdr:from>
    <xdr:ext cx="170704" cy="159929"/>
    <xdr:pic macro="[0]!pom1_01osoba_add">
      <xdr:nvPicPr>
        <xdr:cNvPr id="140" name="Grafika 139" descr="Odtwórz z wypełnieniem pełnym">
          <a:extLst>
            <a:ext uri="{FF2B5EF4-FFF2-40B4-BE49-F238E27FC236}">
              <a16:creationId xmlns:a16="http://schemas.microsoft.com/office/drawing/2014/main" id="{42B3BAC7-FBA4-414B-BEB0-6669143E094E}"/>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3224887" y="5880721"/>
          <a:ext cx="159929" cy="170704"/>
        </a:xfrm>
        <a:prstGeom prst="rect">
          <a:avLst/>
        </a:prstGeom>
      </xdr:spPr>
    </xdr:pic>
    <xdr:clientData/>
  </xdr:oneCellAnchor>
  <xdr:oneCellAnchor>
    <xdr:from>
      <xdr:col>6</xdr:col>
      <xdr:colOff>402339</xdr:colOff>
      <xdr:row>122</xdr:row>
      <xdr:rowOff>22397</xdr:rowOff>
    </xdr:from>
    <xdr:ext cx="161179" cy="148202"/>
    <xdr:pic macro="[0]!pom1_01osoba_err">
      <xdr:nvPicPr>
        <xdr:cNvPr id="141" name="Grafika 140" descr="Odtwórz z wypełnieniem pełnym">
          <a:extLst>
            <a:ext uri="{FF2B5EF4-FFF2-40B4-BE49-F238E27FC236}">
              <a16:creationId xmlns:a16="http://schemas.microsoft.com/office/drawing/2014/main" id="{295266D2-A7E4-4F03-B5CB-88DA37EAF486}"/>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3565077" y="5895186"/>
          <a:ext cx="148202" cy="161179"/>
        </a:xfrm>
        <a:prstGeom prst="rect">
          <a:avLst/>
        </a:prstGeom>
      </xdr:spPr>
    </xdr:pic>
    <xdr:clientData/>
  </xdr:oneCellAnchor>
  <xdr:oneCellAnchor>
    <xdr:from>
      <xdr:col>18</xdr:col>
      <xdr:colOff>230888</xdr:colOff>
      <xdr:row>149</xdr:row>
      <xdr:rowOff>7068</xdr:rowOff>
    </xdr:from>
    <xdr:ext cx="166894" cy="163739"/>
    <xdr:pic macro="[0]!pom1_06add_Click">
      <xdr:nvPicPr>
        <xdr:cNvPr id="142" name="Grafika 141" descr="Odtwórz z wypełnieniem pełnym">
          <a:extLst>
            <a:ext uri="{FF2B5EF4-FFF2-40B4-BE49-F238E27FC236}">
              <a16:creationId xmlns:a16="http://schemas.microsoft.com/office/drawing/2014/main" id="{C688ABEC-63A6-4205-B57D-383B3513B057}"/>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10653936" y="9868572"/>
          <a:ext cx="163739" cy="166894"/>
        </a:xfrm>
        <a:prstGeom prst="rect">
          <a:avLst/>
        </a:prstGeom>
      </xdr:spPr>
    </xdr:pic>
    <xdr:clientData/>
  </xdr:oneCellAnchor>
  <xdr:oneCellAnchor>
    <xdr:from>
      <xdr:col>18</xdr:col>
      <xdr:colOff>236603</xdr:colOff>
      <xdr:row>151</xdr:row>
      <xdr:rowOff>28346</xdr:rowOff>
    </xdr:from>
    <xdr:ext cx="164989" cy="144392"/>
    <xdr:pic macro="[0]!pom1_06err">
      <xdr:nvPicPr>
        <xdr:cNvPr id="143" name="Grafika 142" descr="Odtwórz z wypełnieniem pełnym">
          <a:extLst>
            <a:ext uri="{FF2B5EF4-FFF2-40B4-BE49-F238E27FC236}">
              <a16:creationId xmlns:a16="http://schemas.microsoft.com/office/drawing/2014/main" id="{2D8A730B-772D-42FB-9080-BA23A8C2AC59}"/>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10670278" y="10235907"/>
          <a:ext cx="144392" cy="164989"/>
        </a:xfrm>
        <a:prstGeom prst="rect">
          <a:avLst/>
        </a:prstGeom>
      </xdr:spPr>
    </xdr:pic>
    <xdr:clientData/>
  </xdr:oneCellAnchor>
  <xdr:twoCellAnchor>
    <xdr:from>
      <xdr:col>19</xdr:col>
      <xdr:colOff>107950</xdr:colOff>
      <xdr:row>151</xdr:row>
      <xdr:rowOff>8256</xdr:rowOff>
    </xdr:from>
    <xdr:to>
      <xdr:col>19</xdr:col>
      <xdr:colOff>513715</xdr:colOff>
      <xdr:row>151</xdr:row>
      <xdr:rowOff>171450</xdr:rowOff>
    </xdr:to>
    <xdr:sp macro="[0]!pom1_06auto" textlink="">
      <xdr:nvSpPr>
        <xdr:cNvPr id="145" name="pole tekstowe 144">
          <a:extLst>
            <a:ext uri="{FF2B5EF4-FFF2-40B4-BE49-F238E27FC236}">
              <a16:creationId xmlns:a16="http://schemas.microsoft.com/office/drawing/2014/main" id="{3E854E5B-7AFE-49AF-983D-CBA2C2891C6C}"/>
            </a:ext>
          </a:extLst>
        </xdr:cNvPr>
        <xdr:cNvSpPr txBox="1"/>
      </xdr:nvSpPr>
      <xdr:spPr>
        <a:xfrm>
          <a:off x="11132633" y="10229926"/>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twoCellAnchor>
    <xdr:from>
      <xdr:col>7</xdr:col>
      <xdr:colOff>107950</xdr:colOff>
      <xdr:row>127</xdr:row>
      <xdr:rowOff>8256</xdr:rowOff>
    </xdr:from>
    <xdr:to>
      <xdr:col>7</xdr:col>
      <xdr:colOff>513715</xdr:colOff>
      <xdr:row>127</xdr:row>
      <xdr:rowOff>171450</xdr:rowOff>
    </xdr:to>
    <xdr:sp macro="[0]!pom1_02osoba_auto" textlink="">
      <xdr:nvSpPr>
        <xdr:cNvPr id="146" name="pole tekstowe 145">
          <a:extLst>
            <a:ext uri="{FF2B5EF4-FFF2-40B4-BE49-F238E27FC236}">
              <a16:creationId xmlns:a16="http://schemas.microsoft.com/office/drawing/2014/main" id="{6C6A023B-BB21-43E8-97E2-8A869B55934E}"/>
            </a:ext>
          </a:extLst>
        </xdr:cNvPr>
        <xdr:cNvSpPr txBox="1"/>
      </xdr:nvSpPr>
      <xdr:spPr>
        <a:xfrm>
          <a:off x="3871221" y="6778514"/>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6</xdr:col>
      <xdr:colOff>55631</xdr:colOff>
      <xdr:row>127</xdr:row>
      <xdr:rowOff>3020</xdr:rowOff>
    </xdr:from>
    <xdr:ext cx="170704" cy="159929"/>
    <xdr:pic macro="[0]!pom1_02osoba_add">
      <xdr:nvPicPr>
        <xdr:cNvPr id="147" name="Grafika 146" descr="Odtwórz z wypełnieniem pełnym">
          <a:extLst>
            <a:ext uri="{FF2B5EF4-FFF2-40B4-BE49-F238E27FC236}">
              <a16:creationId xmlns:a16="http://schemas.microsoft.com/office/drawing/2014/main" id="{28FA4EF4-8718-4E76-8355-178883FCD1C3}"/>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3224887" y="6765986"/>
          <a:ext cx="159929" cy="170704"/>
        </a:xfrm>
        <a:prstGeom prst="rect">
          <a:avLst/>
        </a:prstGeom>
      </xdr:spPr>
    </xdr:pic>
    <xdr:clientData/>
  </xdr:oneCellAnchor>
  <xdr:oneCellAnchor>
    <xdr:from>
      <xdr:col>6</xdr:col>
      <xdr:colOff>402339</xdr:colOff>
      <xdr:row>127</xdr:row>
      <xdr:rowOff>22397</xdr:rowOff>
    </xdr:from>
    <xdr:ext cx="161179" cy="148202"/>
    <xdr:pic macro="[0]!pom1_02osoba_err">
      <xdr:nvPicPr>
        <xdr:cNvPr id="148" name="Grafika 147" descr="Odtwórz z wypełnieniem pełnym">
          <a:extLst>
            <a:ext uri="{FF2B5EF4-FFF2-40B4-BE49-F238E27FC236}">
              <a16:creationId xmlns:a16="http://schemas.microsoft.com/office/drawing/2014/main" id="{8A637B78-6F4E-49D2-99D1-22199A1B95D7}"/>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3565077" y="6780451"/>
          <a:ext cx="148202" cy="161179"/>
        </a:xfrm>
        <a:prstGeom prst="rect">
          <a:avLst/>
        </a:prstGeom>
      </xdr:spPr>
    </xdr:pic>
    <xdr:clientData/>
  </xdr:oneCellAnchor>
  <xdr:twoCellAnchor>
    <xdr:from>
      <xdr:col>7</xdr:col>
      <xdr:colOff>107950</xdr:colOff>
      <xdr:row>133</xdr:row>
      <xdr:rowOff>8256</xdr:rowOff>
    </xdr:from>
    <xdr:to>
      <xdr:col>7</xdr:col>
      <xdr:colOff>513715</xdr:colOff>
      <xdr:row>133</xdr:row>
      <xdr:rowOff>171450</xdr:rowOff>
    </xdr:to>
    <xdr:sp macro="[0]!pom1_03osoba_auto" textlink="">
      <xdr:nvSpPr>
        <xdr:cNvPr id="149" name="pole tekstowe 148">
          <a:extLst>
            <a:ext uri="{FF2B5EF4-FFF2-40B4-BE49-F238E27FC236}">
              <a16:creationId xmlns:a16="http://schemas.microsoft.com/office/drawing/2014/main" id="{0191B840-555B-4FF7-BEA6-2BDD88B48F32}"/>
            </a:ext>
          </a:extLst>
        </xdr:cNvPr>
        <xdr:cNvSpPr txBox="1"/>
      </xdr:nvSpPr>
      <xdr:spPr>
        <a:xfrm>
          <a:off x="3871221" y="7630161"/>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6</xdr:col>
      <xdr:colOff>55631</xdr:colOff>
      <xdr:row>133</xdr:row>
      <xdr:rowOff>3020</xdr:rowOff>
    </xdr:from>
    <xdr:ext cx="170704" cy="159929"/>
    <xdr:pic macro="[0]!pom1_03osoba_add">
      <xdr:nvPicPr>
        <xdr:cNvPr id="150" name="Grafika 149" descr="Odtwórz z wypełnieniem pełnym">
          <a:extLst>
            <a:ext uri="{FF2B5EF4-FFF2-40B4-BE49-F238E27FC236}">
              <a16:creationId xmlns:a16="http://schemas.microsoft.com/office/drawing/2014/main" id="{32671430-4B92-4FFC-8EE7-9FD66988EC5F}"/>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3224887" y="7617633"/>
          <a:ext cx="159929" cy="170704"/>
        </a:xfrm>
        <a:prstGeom prst="rect">
          <a:avLst/>
        </a:prstGeom>
      </xdr:spPr>
    </xdr:pic>
    <xdr:clientData/>
  </xdr:oneCellAnchor>
  <xdr:oneCellAnchor>
    <xdr:from>
      <xdr:col>6</xdr:col>
      <xdr:colOff>402339</xdr:colOff>
      <xdr:row>133</xdr:row>
      <xdr:rowOff>22397</xdr:rowOff>
    </xdr:from>
    <xdr:ext cx="161179" cy="148202"/>
    <xdr:pic macro="[0]!pom1_03osoba_err">
      <xdr:nvPicPr>
        <xdr:cNvPr id="151" name="Grafika 150" descr="Odtwórz z wypełnieniem pełnym">
          <a:extLst>
            <a:ext uri="{FF2B5EF4-FFF2-40B4-BE49-F238E27FC236}">
              <a16:creationId xmlns:a16="http://schemas.microsoft.com/office/drawing/2014/main" id="{F5F22ACD-E7C5-4E92-8023-A550795C9996}"/>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3565077" y="7632098"/>
          <a:ext cx="148202" cy="161179"/>
        </a:xfrm>
        <a:prstGeom prst="rect">
          <a:avLst/>
        </a:prstGeom>
      </xdr:spPr>
    </xdr:pic>
    <xdr:clientData/>
  </xdr:oneCellAnchor>
  <xdr:twoCellAnchor>
    <xdr:from>
      <xdr:col>7</xdr:col>
      <xdr:colOff>107950</xdr:colOff>
      <xdr:row>139</xdr:row>
      <xdr:rowOff>8256</xdr:rowOff>
    </xdr:from>
    <xdr:to>
      <xdr:col>7</xdr:col>
      <xdr:colOff>513715</xdr:colOff>
      <xdr:row>139</xdr:row>
      <xdr:rowOff>171450</xdr:rowOff>
    </xdr:to>
    <xdr:sp macro="[0]!pom1_04osoba_auto" textlink="">
      <xdr:nvSpPr>
        <xdr:cNvPr id="152" name="pole tekstowe 151">
          <a:extLst>
            <a:ext uri="{FF2B5EF4-FFF2-40B4-BE49-F238E27FC236}">
              <a16:creationId xmlns:a16="http://schemas.microsoft.com/office/drawing/2014/main" id="{6C348CE8-FE18-43E4-A50A-7A06095892CC}"/>
            </a:ext>
          </a:extLst>
        </xdr:cNvPr>
        <xdr:cNvSpPr txBox="1"/>
      </xdr:nvSpPr>
      <xdr:spPr>
        <a:xfrm>
          <a:off x="3871221" y="8526632"/>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6</xdr:col>
      <xdr:colOff>55631</xdr:colOff>
      <xdr:row>139</xdr:row>
      <xdr:rowOff>3020</xdr:rowOff>
    </xdr:from>
    <xdr:ext cx="170704" cy="159929"/>
    <xdr:pic macro="[0]!pom1_04osoba_add">
      <xdr:nvPicPr>
        <xdr:cNvPr id="153" name="Grafika 152" descr="Odtwórz z wypełnieniem pełnym">
          <a:extLst>
            <a:ext uri="{FF2B5EF4-FFF2-40B4-BE49-F238E27FC236}">
              <a16:creationId xmlns:a16="http://schemas.microsoft.com/office/drawing/2014/main" id="{2E8DC534-3A95-4EC2-BDCC-8704E1E14BA7}"/>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3224887" y="8514104"/>
          <a:ext cx="159929" cy="170704"/>
        </a:xfrm>
        <a:prstGeom prst="rect">
          <a:avLst/>
        </a:prstGeom>
      </xdr:spPr>
    </xdr:pic>
    <xdr:clientData/>
  </xdr:oneCellAnchor>
  <xdr:oneCellAnchor>
    <xdr:from>
      <xdr:col>6</xdr:col>
      <xdr:colOff>402339</xdr:colOff>
      <xdr:row>139</xdr:row>
      <xdr:rowOff>22397</xdr:rowOff>
    </xdr:from>
    <xdr:ext cx="161179" cy="148202"/>
    <xdr:pic macro="[0]!pom1_04osoba_err">
      <xdr:nvPicPr>
        <xdr:cNvPr id="154" name="Grafika 153" descr="Odtwórz z wypełnieniem pełnym">
          <a:extLst>
            <a:ext uri="{FF2B5EF4-FFF2-40B4-BE49-F238E27FC236}">
              <a16:creationId xmlns:a16="http://schemas.microsoft.com/office/drawing/2014/main" id="{0807E632-E0D7-4986-9C70-7C3BA18D8AA3}"/>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3565077" y="8528569"/>
          <a:ext cx="148202" cy="161179"/>
        </a:xfrm>
        <a:prstGeom prst="rect">
          <a:avLst/>
        </a:prstGeom>
      </xdr:spPr>
    </xdr:pic>
    <xdr:clientData/>
  </xdr:oneCellAnchor>
  <xdr:twoCellAnchor>
    <xdr:from>
      <xdr:col>7</xdr:col>
      <xdr:colOff>107950</xdr:colOff>
      <xdr:row>145</xdr:row>
      <xdr:rowOff>8256</xdr:rowOff>
    </xdr:from>
    <xdr:to>
      <xdr:col>7</xdr:col>
      <xdr:colOff>513715</xdr:colOff>
      <xdr:row>145</xdr:row>
      <xdr:rowOff>171450</xdr:rowOff>
    </xdr:to>
    <xdr:sp macro="[0]!pom1_05osoba_auto" textlink="">
      <xdr:nvSpPr>
        <xdr:cNvPr id="155" name="pole tekstowe 154">
          <a:extLst>
            <a:ext uri="{FF2B5EF4-FFF2-40B4-BE49-F238E27FC236}">
              <a16:creationId xmlns:a16="http://schemas.microsoft.com/office/drawing/2014/main" id="{2DC17D74-FC7B-40AD-8183-B1992286EBF4}"/>
            </a:ext>
          </a:extLst>
        </xdr:cNvPr>
        <xdr:cNvSpPr txBox="1"/>
      </xdr:nvSpPr>
      <xdr:spPr>
        <a:xfrm>
          <a:off x="3871221" y="9411896"/>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6</xdr:col>
      <xdr:colOff>55631</xdr:colOff>
      <xdr:row>145</xdr:row>
      <xdr:rowOff>3020</xdr:rowOff>
    </xdr:from>
    <xdr:ext cx="170704" cy="159929"/>
    <xdr:pic macro="[0]!pom1_05osoba_add">
      <xdr:nvPicPr>
        <xdr:cNvPr id="156" name="Grafika 155" descr="Odtwórz z wypełnieniem pełnym">
          <a:extLst>
            <a:ext uri="{FF2B5EF4-FFF2-40B4-BE49-F238E27FC236}">
              <a16:creationId xmlns:a16="http://schemas.microsoft.com/office/drawing/2014/main" id="{A87C95B5-2645-4D30-8E3A-A9E106D061C1}"/>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3224887" y="9399368"/>
          <a:ext cx="159929" cy="170704"/>
        </a:xfrm>
        <a:prstGeom prst="rect">
          <a:avLst/>
        </a:prstGeom>
      </xdr:spPr>
    </xdr:pic>
    <xdr:clientData/>
  </xdr:oneCellAnchor>
  <xdr:oneCellAnchor>
    <xdr:from>
      <xdr:col>6</xdr:col>
      <xdr:colOff>402339</xdr:colOff>
      <xdr:row>145</xdr:row>
      <xdr:rowOff>22397</xdr:rowOff>
    </xdr:from>
    <xdr:ext cx="161179" cy="148202"/>
    <xdr:pic macro="[0]!pom1_05osoba_err">
      <xdr:nvPicPr>
        <xdr:cNvPr id="157" name="Grafika 156" descr="Odtwórz z wypełnieniem pełnym">
          <a:extLst>
            <a:ext uri="{FF2B5EF4-FFF2-40B4-BE49-F238E27FC236}">
              <a16:creationId xmlns:a16="http://schemas.microsoft.com/office/drawing/2014/main" id="{C02962B5-2E2E-4997-8DA1-04E382639C64}"/>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3565077" y="9413833"/>
          <a:ext cx="148202" cy="161179"/>
        </a:xfrm>
        <a:prstGeom prst="rect">
          <a:avLst/>
        </a:prstGeom>
      </xdr:spPr>
    </xdr:pic>
    <xdr:clientData/>
  </xdr:oneCellAnchor>
  <xdr:twoCellAnchor>
    <xdr:from>
      <xdr:col>7</xdr:col>
      <xdr:colOff>107950</xdr:colOff>
      <xdr:row>151</xdr:row>
      <xdr:rowOff>8256</xdr:rowOff>
    </xdr:from>
    <xdr:to>
      <xdr:col>7</xdr:col>
      <xdr:colOff>513715</xdr:colOff>
      <xdr:row>151</xdr:row>
      <xdr:rowOff>171450</xdr:rowOff>
    </xdr:to>
    <xdr:sp macro="[0]!pom1_06osoba_auto" textlink="">
      <xdr:nvSpPr>
        <xdr:cNvPr id="158" name="pole tekstowe 157">
          <a:extLst>
            <a:ext uri="{FF2B5EF4-FFF2-40B4-BE49-F238E27FC236}">
              <a16:creationId xmlns:a16="http://schemas.microsoft.com/office/drawing/2014/main" id="{187A71FD-0390-41C5-B082-95333352622D}"/>
            </a:ext>
          </a:extLst>
        </xdr:cNvPr>
        <xdr:cNvSpPr txBox="1"/>
      </xdr:nvSpPr>
      <xdr:spPr>
        <a:xfrm>
          <a:off x="3871221" y="10229926"/>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6</xdr:col>
      <xdr:colOff>55631</xdr:colOff>
      <xdr:row>151</xdr:row>
      <xdr:rowOff>3020</xdr:rowOff>
    </xdr:from>
    <xdr:ext cx="170704" cy="159929"/>
    <xdr:pic macro="[0]!pom1_06osoba_add">
      <xdr:nvPicPr>
        <xdr:cNvPr id="159" name="Grafika 158" descr="Odtwórz z wypełnieniem pełnym">
          <a:extLst>
            <a:ext uri="{FF2B5EF4-FFF2-40B4-BE49-F238E27FC236}">
              <a16:creationId xmlns:a16="http://schemas.microsoft.com/office/drawing/2014/main" id="{015FBF48-F367-460D-851E-3057B3411908}"/>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3224887" y="10217398"/>
          <a:ext cx="159929" cy="170704"/>
        </a:xfrm>
        <a:prstGeom prst="rect">
          <a:avLst/>
        </a:prstGeom>
      </xdr:spPr>
    </xdr:pic>
    <xdr:clientData/>
  </xdr:oneCellAnchor>
  <xdr:oneCellAnchor>
    <xdr:from>
      <xdr:col>6</xdr:col>
      <xdr:colOff>402339</xdr:colOff>
      <xdr:row>151</xdr:row>
      <xdr:rowOff>22397</xdr:rowOff>
    </xdr:from>
    <xdr:ext cx="161179" cy="148202"/>
    <xdr:pic macro="[0]!pom1_06osoba_err">
      <xdr:nvPicPr>
        <xdr:cNvPr id="160" name="Grafika 159" descr="Odtwórz z wypełnieniem pełnym">
          <a:extLst>
            <a:ext uri="{FF2B5EF4-FFF2-40B4-BE49-F238E27FC236}">
              <a16:creationId xmlns:a16="http://schemas.microsoft.com/office/drawing/2014/main" id="{80ACEE32-5B76-4D4F-B782-E12F9E5C23CF}"/>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3565077" y="10231863"/>
          <a:ext cx="148202" cy="161179"/>
        </a:xfrm>
        <a:prstGeom prst="rect">
          <a:avLst/>
        </a:prstGeom>
      </xdr:spPr>
    </xdr:pic>
    <xdr:clientData/>
  </xdr:oneCellAnchor>
  <xdr:oneCellAnchor>
    <xdr:from>
      <xdr:col>18</xdr:col>
      <xdr:colOff>230888</xdr:colOff>
      <xdr:row>155</xdr:row>
      <xdr:rowOff>7068</xdr:rowOff>
    </xdr:from>
    <xdr:ext cx="166894" cy="163739"/>
    <xdr:pic macro="[0]!pom1_07add_Click">
      <xdr:nvPicPr>
        <xdr:cNvPr id="161" name="Grafika 160" descr="Odtwórz z wypełnieniem pełnym">
          <a:extLst>
            <a:ext uri="{FF2B5EF4-FFF2-40B4-BE49-F238E27FC236}">
              <a16:creationId xmlns:a16="http://schemas.microsoft.com/office/drawing/2014/main" id="{D7BBA7BA-8765-4CC6-9AFB-C16F0054F023}"/>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10653936" y="10720220"/>
          <a:ext cx="163739" cy="166894"/>
        </a:xfrm>
        <a:prstGeom prst="rect">
          <a:avLst/>
        </a:prstGeom>
      </xdr:spPr>
    </xdr:pic>
    <xdr:clientData/>
  </xdr:oneCellAnchor>
  <xdr:oneCellAnchor>
    <xdr:from>
      <xdr:col>18</xdr:col>
      <xdr:colOff>236603</xdr:colOff>
      <xdr:row>157</xdr:row>
      <xdr:rowOff>28346</xdr:rowOff>
    </xdr:from>
    <xdr:ext cx="164989" cy="144392"/>
    <xdr:pic macro="[0]!pom1_07err">
      <xdr:nvPicPr>
        <xdr:cNvPr id="162" name="Grafika 161" descr="Odtwórz z wypełnieniem pełnym">
          <a:extLst>
            <a:ext uri="{FF2B5EF4-FFF2-40B4-BE49-F238E27FC236}">
              <a16:creationId xmlns:a16="http://schemas.microsoft.com/office/drawing/2014/main" id="{40AFECAE-1CBE-49E3-8844-8EBAB113734A}"/>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10670278" y="11087554"/>
          <a:ext cx="144392" cy="164989"/>
        </a:xfrm>
        <a:prstGeom prst="rect">
          <a:avLst/>
        </a:prstGeom>
      </xdr:spPr>
    </xdr:pic>
    <xdr:clientData/>
  </xdr:oneCellAnchor>
  <xdr:twoCellAnchor>
    <xdr:from>
      <xdr:col>19</xdr:col>
      <xdr:colOff>107950</xdr:colOff>
      <xdr:row>157</xdr:row>
      <xdr:rowOff>8256</xdr:rowOff>
    </xdr:from>
    <xdr:to>
      <xdr:col>19</xdr:col>
      <xdr:colOff>513715</xdr:colOff>
      <xdr:row>157</xdr:row>
      <xdr:rowOff>171450</xdr:rowOff>
    </xdr:to>
    <xdr:sp macro="[0]!pom1_07auto" textlink="">
      <xdr:nvSpPr>
        <xdr:cNvPr id="164" name="pole tekstowe 163">
          <a:extLst>
            <a:ext uri="{FF2B5EF4-FFF2-40B4-BE49-F238E27FC236}">
              <a16:creationId xmlns:a16="http://schemas.microsoft.com/office/drawing/2014/main" id="{7C726249-3A95-4165-A720-545312E8A12F}"/>
            </a:ext>
          </a:extLst>
        </xdr:cNvPr>
        <xdr:cNvSpPr txBox="1"/>
      </xdr:nvSpPr>
      <xdr:spPr>
        <a:xfrm>
          <a:off x="11132633" y="11081573"/>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twoCellAnchor>
    <xdr:from>
      <xdr:col>7</xdr:col>
      <xdr:colOff>107950</xdr:colOff>
      <xdr:row>157</xdr:row>
      <xdr:rowOff>8256</xdr:rowOff>
    </xdr:from>
    <xdr:to>
      <xdr:col>7</xdr:col>
      <xdr:colOff>513715</xdr:colOff>
      <xdr:row>157</xdr:row>
      <xdr:rowOff>171450</xdr:rowOff>
    </xdr:to>
    <xdr:sp macro="[0]!pom1_07osoba_auto" textlink="">
      <xdr:nvSpPr>
        <xdr:cNvPr id="165" name="pole tekstowe 164">
          <a:extLst>
            <a:ext uri="{FF2B5EF4-FFF2-40B4-BE49-F238E27FC236}">
              <a16:creationId xmlns:a16="http://schemas.microsoft.com/office/drawing/2014/main" id="{B3305B66-274C-4688-8DC3-F67D0CB62B4E}"/>
            </a:ext>
          </a:extLst>
        </xdr:cNvPr>
        <xdr:cNvSpPr txBox="1"/>
      </xdr:nvSpPr>
      <xdr:spPr>
        <a:xfrm>
          <a:off x="3871221" y="11081573"/>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6</xdr:col>
      <xdr:colOff>55631</xdr:colOff>
      <xdr:row>157</xdr:row>
      <xdr:rowOff>3020</xdr:rowOff>
    </xdr:from>
    <xdr:ext cx="170704" cy="159929"/>
    <xdr:pic macro="[0]!pom1_07osoba_add">
      <xdr:nvPicPr>
        <xdr:cNvPr id="166" name="Grafika 165" descr="Odtwórz z wypełnieniem pełnym">
          <a:extLst>
            <a:ext uri="{FF2B5EF4-FFF2-40B4-BE49-F238E27FC236}">
              <a16:creationId xmlns:a16="http://schemas.microsoft.com/office/drawing/2014/main" id="{D9E5E289-2C69-47E8-9E75-576B7273C9F8}"/>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3224887" y="11069045"/>
          <a:ext cx="159929" cy="170704"/>
        </a:xfrm>
        <a:prstGeom prst="rect">
          <a:avLst/>
        </a:prstGeom>
      </xdr:spPr>
    </xdr:pic>
    <xdr:clientData/>
  </xdr:oneCellAnchor>
  <xdr:oneCellAnchor>
    <xdr:from>
      <xdr:col>6</xdr:col>
      <xdr:colOff>402339</xdr:colOff>
      <xdr:row>157</xdr:row>
      <xdr:rowOff>22397</xdr:rowOff>
    </xdr:from>
    <xdr:ext cx="161179" cy="148202"/>
    <xdr:pic macro="[0]!pom1_07osoba_err">
      <xdr:nvPicPr>
        <xdr:cNvPr id="167" name="Grafika 166" descr="Odtwórz z wypełnieniem pełnym">
          <a:extLst>
            <a:ext uri="{FF2B5EF4-FFF2-40B4-BE49-F238E27FC236}">
              <a16:creationId xmlns:a16="http://schemas.microsoft.com/office/drawing/2014/main" id="{7F55A16E-DB71-45E1-985A-E088F5AEB46C}"/>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3565077" y="11083510"/>
          <a:ext cx="148202" cy="161179"/>
        </a:xfrm>
        <a:prstGeom prst="rect">
          <a:avLst/>
        </a:prstGeom>
      </xdr:spPr>
    </xdr:pic>
    <xdr:clientData/>
  </xdr:oneCellAnchor>
  <xdr:oneCellAnchor>
    <xdr:from>
      <xdr:col>18</xdr:col>
      <xdr:colOff>230888</xdr:colOff>
      <xdr:row>161</xdr:row>
      <xdr:rowOff>7068</xdr:rowOff>
    </xdr:from>
    <xdr:ext cx="166894" cy="163739"/>
    <xdr:pic macro="[0]!pom1_08add_Click">
      <xdr:nvPicPr>
        <xdr:cNvPr id="168" name="Grafika 167" descr="Odtwórz z wypełnieniem pełnym">
          <a:extLst>
            <a:ext uri="{FF2B5EF4-FFF2-40B4-BE49-F238E27FC236}">
              <a16:creationId xmlns:a16="http://schemas.microsoft.com/office/drawing/2014/main" id="{392F5A6E-3744-49DF-8341-2CF1B57FA141}"/>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10653936" y="11616690"/>
          <a:ext cx="163739" cy="166894"/>
        </a:xfrm>
        <a:prstGeom prst="rect">
          <a:avLst/>
        </a:prstGeom>
      </xdr:spPr>
    </xdr:pic>
    <xdr:clientData/>
  </xdr:oneCellAnchor>
  <xdr:oneCellAnchor>
    <xdr:from>
      <xdr:col>18</xdr:col>
      <xdr:colOff>236603</xdr:colOff>
      <xdr:row>163</xdr:row>
      <xdr:rowOff>28346</xdr:rowOff>
    </xdr:from>
    <xdr:ext cx="164989" cy="144392"/>
    <xdr:pic macro="[0]!pom1_08err">
      <xdr:nvPicPr>
        <xdr:cNvPr id="169" name="Grafika 168" descr="Odtwórz z wypełnieniem pełnym">
          <a:extLst>
            <a:ext uri="{FF2B5EF4-FFF2-40B4-BE49-F238E27FC236}">
              <a16:creationId xmlns:a16="http://schemas.microsoft.com/office/drawing/2014/main" id="{A853B320-924B-4A99-A22A-B5D4967D8B8A}"/>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10670278" y="11984024"/>
          <a:ext cx="144392" cy="164989"/>
        </a:xfrm>
        <a:prstGeom prst="rect">
          <a:avLst/>
        </a:prstGeom>
      </xdr:spPr>
    </xdr:pic>
    <xdr:clientData/>
  </xdr:oneCellAnchor>
  <xdr:twoCellAnchor>
    <xdr:from>
      <xdr:col>19</xdr:col>
      <xdr:colOff>107950</xdr:colOff>
      <xdr:row>163</xdr:row>
      <xdr:rowOff>8256</xdr:rowOff>
    </xdr:from>
    <xdr:to>
      <xdr:col>19</xdr:col>
      <xdr:colOff>513715</xdr:colOff>
      <xdr:row>163</xdr:row>
      <xdr:rowOff>171450</xdr:rowOff>
    </xdr:to>
    <xdr:sp macro="[0]!pom1_08auto" textlink="">
      <xdr:nvSpPr>
        <xdr:cNvPr id="171" name="pole tekstowe 170">
          <a:extLst>
            <a:ext uri="{FF2B5EF4-FFF2-40B4-BE49-F238E27FC236}">
              <a16:creationId xmlns:a16="http://schemas.microsoft.com/office/drawing/2014/main" id="{E0175518-DB55-488C-96B1-AFC1396848F5}"/>
            </a:ext>
          </a:extLst>
        </xdr:cNvPr>
        <xdr:cNvSpPr txBox="1"/>
      </xdr:nvSpPr>
      <xdr:spPr>
        <a:xfrm>
          <a:off x="11132633" y="11978043"/>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twoCellAnchor>
    <xdr:from>
      <xdr:col>7</xdr:col>
      <xdr:colOff>107950</xdr:colOff>
      <xdr:row>163</xdr:row>
      <xdr:rowOff>8256</xdr:rowOff>
    </xdr:from>
    <xdr:to>
      <xdr:col>7</xdr:col>
      <xdr:colOff>513715</xdr:colOff>
      <xdr:row>163</xdr:row>
      <xdr:rowOff>171450</xdr:rowOff>
    </xdr:to>
    <xdr:sp macro="[0]!pom1_08osoba_auto" textlink="">
      <xdr:nvSpPr>
        <xdr:cNvPr id="172" name="pole tekstowe 171">
          <a:extLst>
            <a:ext uri="{FF2B5EF4-FFF2-40B4-BE49-F238E27FC236}">
              <a16:creationId xmlns:a16="http://schemas.microsoft.com/office/drawing/2014/main" id="{E775E0F7-12FC-425D-9A2A-4706026D0EF6}"/>
            </a:ext>
          </a:extLst>
        </xdr:cNvPr>
        <xdr:cNvSpPr txBox="1"/>
      </xdr:nvSpPr>
      <xdr:spPr>
        <a:xfrm>
          <a:off x="3871221" y="11978043"/>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6</xdr:col>
      <xdr:colOff>55631</xdr:colOff>
      <xdr:row>163</xdr:row>
      <xdr:rowOff>3020</xdr:rowOff>
    </xdr:from>
    <xdr:ext cx="170704" cy="159929"/>
    <xdr:pic macro="[0]!pom1_08osoba_add">
      <xdr:nvPicPr>
        <xdr:cNvPr id="173" name="Grafika 172" descr="Odtwórz z wypełnieniem pełnym">
          <a:extLst>
            <a:ext uri="{FF2B5EF4-FFF2-40B4-BE49-F238E27FC236}">
              <a16:creationId xmlns:a16="http://schemas.microsoft.com/office/drawing/2014/main" id="{412A8A68-D0AF-4981-8FD1-5263EB93A354}"/>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3224887" y="11965515"/>
          <a:ext cx="159929" cy="170704"/>
        </a:xfrm>
        <a:prstGeom prst="rect">
          <a:avLst/>
        </a:prstGeom>
      </xdr:spPr>
    </xdr:pic>
    <xdr:clientData/>
  </xdr:oneCellAnchor>
  <xdr:oneCellAnchor>
    <xdr:from>
      <xdr:col>6</xdr:col>
      <xdr:colOff>402339</xdr:colOff>
      <xdr:row>163</xdr:row>
      <xdr:rowOff>22397</xdr:rowOff>
    </xdr:from>
    <xdr:ext cx="161179" cy="148202"/>
    <xdr:pic macro="[0]!pom1_08osoba_err">
      <xdr:nvPicPr>
        <xdr:cNvPr id="174" name="Grafika 173" descr="Odtwórz z wypełnieniem pełnym">
          <a:extLst>
            <a:ext uri="{FF2B5EF4-FFF2-40B4-BE49-F238E27FC236}">
              <a16:creationId xmlns:a16="http://schemas.microsoft.com/office/drawing/2014/main" id="{7AD3AF70-B636-4E02-A1C9-640C8CCE7DFA}"/>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3565077" y="11979980"/>
          <a:ext cx="148202" cy="161179"/>
        </a:xfrm>
        <a:prstGeom prst="rect">
          <a:avLst/>
        </a:prstGeom>
      </xdr:spPr>
    </xdr:pic>
    <xdr:clientData/>
  </xdr:oneCellAnchor>
  <xdr:twoCellAnchor editAs="oneCell">
    <xdr:from>
      <xdr:col>2</xdr:col>
      <xdr:colOff>82087</xdr:colOff>
      <xdr:row>196</xdr:row>
      <xdr:rowOff>7110</xdr:rowOff>
    </xdr:from>
    <xdr:to>
      <xdr:col>2</xdr:col>
      <xdr:colOff>552088</xdr:colOff>
      <xdr:row>198</xdr:row>
      <xdr:rowOff>114299</xdr:rowOff>
    </xdr:to>
    <xdr:pic>
      <xdr:nvPicPr>
        <xdr:cNvPr id="183" name="Grafika 182" descr="Dmuchawiec kontur">
          <a:extLst>
            <a:ext uri="{FF2B5EF4-FFF2-40B4-BE49-F238E27FC236}">
              <a16:creationId xmlns:a16="http://schemas.microsoft.com/office/drawing/2014/main" id="{2EB463AD-65A7-4E9A-8D94-22D78854283F}"/>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 uri="{96DAC541-7B7A-43D3-8B79-37D633B846F1}">
              <asvg:svgBlip xmlns:asvg="http://schemas.microsoft.com/office/drawing/2016/SVG/main" r:embed="rId15"/>
            </a:ext>
          </a:extLst>
        </a:blip>
        <a:stretch>
          <a:fillRect/>
        </a:stretch>
      </xdr:blipFill>
      <xdr:spPr>
        <a:xfrm>
          <a:off x="607867" y="32468310"/>
          <a:ext cx="470001" cy="472950"/>
        </a:xfrm>
        <a:prstGeom prst="rect">
          <a:avLst/>
        </a:prstGeom>
      </xdr:spPr>
    </xdr:pic>
    <xdr:clientData/>
  </xdr:twoCellAnchor>
  <xdr:twoCellAnchor>
    <xdr:from>
      <xdr:col>2</xdr:col>
      <xdr:colOff>542400</xdr:colOff>
      <xdr:row>206</xdr:row>
      <xdr:rowOff>58367</xdr:rowOff>
    </xdr:from>
    <xdr:to>
      <xdr:col>4</xdr:col>
      <xdr:colOff>716956</xdr:colOff>
      <xdr:row>212</xdr:row>
      <xdr:rowOff>7326</xdr:rowOff>
    </xdr:to>
    <xdr:grpSp>
      <xdr:nvGrpSpPr>
        <xdr:cNvPr id="191" name="Grupa 190">
          <a:extLst>
            <a:ext uri="{FF2B5EF4-FFF2-40B4-BE49-F238E27FC236}">
              <a16:creationId xmlns:a16="http://schemas.microsoft.com/office/drawing/2014/main" id="{1DC48064-9945-472B-9A3C-99025244F2D1}"/>
            </a:ext>
          </a:extLst>
        </xdr:cNvPr>
        <xdr:cNvGrpSpPr/>
      </xdr:nvGrpSpPr>
      <xdr:grpSpPr>
        <a:xfrm>
          <a:off x="1049130" y="30505982"/>
          <a:ext cx="1113721" cy="1059574"/>
          <a:chOff x="2074192" y="51748084"/>
          <a:chExt cx="1795606" cy="1649272"/>
        </a:xfrm>
      </xdr:grpSpPr>
      <xdr:sp macro="" textlink="">
        <xdr:nvSpPr>
          <xdr:cNvPr id="193" name="Dowolny kształt 104">
            <a:extLst>
              <a:ext uri="{FF2B5EF4-FFF2-40B4-BE49-F238E27FC236}">
                <a16:creationId xmlns:a16="http://schemas.microsoft.com/office/drawing/2014/main" id="{1527511F-842D-4B98-882A-34CFFFE60686}"/>
              </a:ext>
            </a:extLst>
          </xdr:cNvPr>
          <xdr:cNvSpPr/>
        </xdr:nvSpPr>
        <xdr:spPr>
          <a:xfrm rot="17714232">
            <a:off x="3422154" y="51912457"/>
            <a:ext cx="374465" cy="45719"/>
          </a:xfrm>
          <a:custGeom>
            <a:avLst/>
            <a:gdLst>
              <a:gd name="connsiteX0" fmla="*/ 0 w 1232647"/>
              <a:gd name="connsiteY0" fmla="*/ 89656 h 315043"/>
              <a:gd name="connsiteX1" fmla="*/ 235323 w 1232647"/>
              <a:gd name="connsiteY1" fmla="*/ 313774 h 315043"/>
              <a:gd name="connsiteX2" fmla="*/ 549088 w 1232647"/>
              <a:gd name="connsiteY2" fmla="*/ 9 h 315043"/>
              <a:gd name="connsiteX3" fmla="*/ 806823 w 1232647"/>
              <a:gd name="connsiteY3" fmla="*/ 302568 h 315043"/>
              <a:gd name="connsiteX4" fmla="*/ 1053352 w 1232647"/>
              <a:gd name="connsiteY4" fmla="*/ 145686 h 315043"/>
              <a:gd name="connsiteX5" fmla="*/ 1232647 w 1232647"/>
              <a:gd name="connsiteY5" fmla="*/ 145686 h 31504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232647" h="315043">
                <a:moveTo>
                  <a:pt x="0" y="89656"/>
                </a:moveTo>
                <a:cubicBezTo>
                  <a:pt x="71904" y="209185"/>
                  <a:pt x="143808" y="328715"/>
                  <a:pt x="235323" y="313774"/>
                </a:cubicBezTo>
                <a:cubicBezTo>
                  <a:pt x="326838" y="298833"/>
                  <a:pt x="453838" y="1877"/>
                  <a:pt x="549088" y="9"/>
                </a:cubicBezTo>
                <a:cubicBezTo>
                  <a:pt x="644338" y="-1859"/>
                  <a:pt x="722779" y="278289"/>
                  <a:pt x="806823" y="302568"/>
                </a:cubicBezTo>
                <a:cubicBezTo>
                  <a:pt x="890867" y="326847"/>
                  <a:pt x="982381" y="171833"/>
                  <a:pt x="1053352" y="145686"/>
                </a:cubicBezTo>
                <a:cubicBezTo>
                  <a:pt x="1124323" y="119539"/>
                  <a:pt x="1178485" y="132612"/>
                  <a:pt x="1232647" y="145686"/>
                </a:cubicBezTo>
              </a:path>
            </a:pathLst>
          </a:custGeom>
          <a:noFill/>
          <a:ln w="28575">
            <a:solidFill>
              <a:srgbClr val="FF0000"/>
            </a:solidFill>
            <a:headEnd type="non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sp macro="" textlink="">
        <xdr:nvSpPr>
          <xdr:cNvPr id="194" name="Dowolny kształt 103">
            <a:extLst>
              <a:ext uri="{FF2B5EF4-FFF2-40B4-BE49-F238E27FC236}">
                <a16:creationId xmlns:a16="http://schemas.microsoft.com/office/drawing/2014/main" id="{B8C37ACB-CC58-4450-BC36-0777C573350A}"/>
              </a:ext>
            </a:extLst>
          </xdr:cNvPr>
          <xdr:cNvSpPr/>
        </xdr:nvSpPr>
        <xdr:spPr>
          <a:xfrm rot="14249417">
            <a:off x="3194029" y="51935436"/>
            <a:ext cx="413920" cy="74030"/>
          </a:xfrm>
          <a:custGeom>
            <a:avLst/>
            <a:gdLst>
              <a:gd name="connsiteX0" fmla="*/ 0 w 1232647"/>
              <a:gd name="connsiteY0" fmla="*/ 89656 h 315043"/>
              <a:gd name="connsiteX1" fmla="*/ 235323 w 1232647"/>
              <a:gd name="connsiteY1" fmla="*/ 313774 h 315043"/>
              <a:gd name="connsiteX2" fmla="*/ 549088 w 1232647"/>
              <a:gd name="connsiteY2" fmla="*/ 9 h 315043"/>
              <a:gd name="connsiteX3" fmla="*/ 806823 w 1232647"/>
              <a:gd name="connsiteY3" fmla="*/ 302568 h 315043"/>
              <a:gd name="connsiteX4" fmla="*/ 1053352 w 1232647"/>
              <a:gd name="connsiteY4" fmla="*/ 145686 h 315043"/>
              <a:gd name="connsiteX5" fmla="*/ 1232647 w 1232647"/>
              <a:gd name="connsiteY5" fmla="*/ 145686 h 31504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232647" h="315043">
                <a:moveTo>
                  <a:pt x="0" y="89656"/>
                </a:moveTo>
                <a:cubicBezTo>
                  <a:pt x="71904" y="209185"/>
                  <a:pt x="143808" y="328715"/>
                  <a:pt x="235323" y="313774"/>
                </a:cubicBezTo>
                <a:cubicBezTo>
                  <a:pt x="326838" y="298833"/>
                  <a:pt x="453838" y="1877"/>
                  <a:pt x="549088" y="9"/>
                </a:cubicBezTo>
                <a:cubicBezTo>
                  <a:pt x="644338" y="-1859"/>
                  <a:pt x="722779" y="278289"/>
                  <a:pt x="806823" y="302568"/>
                </a:cubicBezTo>
                <a:cubicBezTo>
                  <a:pt x="890867" y="326847"/>
                  <a:pt x="982381" y="171833"/>
                  <a:pt x="1053352" y="145686"/>
                </a:cubicBezTo>
                <a:cubicBezTo>
                  <a:pt x="1124323" y="119539"/>
                  <a:pt x="1178485" y="132612"/>
                  <a:pt x="1232647" y="145686"/>
                </a:cubicBezTo>
              </a:path>
            </a:pathLst>
          </a:custGeom>
          <a:noFill/>
          <a:ln w="28575">
            <a:solidFill>
              <a:srgbClr val="FF0000"/>
            </a:solidFill>
            <a:headEnd type="non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sp macro="" textlink="">
        <xdr:nvSpPr>
          <xdr:cNvPr id="195" name="Prostokąt 194">
            <a:extLst>
              <a:ext uri="{FF2B5EF4-FFF2-40B4-BE49-F238E27FC236}">
                <a16:creationId xmlns:a16="http://schemas.microsoft.com/office/drawing/2014/main" id="{AF10F1AF-2194-4C57-8274-C23CC81E2AB4}"/>
              </a:ext>
            </a:extLst>
          </xdr:cNvPr>
          <xdr:cNvSpPr/>
        </xdr:nvSpPr>
        <xdr:spPr>
          <a:xfrm>
            <a:off x="2276056" y="52960684"/>
            <a:ext cx="73335" cy="263505"/>
          </a:xfrm>
          <a:prstGeom prst="rect">
            <a:avLst/>
          </a:prstGeom>
          <a:solidFill>
            <a:schemeClr val="bg1"/>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sp macro="" textlink="">
        <xdr:nvSpPr>
          <xdr:cNvPr id="196" name="Prostokąt 195">
            <a:extLst>
              <a:ext uri="{FF2B5EF4-FFF2-40B4-BE49-F238E27FC236}">
                <a16:creationId xmlns:a16="http://schemas.microsoft.com/office/drawing/2014/main" id="{1EE8B8D1-88BD-4A43-856B-5264B3EECE9A}"/>
              </a:ext>
            </a:extLst>
          </xdr:cNvPr>
          <xdr:cNvSpPr/>
        </xdr:nvSpPr>
        <xdr:spPr>
          <a:xfrm>
            <a:off x="3650300" y="53001356"/>
            <a:ext cx="54000" cy="396000"/>
          </a:xfrm>
          <a:prstGeom prst="rect">
            <a:avLst/>
          </a:prstGeom>
          <a:solidFill>
            <a:schemeClr val="bg1"/>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sp macro="" textlink="">
        <xdr:nvSpPr>
          <xdr:cNvPr id="197" name="Dowolny kształt 100">
            <a:extLst>
              <a:ext uri="{FF2B5EF4-FFF2-40B4-BE49-F238E27FC236}">
                <a16:creationId xmlns:a16="http://schemas.microsoft.com/office/drawing/2014/main" id="{1DC654CF-936A-4D54-B08D-8FD284A172A6}"/>
              </a:ext>
            </a:extLst>
          </xdr:cNvPr>
          <xdr:cNvSpPr/>
        </xdr:nvSpPr>
        <xdr:spPr>
          <a:xfrm rot="10800000">
            <a:off x="3391362" y="53237778"/>
            <a:ext cx="478436" cy="74961"/>
          </a:xfrm>
          <a:custGeom>
            <a:avLst/>
            <a:gdLst>
              <a:gd name="connsiteX0" fmla="*/ 0 w 1232647"/>
              <a:gd name="connsiteY0" fmla="*/ 89656 h 315043"/>
              <a:gd name="connsiteX1" fmla="*/ 235323 w 1232647"/>
              <a:gd name="connsiteY1" fmla="*/ 313774 h 315043"/>
              <a:gd name="connsiteX2" fmla="*/ 549088 w 1232647"/>
              <a:gd name="connsiteY2" fmla="*/ 9 h 315043"/>
              <a:gd name="connsiteX3" fmla="*/ 806823 w 1232647"/>
              <a:gd name="connsiteY3" fmla="*/ 302568 h 315043"/>
              <a:gd name="connsiteX4" fmla="*/ 1053352 w 1232647"/>
              <a:gd name="connsiteY4" fmla="*/ 145686 h 315043"/>
              <a:gd name="connsiteX5" fmla="*/ 1232647 w 1232647"/>
              <a:gd name="connsiteY5" fmla="*/ 145686 h 31504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232647" h="315043">
                <a:moveTo>
                  <a:pt x="0" y="89656"/>
                </a:moveTo>
                <a:cubicBezTo>
                  <a:pt x="71904" y="209185"/>
                  <a:pt x="143808" y="328715"/>
                  <a:pt x="235323" y="313774"/>
                </a:cubicBezTo>
                <a:cubicBezTo>
                  <a:pt x="326838" y="298833"/>
                  <a:pt x="453838" y="1877"/>
                  <a:pt x="549088" y="9"/>
                </a:cubicBezTo>
                <a:cubicBezTo>
                  <a:pt x="644338" y="-1859"/>
                  <a:pt x="722779" y="278289"/>
                  <a:pt x="806823" y="302568"/>
                </a:cubicBezTo>
                <a:cubicBezTo>
                  <a:pt x="890867" y="326847"/>
                  <a:pt x="982381" y="171833"/>
                  <a:pt x="1053352" y="145686"/>
                </a:cubicBezTo>
                <a:cubicBezTo>
                  <a:pt x="1124323" y="119539"/>
                  <a:pt x="1178485" y="132612"/>
                  <a:pt x="1232647" y="145686"/>
                </a:cubicBezTo>
              </a:path>
            </a:pathLst>
          </a:custGeom>
          <a:noFill/>
          <a:ln w="28575">
            <a:headEnd type="non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sp macro="" textlink="">
        <xdr:nvSpPr>
          <xdr:cNvPr id="198" name="Dowolny kształt 102">
            <a:extLst>
              <a:ext uri="{FF2B5EF4-FFF2-40B4-BE49-F238E27FC236}">
                <a16:creationId xmlns:a16="http://schemas.microsoft.com/office/drawing/2014/main" id="{16BB7257-2384-458A-9763-F3DDCB5ECA4E}"/>
              </a:ext>
            </a:extLst>
          </xdr:cNvPr>
          <xdr:cNvSpPr/>
        </xdr:nvSpPr>
        <xdr:spPr>
          <a:xfrm>
            <a:off x="2074192" y="53069827"/>
            <a:ext cx="491123" cy="57551"/>
          </a:xfrm>
          <a:custGeom>
            <a:avLst/>
            <a:gdLst>
              <a:gd name="connsiteX0" fmla="*/ 0 w 1232647"/>
              <a:gd name="connsiteY0" fmla="*/ 89656 h 315043"/>
              <a:gd name="connsiteX1" fmla="*/ 235323 w 1232647"/>
              <a:gd name="connsiteY1" fmla="*/ 313774 h 315043"/>
              <a:gd name="connsiteX2" fmla="*/ 549088 w 1232647"/>
              <a:gd name="connsiteY2" fmla="*/ 9 h 315043"/>
              <a:gd name="connsiteX3" fmla="*/ 806823 w 1232647"/>
              <a:gd name="connsiteY3" fmla="*/ 302568 h 315043"/>
              <a:gd name="connsiteX4" fmla="*/ 1053352 w 1232647"/>
              <a:gd name="connsiteY4" fmla="*/ 145686 h 315043"/>
              <a:gd name="connsiteX5" fmla="*/ 1232647 w 1232647"/>
              <a:gd name="connsiteY5" fmla="*/ 145686 h 31504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232647" h="315043">
                <a:moveTo>
                  <a:pt x="0" y="89656"/>
                </a:moveTo>
                <a:cubicBezTo>
                  <a:pt x="71904" y="209185"/>
                  <a:pt x="143808" y="328715"/>
                  <a:pt x="235323" y="313774"/>
                </a:cubicBezTo>
                <a:cubicBezTo>
                  <a:pt x="326838" y="298833"/>
                  <a:pt x="453838" y="1877"/>
                  <a:pt x="549088" y="9"/>
                </a:cubicBezTo>
                <a:cubicBezTo>
                  <a:pt x="644338" y="-1859"/>
                  <a:pt x="722779" y="278289"/>
                  <a:pt x="806823" y="302568"/>
                </a:cubicBezTo>
                <a:cubicBezTo>
                  <a:pt x="890867" y="326847"/>
                  <a:pt x="982381" y="171833"/>
                  <a:pt x="1053352" y="145686"/>
                </a:cubicBezTo>
                <a:cubicBezTo>
                  <a:pt x="1124323" y="119539"/>
                  <a:pt x="1178485" y="132612"/>
                  <a:pt x="1232647" y="145686"/>
                </a:cubicBezTo>
              </a:path>
            </a:pathLst>
          </a:custGeom>
          <a:noFill/>
          <a:ln w="28575">
            <a:headEnd type="non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grpSp>
    <xdr:clientData/>
  </xdr:twoCellAnchor>
  <xdr:twoCellAnchor editAs="oneCell">
    <xdr:from>
      <xdr:col>9</xdr:col>
      <xdr:colOff>170342</xdr:colOff>
      <xdr:row>210</xdr:row>
      <xdr:rowOff>114506</xdr:rowOff>
    </xdr:from>
    <xdr:to>
      <xdr:col>9</xdr:col>
      <xdr:colOff>287926</xdr:colOff>
      <xdr:row>211</xdr:row>
      <xdr:rowOff>98039</xdr:rowOff>
    </xdr:to>
    <xdr:pic>
      <xdr:nvPicPr>
        <xdr:cNvPr id="218" name="Obraz 217">
          <a:extLst>
            <a:ext uri="{FF2B5EF4-FFF2-40B4-BE49-F238E27FC236}">
              <a16:creationId xmlns:a16="http://schemas.microsoft.com/office/drawing/2014/main" id="{6FCB195E-FE35-4E53-84A4-EC006079098D}"/>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5070002" y="35151266"/>
          <a:ext cx="109964" cy="172128"/>
        </a:xfrm>
        <a:prstGeom prst="rect">
          <a:avLst/>
        </a:prstGeom>
      </xdr:spPr>
    </xdr:pic>
    <xdr:clientData/>
  </xdr:twoCellAnchor>
  <xdr:twoCellAnchor>
    <xdr:from>
      <xdr:col>11</xdr:col>
      <xdr:colOff>337211</xdr:colOff>
      <xdr:row>209</xdr:row>
      <xdr:rowOff>81373</xdr:rowOff>
    </xdr:from>
    <xdr:to>
      <xdr:col>12</xdr:col>
      <xdr:colOff>172597</xdr:colOff>
      <xdr:row>211</xdr:row>
      <xdr:rowOff>160710</xdr:rowOff>
    </xdr:to>
    <xdr:grpSp>
      <xdr:nvGrpSpPr>
        <xdr:cNvPr id="220" name="Grupa 219">
          <a:extLst>
            <a:ext uri="{FF2B5EF4-FFF2-40B4-BE49-F238E27FC236}">
              <a16:creationId xmlns:a16="http://schemas.microsoft.com/office/drawing/2014/main" id="{4CBEDE1C-71B1-4632-9A86-ABABB3829B9F}"/>
            </a:ext>
          </a:extLst>
        </xdr:cNvPr>
        <xdr:cNvGrpSpPr>
          <a:grpSpLocks noChangeAspect="1"/>
        </xdr:cNvGrpSpPr>
      </xdr:nvGrpSpPr>
      <xdr:grpSpPr>
        <a:xfrm>
          <a:off x="6459881" y="31087153"/>
          <a:ext cx="443081" cy="441287"/>
          <a:chOff x="7317441" y="63734577"/>
          <a:chExt cx="1160930" cy="1181099"/>
        </a:xfrm>
      </xdr:grpSpPr>
      <xdr:sp macro="" textlink="">
        <xdr:nvSpPr>
          <xdr:cNvPr id="221" name="Strzałka kolista 5">
            <a:extLst>
              <a:ext uri="{FF2B5EF4-FFF2-40B4-BE49-F238E27FC236}">
                <a16:creationId xmlns:a16="http://schemas.microsoft.com/office/drawing/2014/main" id="{98270837-DE0F-4CFB-93CA-FE13A56913BB}"/>
              </a:ext>
            </a:extLst>
          </xdr:cNvPr>
          <xdr:cNvSpPr/>
        </xdr:nvSpPr>
        <xdr:spPr>
          <a:xfrm>
            <a:off x="7317441" y="63750265"/>
            <a:ext cx="1154206" cy="1165411"/>
          </a:xfrm>
          <a:prstGeom prst="circularArrow">
            <a:avLst>
              <a:gd name="adj1" fmla="val 3470"/>
              <a:gd name="adj2" fmla="val 1142319"/>
              <a:gd name="adj3" fmla="val 20722872"/>
              <a:gd name="adj4" fmla="val 11933590"/>
              <a:gd name="adj5" fmla="val 710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solidFill>
                <a:schemeClr val="tx1"/>
              </a:solidFill>
            </a:endParaRPr>
          </a:p>
        </xdr:txBody>
      </xdr:sp>
      <xdr:sp macro="" textlink="">
        <xdr:nvSpPr>
          <xdr:cNvPr id="222" name="Strzałka kolista 181">
            <a:extLst>
              <a:ext uri="{FF2B5EF4-FFF2-40B4-BE49-F238E27FC236}">
                <a16:creationId xmlns:a16="http://schemas.microsoft.com/office/drawing/2014/main" id="{DBF41B28-C037-476F-B51F-7ECCD6E21A60}"/>
              </a:ext>
            </a:extLst>
          </xdr:cNvPr>
          <xdr:cNvSpPr/>
        </xdr:nvSpPr>
        <xdr:spPr>
          <a:xfrm rot="10965210">
            <a:off x="7324165" y="63734577"/>
            <a:ext cx="1154206" cy="1165411"/>
          </a:xfrm>
          <a:prstGeom prst="circularArrow">
            <a:avLst>
              <a:gd name="adj1" fmla="val 3470"/>
              <a:gd name="adj2" fmla="val 1142319"/>
              <a:gd name="adj3" fmla="val 20722872"/>
              <a:gd name="adj4" fmla="val 11933590"/>
              <a:gd name="adj5" fmla="val 7101"/>
            </a:avLst>
          </a:prstGeom>
          <a:solidFill>
            <a:srgbClr val="FF5050"/>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solidFill>
                <a:schemeClr val="tx1"/>
              </a:solidFill>
            </a:endParaRPr>
          </a:p>
        </xdr:txBody>
      </xdr:sp>
    </xdr:grpSp>
    <xdr:clientData/>
  </xdr:twoCellAnchor>
  <xdr:twoCellAnchor>
    <xdr:from>
      <xdr:col>10</xdr:col>
      <xdr:colOff>507023</xdr:colOff>
      <xdr:row>211</xdr:row>
      <xdr:rowOff>23538</xdr:rowOff>
    </xdr:from>
    <xdr:to>
      <xdr:col>11</xdr:col>
      <xdr:colOff>161193</xdr:colOff>
      <xdr:row>211</xdr:row>
      <xdr:rowOff>23538</xdr:rowOff>
    </xdr:to>
    <xdr:cxnSp macro="">
      <xdr:nvCxnSpPr>
        <xdr:cNvPr id="226" name="Łącznik prosty ze strzałką 225">
          <a:extLst>
            <a:ext uri="{FF2B5EF4-FFF2-40B4-BE49-F238E27FC236}">
              <a16:creationId xmlns:a16="http://schemas.microsoft.com/office/drawing/2014/main" id="{5F19C946-BE1B-4181-85A6-807270952D42}"/>
            </a:ext>
          </a:extLst>
        </xdr:cNvPr>
        <xdr:cNvCxnSpPr/>
      </xdr:nvCxnSpPr>
      <xdr:spPr>
        <a:xfrm>
          <a:off x="6016283" y="35243178"/>
          <a:ext cx="263770" cy="0"/>
        </a:xfrm>
        <a:prstGeom prst="straightConnector1">
          <a:avLst/>
        </a:prstGeom>
        <a:ln w="38100">
          <a:solidFill>
            <a:schemeClr val="accent1">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297179</xdr:colOff>
      <xdr:row>211</xdr:row>
      <xdr:rowOff>20021</xdr:rowOff>
    </xdr:from>
    <xdr:to>
      <xdr:col>12</xdr:col>
      <xdr:colOff>543365</xdr:colOff>
      <xdr:row>211</xdr:row>
      <xdr:rowOff>20021</xdr:rowOff>
    </xdr:to>
    <xdr:cxnSp macro="">
      <xdr:nvCxnSpPr>
        <xdr:cNvPr id="228" name="Łącznik prosty ze strzałką 227">
          <a:extLst>
            <a:ext uri="{FF2B5EF4-FFF2-40B4-BE49-F238E27FC236}">
              <a16:creationId xmlns:a16="http://schemas.microsoft.com/office/drawing/2014/main" id="{B1FBB878-8E89-4992-98B8-8497CD39E6CC}"/>
            </a:ext>
          </a:extLst>
        </xdr:cNvPr>
        <xdr:cNvCxnSpPr/>
      </xdr:nvCxnSpPr>
      <xdr:spPr>
        <a:xfrm>
          <a:off x="7025639" y="35239661"/>
          <a:ext cx="246186" cy="0"/>
        </a:xfrm>
        <a:prstGeom prst="straightConnector1">
          <a:avLst/>
        </a:prstGeom>
        <a:ln w="38100">
          <a:solidFill>
            <a:srgbClr val="EF4423"/>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29504</xdr:colOff>
      <xdr:row>205</xdr:row>
      <xdr:rowOff>176770</xdr:rowOff>
    </xdr:from>
    <xdr:to>
      <xdr:col>11</xdr:col>
      <xdr:colOff>263157</xdr:colOff>
      <xdr:row>206</xdr:row>
      <xdr:rowOff>177477</xdr:rowOff>
    </xdr:to>
    <xdr:sp macro="" textlink="">
      <xdr:nvSpPr>
        <xdr:cNvPr id="7" name="Dowolny kształt: kształt 6">
          <a:extLst>
            <a:ext uri="{FF2B5EF4-FFF2-40B4-BE49-F238E27FC236}">
              <a16:creationId xmlns:a16="http://schemas.microsoft.com/office/drawing/2014/main" id="{912AB879-7D8F-4B92-A501-2FE9948B055A}"/>
            </a:ext>
          </a:extLst>
        </xdr:cNvPr>
        <xdr:cNvSpPr>
          <a:spLocks noChangeAspect="1"/>
        </xdr:cNvSpPr>
      </xdr:nvSpPr>
      <xdr:spPr>
        <a:xfrm>
          <a:off x="6135942" y="34315414"/>
          <a:ext cx="233653" cy="183378"/>
        </a:xfrm>
        <a:custGeom>
          <a:avLst/>
          <a:gdLst>
            <a:gd name="connsiteX0" fmla="*/ 403592 w 504575"/>
            <a:gd name="connsiteY0" fmla="*/ 386034 h 388710"/>
            <a:gd name="connsiteX1" fmla="*/ 417070 w 504575"/>
            <a:gd name="connsiteY1" fmla="*/ 385800 h 388710"/>
            <a:gd name="connsiteX2" fmla="*/ 417070 w 504575"/>
            <a:gd name="connsiteY2" fmla="*/ 372555 h 388710"/>
            <a:gd name="connsiteX3" fmla="*/ 349330 w 504575"/>
            <a:gd name="connsiteY3" fmla="*/ 304803 h 388710"/>
            <a:gd name="connsiteX4" fmla="*/ 420682 w 504575"/>
            <a:gd name="connsiteY4" fmla="*/ 233447 h 388710"/>
            <a:gd name="connsiteX5" fmla="*/ 488423 w 504575"/>
            <a:gd name="connsiteY5" fmla="*/ 301190 h 388710"/>
            <a:gd name="connsiteX6" fmla="*/ 501900 w 504575"/>
            <a:gd name="connsiteY6" fmla="*/ 300955 h 388710"/>
            <a:gd name="connsiteX7" fmla="*/ 501900 w 504575"/>
            <a:gd name="connsiteY7" fmla="*/ 287710 h 388710"/>
            <a:gd name="connsiteX8" fmla="*/ 434160 w 504575"/>
            <a:gd name="connsiteY8" fmla="*/ 219967 h 388710"/>
            <a:gd name="connsiteX9" fmla="*/ 486107 w 504575"/>
            <a:gd name="connsiteY9" fmla="*/ 168012 h 388710"/>
            <a:gd name="connsiteX10" fmla="*/ 418709 w 504575"/>
            <a:gd name="connsiteY10" fmla="*/ 100603 h 388710"/>
            <a:gd name="connsiteX11" fmla="*/ 223828 w 504575"/>
            <a:gd name="connsiteY11" fmla="*/ 93987 h 388710"/>
            <a:gd name="connsiteX12" fmla="*/ 203183 w 504575"/>
            <a:gd name="connsiteY12" fmla="*/ 72642 h 388710"/>
            <a:gd name="connsiteX13" fmla="*/ 31902 w 504575"/>
            <a:gd name="connsiteY13" fmla="*/ 0 h 388710"/>
            <a:gd name="connsiteX14" fmla="*/ 0 w 504575"/>
            <a:gd name="connsiteY14" fmla="*/ 0 h 388710"/>
            <a:gd name="connsiteX15" fmla="*/ 0 w 504575"/>
            <a:gd name="connsiteY15" fmla="*/ 19066 h 388710"/>
            <a:gd name="connsiteX16" fmla="*/ 31902 w 504575"/>
            <a:gd name="connsiteY16" fmla="*/ 19066 h 388710"/>
            <a:gd name="connsiteX17" fmla="*/ 189477 w 504575"/>
            <a:gd name="connsiteY17" fmla="*/ 85903 h 388710"/>
            <a:gd name="connsiteX18" fmla="*/ 210322 w 504575"/>
            <a:gd name="connsiteY18" fmla="*/ 107457 h 388710"/>
            <a:gd name="connsiteX19" fmla="*/ 216518 w 504575"/>
            <a:gd name="connsiteY19" fmla="*/ 302829 h 388710"/>
            <a:gd name="connsiteX20" fmla="*/ 283915 w 504575"/>
            <a:gd name="connsiteY20" fmla="*/ 370238 h 388710"/>
            <a:gd name="connsiteX21" fmla="*/ 335852 w 504575"/>
            <a:gd name="connsiteY21" fmla="*/ 318282 h 388710"/>
            <a:gd name="connsiteX22" fmla="*/ 229995 w 504575"/>
            <a:gd name="connsiteY22" fmla="*/ 289349 h 388710"/>
            <a:gd name="connsiteX23" fmla="*/ 229995 w 504575"/>
            <a:gd name="connsiteY23" fmla="*/ 114083 h 388710"/>
            <a:gd name="connsiteX24" fmla="*/ 405232 w 504575"/>
            <a:gd name="connsiteY24" fmla="*/ 114083 h 388710"/>
            <a:gd name="connsiteX25" fmla="*/ 459151 w 504575"/>
            <a:gd name="connsiteY25" fmla="*/ 168012 h 388710"/>
            <a:gd name="connsiteX26" fmla="*/ 283915 w 504575"/>
            <a:gd name="connsiteY26" fmla="*/ 343278 h 38871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504575" h="388710">
              <a:moveTo>
                <a:pt x="403592" y="386034"/>
              </a:moveTo>
              <a:cubicBezTo>
                <a:pt x="407378" y="389692"/>
                <a:pt x="413413" y="389587"/>
                <a:pt x="417070" y="385800"/>
              </a:cubicBezTo>
              <a:cubicBezTo>
                <a:pt x="420638" y="382106"/>
                <a:pt x="420638" y="376249"/>
                <a:pt x="417070" y="372555"/>
              </a:cubicBezTo>
              <a:lnTo>
                <a:pt x="349330" y="304803"/>
              </a:lnTo>
              <a:lnTo>
                <a:pt x="420682" y="233447"/>
              </a:lnTo>
              <a:lnTo>
                <a:pt x="488423" y="301190"/>
              </a:lnTo>
              <a:cubicBezTo>
                <a:pt x="492210" y="304847"/>
                <a:pt x="498243" y="304743"/>
                <a:pt x="501900" y="300955"/>
              </a:cubicBezTo>
              <a:cubicBezTo>
                <a:pt x="505468" y="297261"/>
                <a:pt x="505468" y="291404"/>
                <a:pt x="501900" y="287710"/>
              </a:cubicBezTo>
              <a:lnTo>
                <a:pt x="434160" y="219967"/>
              </a:lnTo>
              <a:lnTo>
                <a:pt x="486107" y="168012"/>
              </a:lnTo>
              <a:lnTo>
                <a:pt x="418709" y="100603"/>
              </a:lnTo>
              <a:cubicBezTo>
                <a:pt x="365628" y="47409"/>
                <a:pt x="280393" y="44515"/>
                <a:pt x="223828" y="93987"/>
              </a:cubicBezTo>
              <a:lnTo>
                <a:pt x="203183" y="72642"/>
              </a:lnTo>
              <a:cubicBezTo>
                <a:pt x="158210" y="26332"/>
                <a:pt x="96450" y="139"/>
                <a:pt x="31902" y="0"/>
              </a:cubicBezTo>
              <a:lnTo>
                <a:pt x="0" y="0"/>
              </a:lnTo>
              <a:lnTo>
                <a:pt x="0" y="19066"/>
              </a:lnTo>
              <a:lnTo>
                <a:pt x="31902" y="19066"/>
              </a:lnTo>
              <a:cubicBezTo>
                <a:pt x="91285" y="19200"/>
                <a:pt x="148101" y="43299"/>
                <a:pt x="189477" y="85903"/>
              </a:cubicBezTo>
              <a:lnTo>
                <a:pt x="210322" y="107457"/>
              </a:lnTo>
              <a:cubicBezTo>
                <a:pt x="160558" y="164028"/>
                <a:pt x="163270" y="249527"/>
                <a:pt x="216518" y="302829"/>
              </a:cubicBezTo>
              <a:lnTo>
                <a:pt x="283915" y="370238"/>
              </a:lnTo>
              <a:lnTo>
                <a:pt x="335852" y="318282"/>
              </a:lnTo>
              <a:close/>
              <a:moveTo>
                <a:pt x="229995" y="289349"/>
              </a:moveTo>
              <a:cubicBezTo>
                <a:pt x="181605" y="240951"/>
                <a:pt x="181605" y="162482"/>
                <a:pt x="229995" y="114083"/>
              </a:cubicBezTo>
              <a:cubicBezTo>
                <a:pt x="278386" y="65684"/>
                <a:pt x="356841" y="65684"/>
                <a:pt x="405232" y="114083"/>
              </a:cubicBezTo>
              <a:lnTo>
                <a:pt x="459151" y="168012"/>
              </a:lnTo>
              <a:lnTo>
                <a:pt x="283915" y="343278"/>
              </a:lnTo>
              <a:close/>
            </a:path>
          </a:pathLst>
        </a:custGeom>
        <a:solidFill>
          <a:srgbClr val="000000"/>
        </a:solidFill>
        <a:ln w="9525" cap="flat">
          <a:noFill/>
          <a:prstDash val="solid"/>
          <a:miter/>
        </a:ln>
      </xdr:spPr>
      <xdr:txBody>
        <a:bodyPr rtlCol="0" anchor="ctr"/>
        <a:lstStyle/>
        <a:p>
          <a:endParaRPr lang="en-US"/>
        </a:p>
      </xdr:txBody>
    </xdr:sp>
    <xdr:clientData/>
  </xdr:twoCellAnchor>
  <xdr:oneCellAnchor>
    <xdr:from>
      <xdr:col>17</xdr:col>
      <xdr:colOff>504825</xdr:colOff>
      <xdr:row>27</xdr:row>
      <xdr:rowOff>19050</xdr:rowOff>
    </xdr:from>
    <xdr:ext cx="1341008" cy="253916"/>
    <xdr:sp macro="[0]!reset" textlink="">
      <xdr:nvSpPr>
        <xdr:cNvPr id="6" name="pole tekstowe 5">
          <a:extLst>
            <a:ext uri="{FF2B5EF4-FFF2-40B4-BE49-F238E27FC236}">
              <a16:creationId xmlns:a16="http://schemas.microsoft.com/office/drawing/2014/main" id="{01FE41A7-D94F-49E6-928F-A10FE3D98BD5}"/>
            </a:ext>
          </a:extLst>
        </xdr:cNvPr>
        <xdr:cNvSpPr txBox="1"/>
      </xdr:nvSpPr>
      <xdr:spPr>
        <a:xfrm>
          <a:off x="10258425" y="4371975"/>
          <a:ext cx="1341008" cy="253916"/>
        </a:xfrm>
        <a:prstGeom prst="rect">
          <a:avLst/>
        </a:prstGeom>
        <a:solidFill>
          <a:srgbClr val="EF4423"/>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l-PL" sz="1050" u="none">
              <a:solidFill>
                <a:schemeClr val="bg1"/>
              </a:solidFill>
              <a:latin typeface="Roboto Condensed" panose="02000000000000000000" pitchFamily="2" charset="0"/>
              <a:ea typeface="Roboto Condensed" panose="02000000000000000000" pitchFamily="2" charset="0"/>
            </a:rPr>
            <a:t>Reset</a:t>
          </a:r>
          <a:r>
            <a:rPr lang="pl-PL" sz="1050" u="none" baseline="0">
              <a:solidFill>
                <a:schemeClr val="bg1"/>
              </a:solidFill>
              <a:latin typeface="Roboto Condensed" panose="02000000000000000000" pitchFamily="2" charset="0"/>
              <a:ea typeface="Roboto Condensed" panose="02000000000000000000" pitchFamily="2" charset="0"/>
            </a:rPr>
            <a:t> danych arkusza</a:t>
          </a:r>
          <a:endParaRPr lang="en-US" sz="1050" u="none">
            <a:solidFill>
              <a:schemeClr val="bg1"/>
            </a:solidFill>
            <a:latin typeface="Roboto Condensed" panose="02000000000000000000" pitchFamily="2" charset="0"/>
            <a:ea typeface="Roboto Condensed" panose="02000000000000000000" pitchFamily="2" charset="0"/>
          </a:endParaRPr>
        </a:p>
      </xdr:txBody>
    </xdr:sp>
    <xdr:clientData/>
  </xdr:oneCellAnchor>
  <xdr:twoCellAnchor editAs="oneCell">
    <xdr:from>
      <xdr:col>16</xdr:col>
      <xdr:colOff>277256</xdr:colOff>
      <xdr:row>175</xdr:row>
      <xdr:rowOff>89687</xdr:rowOff>
    </xdr:from>
    <xdr:to>
      <xdr:col>17</xdr:col>
      <xdr:colOff>38713</xdr:colOff>
      <xdr:row>177</xdr:row>
      <xdr:rowOff>96310</xdr:rowOff>
    </xdr:to>
    <xdr:pic>
      <xdr:nvPicPr>
        <xdr:cNvPr id="13" name="Grafika 12" descr="Rozwidlenie drogi kontur">
          <a:extLst>
            <a:ext uri="{FF2B5EF4-FFF2-40B4-BE49-F238E27FC236}">
              <a16:creationId xmlns:a16="http://schemas.microsoft.com/office/drawing/2014/main" id="{0A8D50E2-2CC5-4AD1-93D9-05D755C77665}"/>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 uri="{96DAC541-7B7A-43D3-8B79-37D633B846F1}">
              <asvg:svgBlip xmlns:asvg="http://schemas.microsoft.com/office/drawing/2016/SVG/main" r:embed="rId18"/>
            </a:ext>
          </a:extLst>
        </a:blip>
        <a:stretch>
          <a:fillRect/>
        </a:stretch>
      </xdr:blipFill>
      <xdr:spPr>
        <a:xfrm rot="10800000">
          <a:off x="9418183" y="25246441"/>
          <a:ext cx="368292" cy="363902"/>
        </a:xfrm>
        <a:prstGeom prst="rect">
          <a:avLst/>
        </a:prstGeom>
      </xdr:spPr>
    </xdr:pic>
    <xdr:clientData/>
  </xdr:twoCellAnchor>
  <xdr:twoCellAnchor editAs="oneCell">
    <xdr:from>
      <xdr:col>16</xdr:col>
      <xdr:colOff>285919</xdr:colOff>
      <xdr:row>177</xdr:row>
      <xdr:rowOff>82535</xdr:rowOff>
    </xdr:from>
    <xdr:to>
      <xdr:col>17</xdr:col>
      <xdr:colOff>17745</xdr:colOff>
      <xdr:row>180</xdr:row>
      <xdr:rowOff>77756</xdr:rowOff>
    </xdr:to>
    <xdr:pic>
      <xdr:nvPicPr>
        <xdr:cNvPr id="17" name="Grafika 16" descr="Połączenie kontur">
          <a:extLst>
            <a:ext uri="{FF2B5EF4-FFF2-40B4-BE49-F238E27FC236}">
              <a16:creationId xmlns:a16="http://schemas.microsoft.com/office/drawing/2014/main" id="{FEA36EA1-40C2-4D39-BABB-E1F8C585C3EF}"/>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 uri="{96DAC541-7B7A-43D3-8B79-37D633B846F1}">
              <asvg:svgBlip xmlns:asvg="http://schemas.microsoft.com/office/drawing/2016/SVG/main" r:embed="rId20"/>
            </a:ext>
          </a:extLst>
        </a:blip>
        <a:stretch>
          <a:fillRect/>
        </a:stretch>
      </xdr:blipFill>
      <xdr:spPr>
        <a:xfrm rot="16200000">
          <a:off x="9426655" y="25608190"/>
          <a:ext cx="348568" cy="348186"/>
        </a:xfrm>
        <a:prstGeom prst="rect">
          <a:avLst/>
        </a:prstGeom>
      </xdr:spPr>
    </xdr:pic>
    <xdr:clientData/>
  </xdr:twoCellAnchor>
  <xdr:twoCellAnchor editAs="oneCell">
    <xdr:from>
      <xdr:col>10</xdr:col>
      <xdr:colOff>567148</xdr:colOff>
      <xdr:row>172</xdr:row>
      <xdr:rowOff>91441</xdr:rowOff>
    </xdr:from>
    <xdr:to>
      <xdr:col>11</xdr:col>
      <xdr:colOff>573992</xdr:colOff>
      <xdr:row>175</xdr:row>
      <xdr:rowOff>171927</xdr:rowOff>
    </xdr:to>
    <xdr:pic>
      <xdr:nvPicPr>
        <xdr:cNvPr id="22" name="Grafika 21" descr="Wietrznie kontur">
          <a:extLst>
            <a:ext uri="{FF2B5EF4-FFF2-40B4-BE49-F238E27FC236}">
              <a16:creationId xmlns:a16="http://schemas.microsoft.com/office/drawing/2014/main" id="{02B0BE6D-2B66-4F13-B4B9-F5A774559356}"/>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 uri="{96DAC541-7B7A-43D3-8B79-37D633B846F1}">
              <asvg:svgBlip xmlns:asvg="http://schemas.microsoft.com/office/drawing/2016/SVG/main" r:embed="rId22"/>
            </a:ext>
          </a:extLst>
        </a:blip>
        <a:stretch>
          <a:fillRect/>
        </a:stretch>
      </xdr:blipFill>
      <xdr:spPr>
        <a:xfrm>
          <a:off x="6067836" y="23987285"/>
          <a:ext cx="614062" cy="604837"/>
        </a:xfrm>
        <a:prstGeom prst="rect">
          <a:avLst/>
        </a:prstGeom>
      </xdr:spPr>
    </xdr:pic>
    <xdr:clientData/>
  </xdr:twoCellAnchor>
  <xdr:twoCellAnchor>
    <xdr:from>
      <xdr:col>1</xdr:col>
      <xdr:colOff>344805</xdr:colOff>
      <xdr:row>172</xdr:row>
      <xdr:rowOff>77152</xdr:rowOff>
    </xdr:from>
    <xdr:to>
      <xdr:col>2</xdr:col>
      <xdr:colOff>540393</xdr:colOff>
      <xdr:row>175</xdr:row>
      <xdr:rowOff>79534</xdr:rowOff>
    </xdr:to>
    <xdr:grpSp>
      <xdr:nvGrpSpPr>
        <xdr:cNvPr id="187" name="Grupa 186">
          <a:extLst>
            <a:ext uri="{FF2B5EF4-FFF2-40B4-BE49-F238E27FC236}">
              <a16:creationId xmlns:a16="http://schemas.microsoft.com/office/drawing/2014/main" id="{A69260A9-682F-4F0F-B1E8-AF4F9E8C448B}"/>
            </a:ext>
          </a:extLst>
        </xdr:cNvPr>
        <xdr:cNvGrpSpPr>
          <a:grpSpLocks noChangeAspect="1"/>
        </xdr:cNvGrpSpPr>
      </xdr:nvGrpSpPr>
      <xdr:grpSpPr>
        <a:xfrm>
          <a:off x="392430" y="24470677"/>
          <a:ext cx="654693" cy="545307"/>
          <a:chOff x="7383780" y="35272980"/>
          <a:chExt cx="1196340" cy="1196340"/>
        </a:xfrm>
      </xdr:grpSpPr>
      <xdr:pic>
        <xdr:nvPicPr>
          <xdr:cNvPr id="188" name="Grafika 187" descr="Home1 kontur">
            <a:extLst>
              <a:ext uri="{FF2B5EF4-FFF2-40B4-BE49-F238E27FC236}">
                <a16:creationId xmlns:a16="http://schemas.microsoft.com/office/drawing/2014/main" id="{22BF227F-7A4F-4C76-89CB-DF87A1794D0A}"/>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 uri="{96DAC541-7B7A-43D3-8B79-37D633B846F1}">
                <asvg:svgBlip xmlns:asvg="http://schemas.microsoft.com/office/drawing/2016/SVG/main" r:embed="rId2"/>
              </a:ext>
            </a:extLst>
          </a:blip>
          <a:stretch>
            <a:fillRect/>
          </a:stretch>
        </xdr:blipFill>
        <xdr:spPr>
          <a:xfrm>
            <a:off x="7383780" y="35272980"/>
            <a:ext cx="1196340" cy="1196340"/>
          </a:xfrm>
          <a:prstGeom prst="rect">
            <a:avLst/>
          </a:prstGeom>
        </xdr:spPr>
      </xdr:pic>
      <xdr:sp macro="" textlink="">
        <xdr:nvSpPr>
          <xdr:cNvPr id="210" name="Prostokąt 209">
            <a:extLst>
              <a:ext uri="{FF2B5EF4-FFF2-40B4-BE49-F238E27FC236}">
                <a16:creationId xmlns:a16="http://schemas.microsoft.com/office/drawing/2014/main" id="{0C27C158-45E5-4612-A308-CA69E2D4431D}"/>
              </a:ext>
            </a:extLst>
          </xdr:cNvPr>
          <xdr:cNvSpPr/>
        </xdr:nvSpPr>
        <xdr:spPr>
          <a:xfrm>
            <a:off x="7764780" y="35813981"/>
            <a:ext cx="426720" cy="41148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16</xdr:col>
      <xdr:colOff>280495</xdr:colOff>
      <xdr:row>180</xdr:row>
      <xdr:rowOff>73816</xdr:rowOff>
    </xdr:from>
    <xdr:to>
      <xdr:col>17</xdr:col>
      <xdr:colOff>18420</xdr:colOff>
      <xdr:row>182</xdr:row>
      <xdr:rowOff>53677</xdr:rowOff>
    </xdr:to>
    <xdr:pic>
      <xdr:nvPicPr>
        <xdr:cNvPr id="26" name="Grafika 25" descr="Powtarzanie kontur">
          <a:extLst>
            <a:ext uri="{FF2B5EF4-FFF2-40B4-BE49-F238E27FC236}">
              <a16:creationId xmlns:a16="http://schemas.microsoft.com/office/drawing/2014/main" id="{FCC2D25F-07C5-46E2-86A2-C1E5B81651F0}"/>
            </a:ext>
          </a:extLst>
        </xdr:cNvPr>
        <xdr:cNvPicPr>
          <a:picLocks/>
        </xdr:cNvPicPr>
      </xdr:nvPicPr>
      <xdr:blipFill>
        <a:blip xmlns:r="http://schemas.openxmlformats.org/officeDocument/2006/relationships" r:embed="rId23" cstate="email">
          <a:extLst>
            <a:ext uri="{28A0092B-C50C-407E-A947-70E740481C1C}">
              <a14:useLocalDpi xmlns:a14="http://schemas.microsoft.com/office/drawing/2010/main"/>
            </a:ext>
            <a:ext uri="{96DAC541-7B7A-43D3-8B79-37D633B846F1}">
              <asvg:svgBlip xmlns:asvg="http://schemas.microsoft.com/office/drawing/2016/SVG/main" r:embed="rId24"/>
            </a:ext>
          </a:extLst>
        </a:blip>
        <a:stretch>
          <a:fillRect/>
        </a:stretch>
      </xdr:blipFill>
      <xdr:spPr>
        <a:xfrm>
          <a:off x="9421422" y="25952626"/>
          <a:ext cx="356190" cy="35619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4</xdr:col>
      <xdr:colOff>606879</xdr:colOff>
      <xdr:row>106</xdr:row>
      <xdr:rowOff>176894</xdr:rowOff>
    </xdr:from>
    <xdr:to>
      <xdr:col>4</xdr:col>
      <xdr:colOff>1221541</xdr:colOff>
      <xdr:row>110</xdr:row>
      <xdr:rowOff>48815</xdr:rowOff>
    </xdr:to>
    <xdr:pic>
      <xdr:nvPicPr>
        <xdr:cNvPr id="2" name="Obraz 1">
          <a:extLst>
            <a:ext uri="{FF2B5EF4-FFF2-40B4-BE49-F238E27FC236}">
              <a16:creationId xmlns:a16="http://schemas.microsoft.com/office/drawing/2014/main" id="{AC07CC67-2313-4608-864A-55092DEB85FA}"/>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741965" y="20848865"/>
          <a:ext cx="614662" cy="61215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426149</xdr:colOff>
      <xdr:row>14</xdr:row>
      <xdr:rowOff>10844</xdr:rowOff>
    </xdr:from>
    <xdr:to>
      <xdr:col>0</xdr:col>
      <xdr:colOff>570149</xdr:colOff>
      <xdr:row>14</xdr:row>
      <xdr:rowOff>151034</xdr:rowOff>
    </xdr:to>
    <xdr:pic>
      <xdr:nvPicPr>
        <xdr:cNvPr id="3" name="Obraz 2">
          <a:extLst>
            <a:ext uri="{FF2B5EF4-FFF2-40B4-BE49-F238E27FC236}">
              <a16:creationId xmlns:a16="http://schemas.microsoft.com/office/drawing/2014/main" id="{00000000-0008-0000-0700-000003000000}"/>
            </a:ext>
          </a:extLst>
        </xdr:cNvPr>
        <xdr:cNvPicPr>
          <a:picLocks/>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26149" y="1132196"/>
          <a:ext cx="144000" cy="144000"/>
        </a:xfrm>
        <a:prstGeom prst="rect">
          <a:avLst/>
        </a:prstGeom>
      </xdr:spPr>
    </xdr:pic>
    <xdr:clientData/>
  </xdr:twoCellAnchor>
  <xdr:twoCellAnchor editAs="oneCell">
    <xdr:from>
      <xdr:col>0</xdr:col>
      <xdr:colOff>424268</xdr:colOff>
      <xdr:row>13</xdr:row>
      <xdr:rowOff>9419</xdr:rowOff>
    </xdr:from>
    <xdr:to>
      <xdr:col>0</xdr:col>
      <xdr:colOff>572078</xdr:colOff>
      <xdr:row>14</xdr:row>
      <xdr:rowOff>846</xdr:rowOff>
    </xdr:to>
    <xdr:pic>
      <xdr:nvPicPr>
        <xdr:cNvPr id="15" name="Obraz 14">
          <a:extLst>
            <a:ext uri="{FF2B5EF4-FFF2-40B4-BE49-F238E27FC236}">
              <a16:creationId xmlns:a16="http://schemas.microsoft.com/office/drawing/2014/main" id="{00000000-0008-0000-0700-00000F000000}"/>
            </a:ext>
          </a:extLst>
        </xdr:cNvPr>
        <xdr:cNvPicPr>
          <a:picLocks/>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24268" y="970578"/>
          <a:ext cx="144000" cy="148309"/>
        </a:xfrm>
        <a:prstGeom prst="rect">
          <a:avLst/>
        </a:prstGeom>
      </xdr:spPr>
    </xdr:pic>
    <xdr:clientData/>
  </xdr:twoCellAnchor>
  <xdr:twoCellAnchor editAs="oneCell">
    <xdr:from>
      <xdr:col>0</xdr:col>
      <xdr:colOff>366401</xdr:colOff>
      <xdr:row>15</xdr:row>
      <xdr:rowOff>6382</xdr:rowOff>
    </xdr:from>
    <xdr:to>
      <xdr:col>0</xdr:col>
      <xdr:colOff>516542</xdr:colOff>
      <xdr:row>15</xdr:row>
      <xdr:rowOff>154192</xdr:rowOff>
    </xdr:to>
    <xdr:pic>
      <xdr:nvPicPr>
        <xdr:cNvPr id="16" name="Obraz 15">
          <a:extLst>
            <a:ext uri="{FF2B5EF4-FFF2-40B4-BE49-F238E27FC236}">
              <a16:creationId xmlns:a16="http://schemas.microsoft.com/office/drawing/2014/main" id="{00000000-0008-0000-0700-000010000000}"/>
            </a:ext>
          </a:extLst>
        </xdr:cNvPr>
        <xdr:cNvPicPr>
          <a:picLocks/>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66401" y="1287927"/>
          <a:ext cx="146331" cy="144000"/>
        </a:xfrm>
        <a:prstGeom prst="rect">
          <a:avLst/>
        </a:prstGeom>
      </xdr:spPr>
    </xdr:pic>
    <xdr:clientData/>
  </xdr:twoCellAnchor>
  <xdr:twoCellAnchor editAs="oneCell">
    <xdr:from>
      <xdr:col>0</xdr:col>
      <xdr:colOff>467273</xdr:colOff>
      <xdr:row>15</xdr:row>
      <xdr:rowOff>9152</xdr:rowOff>
    </xdr:from>
    <xdr:to>
      <xdr:col>0</xdr:col>
      <xdr:colOff>611273</xdr:colOff>
      <xdr:row>15</xdr:row>
      <xdr:rowOff>154058</xdr:rowOff>
    </xdr:to>
    <xdr:pic>
      <xdr:nvPicPr>
        <xdr:cNvPr id="17" name="Obraz 16">
          <a:extLst>
            <a:ext uri="{FF2B5EF4-FFF2-40B4-BE49-F238E27FC236}">
              <a16:creationId xmlns:a16="http://schemas.microsoft.com/office/drawing/2014/main" id="{00000000-0008-0000-0700-000011000000}"/>
            </a:ext>
          </a:extLst>
        </xdr:cNvPr>
        <xdr:cNvPicPr>
          <a:picLocks/>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67273" y="2362387"/>
          <a:ext cx="144000" cy="144906"/>
        </a:xfrm>
        <a:prstGeom prst="rect">
          <a:avLst/>
        </a:prstGeom>
      </xdr:spPr>
    </xdr:pic>
    <xdr:clientData/>
  </xdr:twoCellAnchor>
  <xdr:oneCellAnchor>
    <xdr:from>
      <xdr:col>0</xdr:col>
      <xdr:colOff>426149</xdr:colOff>
      <xdr:row>6</xdr:row>
      <xdr:rowOff>10844</xdr:rowOff>
    </xdr:from>
    <xdr:ext cx="144000" cy="144000"/>
    <xdr:pic>
      <xdr:nvPicPr>
        <xdr:cNvPr id="18" name="Obraz 17">
          <a:extLst>
            <a:ext uri="{FF2B5EF4-FFF2-40B4-BE49-F238E27FC236}">
              <a16:creationId xmlns:a16="http://schemas.microsoft.com/office/drawing/2014/main" id="{00000000-0008-0000-0700-000012000000}"/>
            </a:ext>
          </a:extLst>
        </xdr:cNvPr>
        <xdr:cNvPicPr>
          <a:picLocks/>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26149" y="1579668"/>
          <a:ext cx="144000" cy="144000"/>
        </a:xfrm>
        <a:prstGeom prst="rect">
          <a:avLst/>
        </a:prstGeom>
      </xdr:spPr>
    </xdr:pic>
    <xdr:clientData/>
  </xdr:oneCellAnchor>
  <xdr:oneCellAnchor>
    <xdr:from>
      <xdr:col>0</xdr:col>
      <xdr:colOff>424268</xdr:colOff>
      <xdr:row>5</xdr:row>
      <xdr:rowOff>9419</xdr:rowOff>
    </xdr:from>
    <xdr:ext cx="144000" cy="148309"/>
    <xdr:pic>
      <xdr:nvPicPr>
        <xdr:cNvPr id="19" name="Obraz 18">
          <a:extLst>
            <a:ext uri="{FF2B5EF4-FFF2-40B4-BE49-F238E27FC236}">
              <a16:creationId xmlns:a16="http://schemas.microsoft.com/office/drawing/2014/main" id="{00000000-0008-0000-0700-000013000000}"/>
            </a:ext>
          </a:extLst>
        </xdr:cNvPr>
        <xdr:cNvPicPr>
          <a:picLocks/>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24268" y="1421360"/>
          <a:ext cx="144000" cy="148309"/>
        </a:xfrm>
        <a:prstGeom prst="rect">
          <a:avLst/>
        </a:prstGeom>
      </xdr:spPr>
    </xdr:pic>
    <xdr:clientData/>
  </xdr:oneCellAnchor>
  <xdr:oneCellAnchor>
    <xdr:from>
      <xdr:col>0</xdr:col>
      <xdr:colOff>366401</xdr:colOff>
      <xdr:row>7</xdr:row>
      <xdr:rowOff>6382</xdr:rowOff>
    </xdr:from>
    <xdr:ext cx="146331" cy="144000"/>
    <xdr:pic>
      <xdr:nvPicPr>
        <xdr:cNvPr id="20" name="Obraz 19">
          <a:extLst>
            <a:ext uri="{FF2B5EF4-FFF2-40B4-BE49-F238E27FC236}">
              <a16:creationId xmlns:a16="http://schemas.microsoft.com/office/drawing/2014/main" id="{00000000-0008-0000-0700-000014000000}"/>
            </a:ext>
          </a:extLst>
        </xdr:cNvPr>
        <xdr:cNvPicPr>
          <a:picLocks/>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366401" y="1732088"/>
          <a:ext cx="146331" cy="144000"/>
        </a:xfrm>
        <a:prstGeom prst="rect">
          <a:avLst/>
        </a:prstGeom>
      </xdr:spPr>
    </xdr:pic>
    <xdr:clientData/>
  </xdr:oneCellAnchor>
  <xdr:oneCellAnchor>
    <xdr:from>
      <xdr:col>0</xdr:col>
      <xdr:colOff>469178</xdr:colOff>
      <xdr:row>7</xdr:row>
      <xdr:rowOff>7247</xdr:rowOff>
    </xdr:from>
    <xdr:ext cx="138652" cy="143001"/>
    <xdr:pic>
      <xdr:nvPicPr>
        <xdr:cNvPr id="21" name="Obraz 20">
          <a:extLst>
            <a:ext uri="{FF2B5EF4-FFF2-40B4-BE49-F238E27FC236}">
              <a16:creationId xmlns:a16="http://schemas.microsoft.com/office/drawing/2014/main" id="{00000000-0008-0000-0700-000015000000}"/>
            </a:ext>
          </a:extLst>
        </xdr:cNvPr>
        <xdr:cNvPicPr>
          <a:picLocks/>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69178" y="1732953"/>
          <a:ext cx="138652" cy="143001"/>
        </a:xfrm>
        <a:prstGeom prst="rect">
          <a:avLst/>
        </a:prstGeom>
      </xdr:spPr>
    </xdr:pic>
    <xdr:clientData/>
  </xdr:oneCellAnchor>
  <xdr:oneCellAnchor>
    <xdr:from>
      <xdr:col>0</xdr:col>
      <xdr:colOff>426149</xdr:colOff>
      <xdr:row>10</xdr:row>
      <xdr:rowOff>10844</xdr:rowOff>
    </xdr:from>
    <xdr:ext cx="144000" cy="144000"/>
    <xdr:pic>
      <xdr:nvPicPr>
        <xdr:cNvPr id="22" name="Obraz 21">
          <a:extLst>
            <a:ext uri="{FF2B5EF4-FFF2-40B4-BE49-F238E27FC236}">
              <a16:creationId xmlns:a16="http://schemas.microsoft.com/office/drawing/2014/main" id="{00000000-0008-0000-0700-000016000000}"/>
            </a:ext>
          </a:extLst>
        </xdr:cNvPr>
        <xdr:cNvPicPr>
          <a:picLocks/>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26149" y="952138"/>
          <a:ext cx="144000" cy="144000"/>
        </a:xfrm>
        <a:prstGeom prst="rect">
          <a:avLst/>
        </a:prstGeom>
      </xdr:spPr>
    </xdr:pic>
    <xdr:clientData/>
  </xdr:oneCellAnchor>
  <xdr:oneCellAnchor>
    <xdr:from>
      <xdr:col>0</xdr:col>
      <xdr:colOff>424268</xdr:colOff>
      <xdr:row>9</xdr:row>
      <xdr:rowOff>9419</xdr:rowOff>
    </xdr:from>
    <xdr:ext cx="144000" cy="148309"/>
    <xdr:pic>
      <xdr:nvPicPr>
        <xdr:cNvPr id="23" name="Obraz 22">
          <a:extLst>
            <a:ext uri="{FF2B5EF4-FFF2-40B4-BE49-F238E27FC236}">
              <a16:creationId xmlns:a16="http://schemas.microsoft.com/office/drawing/2014/main" id="{00000000-0008-0000-0700-000017000000}"/>
            </a:ext>
          </a:extLst>
        </xdr:cNvPr>
        <xdr:cNvPicPr>
          <a:picLocks/>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24268" y="793831"/>
          <a:ext cx="144000" cy="148309"/>
        </a:xfrm>
        <a:prstGeom prst="rect">
          <a:avLst/>
        </a:prstGeom>
      </xdr:spPr>
    </xdr:pic>
    <xdr:clientData/>
  </xdr:oneCellAnchor>
  <xdr:oneCellAnchor>
    <xdr:from>
      <xdr:col>0</xdr:col>
      <xdr:colOff>366401</xdr:colOff>
      <xdr:row>11</xdr:row>
      <xdr:rowOff>6382</xdr:rowOff>
    </xdr:from>
    <xdr:ext cx="146331" cy="144000"/>
    <xdr:pic>
      <xdr:nvPicPr>
        <xdr:cNvPr id="24" name="Obraz 23">
          <a:extLst>
            <a:ext uri="{FF2B5EF4-FFF2-40B4-BE49-F238E27FC236}">
              <a16:creationId xmlns:a16="http://schemas.microsoft.com/office/drawing/2014/main" id="{00000000-0008-0000-0700-000018000000}"/>
            </a:ext>
          </a:extLst>
        </xdr:cNvPr>
        <xdr:cNvPicPr>
          <a:picLocks/>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366401" y="1104558"/>
          <a:ext cx="146331" cy="144000"/>
        </a:xfrm>
        <a:prstGeom prst="rect">
          <a:avLst/>
        </a:prstGeom>
      </xdr:spPr>
    </xdr:pic>
    <xdr:clientData/>
  </xdr:oneCellAnchor>
  <xdr:oneCellAnchor>
    <xdr:from>
      <xdr:col>0</xdr:col>
      <xdr:colOff>469178</xdr:colOff>
      <xdr:row>11</xdr:row>
      <xdr:rowOff>7247</xdr:rowOff>
    </xdr:from>
    <xdr:ext cx="138652" cy="143001"/>
    <xdr:pic>
      <xdr:nvPicPr>
        <xdr:cNvPr id="25" name="Obraz 24">
          <a:extLst>
            <a:ext uri="{FF2B5EF4-FFF2-40B4-BE49-F238E27FC236}">
              <a16:creationId xmlns:a16="http://schemas.microsoft.com/office/drawing/2014/main" id="{00000000-0008-0000-0700-000019000000}"/>
            </a:ext>
          </a:extLst>
        </xdr:cNvPr>
        <xdr:cNvPicPr>
          <a:picLocks/>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69178" y="1105423"/>
          <a:ext cx="138652" cy="143001"/>
        </a:xfrm>
        <a:prstGeom prst="rect">
          <a:avLst/>
        </a:prstGeom>
      </xdr:spPr>
    </xdr:pic>
    <xdr:clientData/>
  </xdr:oneCellAnchor>
  <xdr:oneCellAnchor>
    <xdr:from>
      <xdr:col>0</xdr:col>
      <xdr:colOff>426149</xdr:colOff>
      <xdr:row>26</xdr:row>
      <xdr:rowOff>10844</xdr:rowOff>
    </xdr:from>
    <xdr:ext cx="144000" cy="144000"/>
    <xdr:pic>
      <xdr:nvPicPr>
        <xdr:cNvPr id="32" name="Obraz 31">
          <a:extLst>
            <a:ext uri="{FF2B5EF4-FFF2-40B4-BE49-F238E27FC236}">
              <a16:creationId xmlns:a16="http://schemas.microsoft.com/office/drawing/2014/main" id="{00000000-0008-0000-0700-000020000000}"/>
            </a:ext>
          </a:extLst>
        </xdr:cNvPr>
        <xdr:cNvPicPr>
          <a:picLocks/>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26149" y="952138"/>
          <a:ext cx="144000" cy="144000"/>
        </a:xfrm>
        <a:prstGeom prst="rect">
          <a:avLst/>
        </a:prstGeom>
      </xdr:spPr>
    </xdr:pic>
    <xdr:clientData/>
  </xdr:oneCellAnchor>
  <xdr:oneCellAnchor>
    <xdr:from>
      <xdr:col>0</xdr:col>
      <xdr:colOff>424268</xdr:colOff>
      <xdr:row>25</xdr:row>
      <xdr:rowOff>9419</xdr:rowOff>
    </xdr:from>
    <xdr:ext cx="144000" cy="148309"/>
    <xdr:pic>
      <xdr:nvPicPr>
        <xdr:cNvPr id="33" name="Obraz 32">
          <a:extLst>
            <a:ext uri="{FF2B5EF4-FFF2-40B4-BE49-F238E27FC236}">
              <a16:creationId xmlns:a16="http://schemas.microsoft.com/office/drawing/2014/main" id="{00000000-0008-0000-0700-000021000000}"/>
            </a:ext>
          </a:extLst>
        </xdr:cNvPr>
        <xdr:cNvPicPr>
          <a:picLocks/>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24268" y="793831"/>
          <a:ext cx="144000" cy="148309"/>
        </a:xfrm>
        <a:prstGeom prst="rect">
          <a:avLst/>
        </a:prstGeom>
      </xdr:spPr>
    </xdr:pic>
    <xdr:clientData/>
  </xdr:oneCellAnchor>
  <xdr:oneCellAnchor>
    <xdr:from>
      <xdr:col>0</xdr:col>
      <xdr:colOff>366401</xdr:colOff>
      <xdr:row>27</xdr:row>
      <xdr:rowOff>6382</xdr:rowOff>
    </xdr:from>
    <xdr:ext cx="146331" cy="144000"/>
    <xdr:pic>
      <xdr:nvPicPr>
        <xdr:cNvPr id="34" name="Obraz 33">
          <a:extLst>
            <a:ext uri="{FF2B5EF4-FFF2-40B4-BE49-F238E27FC236}">
              <a16:creationId xmlns:a16="http://schemas.microsoft.com/office/drawing/2014/main" id="{00000000-0008-0000-0700-000022000000}"/>
            </a:ext>
          </a:extLst>
        </xdr:cNvPr>
        <xdr:cNvPicPr>
          <a:picLocks/>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366401" y="1104558"/>
          <a:ext cx="146331" cy="144000"/>
        </a:xfrm>
        <a:prstGeom prst="rect">
          <a:avLst/>
        </a:prstGeom>
      </xdr:spPr>
    </xdr:pic>
    <xdr:clientData/>
  </xdr:oneCellAnchor>
  <xdr:oneCellAnchor>
    <xdr:from>
      <xdr:col>0</xdr:col>
      <xdr:colOff>469178</xdr:colOff>
      <xdr:row>27</xdr:row>
      <xdr:rowOff>7247</xdr:rowOff>
    </xdr:from>
    <xdr:ext cx="138652" cy="143001"/>
    <xdr:pic>
      <xdr:nvPicPr>
        <xdr:cNvPr id="35" name="Obraz 34">
          <a:extLst>
            <a:ext uri="{FF2B5EF4-FFF2-40B4-BE49-F238E27FC236}">
              <a16:creationId xmlns:a16="http://schemas.microsoft.com/office/drawing/2014/main" id="{00000000-0008-0000-0700-000023000000}"/>
            </a:ext>
          </a:extLst>
        </xdr:cNvPr>
        <xdr:cNvPicPr>
          <a:picLocks/>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69178" y="1105423"/>
          <a:ext cx="138652" cy="143001"/>
        </a:xfrm>
        <a:prstGeom prst="rect">
          <a:avLst/>
        </a:prstGeom>
      </xdr:spPr>
    </xdr:pic>
    <xdr:clientData/>
  </xdr:oneCellAnchor>
  <xdr:oneCellAnchor>
    <xdr:from>
      <xdr:col>0</xdr:col>
      <xdr:colOff>426149</xdr:colOff>
      <xdr:row>30</xdr:row>
      <xdr:rowOff>10844</xdr:rowOff>
    </xdr:from>
    <xdr:ext cx="144000" cy="144000"/>
    <xdr:pic>
      <xdr:nvPicPr>
        <xdr:cNvPr id="36" name="Obraz 35">
          <a:extLst>
            <a:ext uri="{FF2B5EF4-FFF2-40B4-BE49-F238E27FC236}">
              <a16:creationId xmlns:a16="http://schemas.microsoft.com/office/drawing/2014/main" id="{00000000-0008-0000-0700-000024000000}"/>
            </a:ext>
          </a:extLst>
        </xdr:cNvPr>
        <xdr:cNvPicPr>
          <a:picLocks/>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26149" y="3932903"/>
          <a:ext cx="144000" cy="144000"/>
        </a:xfrm>
        <a:prstGeom prst="rect">
          <a:avLst/>
        </a:prstGeom>
      </xdr:spPr>
    </xdr:pic>
    <xdr:clientData/>
  </xdr:oneCellAnchor>
  <xdr:oneCellAnchor>
    <xdr:from>
      <xdr:col>0</xdr:col>
      <xdr:colOff>424268</xdr:colOff>
      <xdr:row>29</xdr:row>
      <xdr:rowOff>9419</xdr:rowOff>
    </xdr:from>
    <xdr:ext cx="144000" cy="148309"/>
    <xdr:pic>
      <xdr:nvPicPr>
        <xdr:cNvPr id="37" name="Obraz 36">
          <a:extLst>
            <a:ext uri="{FF2B5EF4-FFF2-40B4-BE49-F238E27FC236}">
              <a16:creationId xmlns:a16="http://schemas.microsoft.com/office/drawing/2014/main" id="{00000000-0008-0000-0700-000025000000}"/>
            </a:ext>
          </a:extLst>
        </xdr:cNvPr>
        <xdr:cNvPicPr>
          <a:picLocks/>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24268" y="3774595"/>
          <a:ext cx="144000" cy="148309"/>
        </a:xfrm>
        <a:prstGeom prst="rect">
          <a:avLst/>
        </a:prstGeom>
      </xdr:spPr>
    </xdr:pic>
    <xdr:clientData/>
  </xdr:oneCellAnchor>
  <xdr:oneCellAnchor>
    <xdr:from>
      <xdr:col>0</xdr:col>
      <xdr:colOff>366401</xdr:colOff>
      <xdr:row>31</xdr:row>
      <xdr:rowOff>6382</xdr:rowOff>
    </xdr:from>
    <xdr:ext cx="146331" cy="144000"/>
    <xdr:pic>
      <xdr:nvPicPr>
        <xdr:cNvPr id="38" name="Obraz 37">
          <a:extLst>
            <a:ext uri="{FF2B5EF4-FFF2-40B4-BE49-F238E27FC236}">
              <a16:creationId xmlns:a16="http://schemas.microsoft.com/office/drawing/2014/main" id="{00000000-0008-0000-0700-000026000000}"/>
            </a:ext>
          </a:extLst>
        </xdr:cNvPr>
        <xdr:cNvPicPr>
          <a:picLocks/>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366401" y="4085323"/>
          <a:ext cx="146331" cy="144000"/>
        </a:xfrm>
        <a:prstGeom prst="rect">
          <a:avLst/>
        </a:prstGeom>
      </xdr:spPr>
    </xdr:pic>
    <xdr:clientData/>
  </xdr:oneCellAnchor>
  <xdr:oneCellAnchor>
    <xdr:from>
      <xdr:col>0</xdr:col>
      <xdr:colOff>469178</xdr:colOff>
      <xdr:row>31</xdr:row>
      <xdr:rowOff>7247</xdr:rowOff>
    </xdr:from>
    <xdr:ext cx="138652" cy="143001"/>
    <xdr:pic>
      <xdr:nvPicPr>
        <xdr:cNvPr id="39" name="Obraz 38">
          <a:extLst>
            <a:ext uri="{FF2B5EF4-FFF2-40B4-BE49-F238E27FC236}">
              <a16:creationId xmlns:a16="http://schemas.microsoft.com/office/drawing/2014/main" id="{00000000-0008-0000-0700-000027000000}"/>
            </a:ext>
          </a:extLst>
        </xdr:cNvPr>
        <xdr:cNvPicPr>
          <a:picLocks/>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69178" y="4086188"/>
          <a:ext cx="138652" cy="143001"/>
        </a:xfrm>
        <a:prstGeom prst="rect">
          <a:avLst/>
        </a:prstGeom>
      </xdr:spPr>
    </xdr:pic>
    <xdr:clientData/>
  </xdr:oneCellAnchor>
  <xdr:oneCellAnchor>
    <xdr:from>
      <xdr:col>0</xdr:col>
      <xdr:colOff>426149</xdr:colOff>
      <xdr:row>34</xdr:row>
      <xdr:rowOff>10844</xdr:rowOff>
    </xdr:from>
    <xdr:ext cx="144000" cy="144000"/>
    <xdr:pic>
      <xdr:nvPicPr>
        <xdr:cNvPr id="40" name="Obraz 39">
          <a:extLst>
            <a:ext uri="{FF2B5EF4-FFF2-40B4-BE49-F238E27FC236}">
              <a16:creationId xmlns:a16="http://schemas.microsoft.com/office/drawing/2014/main" id="{00000000-0008-0000-0700-000028000000}"/>
            </a:ext>
          </a:extLst>
        </xdr:cNvPr>
        <xdr:cNvPicPr>
          <a:picLocks/>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26149" y="3932903"/>
          <a:ext cx="144000" cy="144000"/>
        </a:xfrm>
        <a:prstGeom prst="rect">
          <a:avLst/>
        </a:prstGeom>
      </xdr:spPr>
    </xdr:pic>
    <xdr:clientData/>
  </xdr:oneCellAnchor>
  <xdr:oneCellAnchor>
    <xdr:from>
      <xdr:col>0</xdr:col>
      <xdr:colOff>424268</xdr:colOff>
      <xdr:row>33</xdr:row>
      <xdr:rowOff>9419</xdr:rowOff>
    </xdr:from>
    <xdr:ext cx="144000" cy="148309"/>
    <xdr:pic>
      <xdr:nvPicPr>
        <xdr:cNvPr id="41" name="Obraz 40">
          <a:extLst>
            <a:ext uri="{FF2B5EF4-FFF2-40B4-BE49-F238E27FC236}">
              <a16:creationId xmlns:a16="http://schemas.microsoft.com/office/drawing/2014/main" id="{00000000-0008-0000-0700-000029000000}"/>
            </a:ext>
          </a:extLst>
        </xdr:cNvPr>
        <xdr:cNvPicPr>
          <a:picLocks/>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24268" y="3774595"/>
          <a:ext cx="144000" cy="148309"/>
        </a:xfrm>
        <a:prstGeom prst="rect">
          <a:avLst/>
        </a:prstGeom>
      </xdr:spPr>
    </xdr:pic>
    <xdr:clientData/>
  </xdr:oneCellAnchor>
  <xdr:oneCellAnchor>
    <xdr:from>
      <xdr:col>0</xdr:col>
      <xdr:colOff>366401</xdr:colOff>
      <xdr:row>35</xdr:row>
      <xdr:rowOff>6382</xdr:rowOff>
    </xdr:from>
    <xdr:ext cx="146331" cy="144000"/>
    <xdr:pic>
      <xdr:nvPicPr>
        <xdr:cNvPr id="42" name="Obraz 41">
          <a:extLst>
            <a:ext uri="{FF2B5EF4-FFF2-40B4-BE49-F238E27FC236}">
              <a16:creationId xmlns:a16="http://schemas.microsoft.com/office/drawing/2014/main" id="{00000000-0008-0000-0700-00002A000000}"/>
            </a:ext>
          </a:extLst>
        </xdr:cNvPr>
        <xdr:cNvPicPr>
          <a:picLocks/>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366401" y="4085323"/>
          <a:ext cx="146331" cy="144000"/>
        </a:xfrm>
        <a:prstGeom prst="rect">
          <a:avLst/>
        </a:prstGeom>
      </xdr:spPr>
    </xdr:pic>
    <xdr:clientData/>
  </xdr:oneCellAnchor>
  <xdr:oneCellAnchor>
    <xdr:from>
      <xdr:col>0</xdr:col>
      <xdr:colOff>469178</xdr:colOff>
      <xdr:row>35</xdr:row>
      <xdr:rowOff>7247</xdr:rowOff>
    </xdr:from>
    <xdr:ext cx="138652" cy="143001"/>
    <xdr:pic>
      <xdr:nvPicPr>
        <xdr:cNvPr id="43" name="Obraz 42">
          <a:extLst>
            <a:ext uri="{FF2B5EF4-FFF2-40B4-BE49-F238E27FC236}">
              <a16:creationId xmlns:a16="http://schemas.microsoft.com/office/drawing/2014/main" id="{00000000-0008-0000-0700-00002B000000}"/>
            </a:ext>
          </a:extLst>
        </xdr:cNvPr>
        <xdr:cNvPicPr>
          <a:picLocks/>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69178" y="4086188"/>
          <a:ext cx="138652" cy="143001"/>
        </a:xfrm>
        <a:prstGeom prst="rect">
          <a:avLst/>
        </a:prstGeom>
      </xdr:spPr>
    </xdr:pic>
    <xdr:clientData/>
  </xdr:oneCellAnchor>
  <xdr:oneCellAnchor>
    <xdr:from>
      <xdr:col>0</xdr:col>
      <xdr:colOff>426149</xdr:colOff>
      <xdr:row>38</xdr:row>
      <xdr:rowOff>10844</xdr:rowOff>
    </xdr:from>
    <xdr:ext cx="144000" cy="144000"/>
    <xdr:pic>
      <xdr:nvPicPr>
        <xdr:cNvPr id="44" name="Obraz 43">
          <a:extLst>
            <a:ext uri="{FF2B5EF4-FFF2-40B4-BE49-F238E27FC236}">
              <a16:creationId xmlns:a16="http://schemas.microsoft.com/office/drawing/2014/main" id="{00000000-0008-0000-0700-00002C000000}"/>
            </a:ext>
          </a:extLst>
        </xdr:cNvPr>
        <xdr:cNvPicPr>
          <a:picLocks/>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26149" y="4560432"/>
          <a:ext cx="144000" cy="144000"/>
        </a:xfrm>
        <a:prstGeom prst="rect">
          <a:avLst/>
        </a:prstGeom>
      </xdr:spPr>
    </xdr:pic>
    <xdr:clientData/>
  </xdr:oneCellAnchor>
  <xdr:oneCellAnchor>
    <xdr:from>
      <xdr:col>0</xdr:col>
      <xdr:colOff>424268</xdr:colOff>
      <xdr:row>37</xdr:row>
      <xdr:rowOff>9419</xdr:rowOff>
    </xdr:from>
    <xdr:ext cx="144000" cy="148309"/>
    <xdr:pic>
      <xdr:nvPicPr>
        <xdr:cNvPr id="45" name="Obraz 44">
          <a:extLst>
            <a:ext uri="{FF2B5EF4-FFF2-40B4-BE49-F238E27FC236}">
              <a16:creationId xmlns:a16="http://schemas.microsoft.com/office/drawing/2014/main" id="{00000000-0008-0000-0700-00002D000000}"/>
            </a:ext>
          </a:extLst>
        </xdr:cNvPr>
        <xdr:cNvPicPr>
          <a:picLocks/>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24268" y="4402125"/>
          <a:ext cx="144000" cy="148309"/>
        </a:xfrm>
        <a:prstGeom prst="rect">
          <a:avLst/>
        </a:prstGeom>
      </xdr:spPr>
    </xdr:pic>
    <xdr:clientData/>
  </xdr:oneCellAnchor>
  <xdr:oneCellAnchor>
    <xdr:from>
      <xdr:col>0</xdr:col>
      <xdr:colOff>366401</xdr:colOff>
      <xdr:row>39</xdr:row>
      <xdr:rowOff>6382</xdr:rowOff>
    </xdr:from>
    <xdr:ext cx="146331" cy="144000"/>
    <xdr:pic>
      <xdr:nvPicPr>
        <xdr:cNvPr id="46" name="Obraz 45">
          <a:extLst>
            <a:ext uri="{FF2B5EF4-FFF2-40B4-BE49-F238E27FC236}">
              <a16:creationId xmlns:a16="http://schemas.microsoft.com/office/drawing/2014/main" id="{00000000-0008-0000-0700-00002E000000}"/>
            </a:ext>
          </a:extLst>
        </xdr:cNvPr>
        <xdr:cNvPicPr>
          <a:picLocks/>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366401" y="4712853"/>
          <a:ext cx="146331" cy="144000"/>
        </a:xfrm>
        <a:prstGeom prst="rect">
          <a:avLst/>
        </a:prstGeom>
      </xdr:spPr>
    </xdr:pic>
    <xdr:clientData/>
  </xdr:oneCellAnchor>
  <xdr:oneCellAnchor>
    <xdr:from>
      <xdr:col>0</xdr:col>
      <xdr:colOff>469178</xdr:colOff>
      <xdr:row>39</xdr:row>
      <xdr:rowOff>7247</xdr:rowOff>
    </xdr:from>
    <xdr:ext cx="138652" cy="143001"/>
    <xdr:pic>
      <xdr:nvPicPr>
        <xdr:cNvPr id="47" name="Obraz 46">
          <a:extLst>
            <a:ext uri="{FF2B5EF4-FFF2-40B4-BE49-F238E27FC236}">
              <a16:creationId xmlns:a16="http://schemas.microsoft.com/office/drawing/2014/main" id="{00000000-0008-0000-0700-00002F000000}"/>
            </a:ext>
          </a:extLst>
        </xdr:cNvPr>
        <xdr:cNvPicPr>
          <a:picLocks/>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69178" y="4713718"/>
          <a:ext cx="138652" cy="143001"/>
        </a:xfrm>
        <a:prstGeom prst="rect">
          <a:avLst/>
        </a:prstGeom>
      </xdr:spPr>
    </xdr:pic>
    <xdr:clientData/>
  </xdr:oneCellAnchor>
  <xdr:twoCellAnchor editAs="oneCell">
    <xdr:from>
      <xdr:col>0</xdr:col>
      <xdr:colOff>571502</xdr:colOff>
      <xdr:row>54</xdr:row>
      <xdr:rowOff>56030</xdr:rowOff>
    </xdr:from>
    <xdr:to>
      <xdr:col>6</xdr:col>
      <xdr:colOff>244850</xdr:colOff>
      <xdr:row>65</xdr:row>
      <xdr:rowOff>54392</xdr:rowOff>
    </xdr:to>
    <xdr:pic>
      <xdr:nvPicPr>
        <xdr:cNvPr id="48" name="Obraz 47">
          <a:extLst>
            <a:ext uri="{FF2B5EF4-FFF2-40B4-BE49-F238E27FC236}">
              <a16:creationId xmlns:a16="http://schemas.microsoft.com/office/drawing/2014/main" id="{00000000-0008-0000-0700-000030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571502" y="8684559"/>
          <a:ext cx="5457264" cy="180799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0</xdr:colOff>
      <xdr:row>2</xdr:row>
      <xdr:rowOff>89647</xdr:rowOff>
    </xdr:from>
    <xdr:to>
      <xdr:col>4</xdr:col>
      <xdr:colOff>247682</xdr:colOff>
      <xdr:row>4</xdr:row>
      <xdr:rowOff>54685</xdr:rowOff>
    </xdr:to>
    <xdr:pic>
      <xdr:nvPicPr>
        <xdr:cNvPr id="2" name="Obraz 1" descr="Znalezione obrazy dla zapytania logo viessmann">
          <a:extLst>
            <a:ext uri="{FF2B5EF4-FFF2-40B4-BE49-F238E27FC236}">
              <a16:creationId xmlns:a16="http://schemas.microsoft.com/office/drawing/2014/main" id="{C63E22C5-D126-4D9B-8CEF-8459846BB578}"/>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666750" y="331582"/>
          <a:ext cx="1463072" cy="3269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475131</xdr:colOff>
      <xdr:row>2</xdr:row>
      <xdr:rowOff>26895</xdr:rowOff>
    </xdr:from>
    <xdr:to>
      <xdr:col>12</xdr:col>
      <xdr:colOff>173580</xdr:colOff>
      <xdr:row>3</xdr:row>
      <xdr:rowOff>169321</xdr:rowOff>
    </xdr:to>
    <xdr:pic>
      <xdr:nvPicPr>
        <xdr:cNvPr id="3" name="Grafika 2" descr="Kalendarz dzienny kontur">
          <a:extLst>
            <a:ext uri="{FF2B5EF4-FFF2-40B4-BE49-F238E27FC236}">
              <a16:creationId xmlns:a16="http://schemas.microsoft.com/office/drawing/2014/main" id="{AB6EE383-BB15-4104-B69A-830715717FB5}"/>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6632091" y="263115"/>
          <a:ext cx="300429" cy="329116"/>
        </a:xfrm>
        <a:prstGeom prst="rect">
          <a:avLst/>
        </a:prstGeom>
      </xdr:spPr>
    </xdr:pic>
    <xdr:clientData/>
  </xdr:twoCellAnchor>
  <xdr:twoCellAnchor>
    <xdr:from>
      <xdr:col>2</xdr:col>
      <xdr:colOff>55245</xdr:colOff>
      <xdr:row>64</xdr:row>
      <xdr:rowOff>68579</xdr:rowOff>
    </xdr:from>
    <xdr:to>
      <xdr:col>4</xdr:col>
      <xdr:colOff>47625</xdr:colOff>
      <xdr:row>65</xdr:row>
      <xdr:rowOff>158114</xdr:rowOff>
    </xdr:to>
    <xdr:sp macro="" textlink="">
      <xdr:nvSpPr>
        <xdr:cNvPr id="4" name="pole tekstowe 3">
          <a:extLst>
            <a:ext uri="{FF2B5EF4-FFF2-40B4-BE49-F238E27FC236}">
              <a16:creationId xmlns:a16="http://schemas.microsoft.com/office/drawing/2014/main" id="{38DF973F-7E10-49F7-8973-42354902DC71}"/>
            </a:ext>
          </a:extLst>
        </xdr:cNvPr>
        <xdr:cNvSpPr txBox="1"/>
      </xdr:nvSpPr>
      <xdr:spPr>
        <a:xfrm rot="20942824">
          <a:off x="712470" y="10917554"/>
          <a:ext cx="1211580" cy="270510"/>
        </a:xfrm>
        <a:prstGeom prst="rect">
          <a:avLst/>
        </a:prstGeom>
        <a:solidFill>
          <a:srgbClr val="EF4423"/>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l-PL" sz="1100" b="1">
              <a:solidFill>
                <a:schemeClr val="bg1"/>
              </a:solidFill>
              <a:latin typeface="Roboto Condensed" panose="02000000000000000000" pitchFamily="2" charset="0"/>
              <a:ea typeface="Roboto Condensed" panose="02000000000000000000" pitchFamily="2" charset="0"/>
              <a:cs typeface="Roboto Condensed" panose="02000000000000000000" pitchFamily="2" charset="0"/>
            </a:rPr>
            <a:t>Oferta specjalna</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10</xdr:col>
      <xdr:colOff>587798</xdr:colOff>
      <xdr:row>7</xdr:row>
      <xdr:rowOff>174779</xdr:rowOff>
    </xdr:to>
    <xdr:pic>
      <xdr:nvPicPr>
        <xdr:cNvPr id="2" name="Obraz 1">
          <a:extLst>
            <a:ext uri="{FF2B5EF4-FFF2-40B4-BE49-F238E27FC236}">
              <a16:creationId xmlns:a16="http://schemas.microsoft.com/office/drawing/2014/main" id="{A21CF81C-62D1-5701-A692-A765DB4C7716}"/>
            </a:ext>
          </a:extLst>
        </xdr:cNvPr>
        <xdr:cNvPicPr>
          <a:picLocks noChangeAspect="1"/>
        </xdr:cNvPicPr>
      </xdr:nvPicPr>
      <xdr:blipFill>
        <a:blip xmlns:r="http://schemas.openxmlformats.org/officeDocument/2006/relationships" r:embed="rId1"/>
        <a:stretch>
          <a:fillRect/>
        </a:stretch>
      </xdr:blipFill>
      <xdr:spPr>
        <a:xfrm>
          <a:off x="211667" y="359833"/>
          <a:ext cx="6402916" cy="1074363"/>
        </a:xfrm>
        <a:prstGeom prst="rect">
          <a:avLst/>
        </a:prstGeom>
      </xdr:spPr>
    </xdr:pic>
    <xdr:clientData/>
  </xdr:twoCellAnchor>
  <xdr:twoCellAnchor editAs="oneCell">
    <xdr:from>
      <xdr:col>1</xdr:col>
      <xdr:colOff>9526</xdr:colOff>
      <xdr:row>15</xdr:row>
      <xdr:rowOff>28575</xdr:rowOff>
    </xdr:from>
    <xdr:to>
      <xdr:col>10</xdr:col>
      <xdr:colOff>587798</xdr:colOff>
      <xdr:row>19</xdr:row>
      <xdr:rowOff>18416</xdr:rowOff>
    </xdr:to>
    <xdr:pic>
      <xdr:nvPicPr>
        <xdr:cNvPr id="3" name="Obraz 2">
          <a:extLst>
            <a:ext uri="{FF2B5EF4-FFF2-40B4-BE49-F238E27FC236}">
              <a16:creationId xmlns:a16="http://schemas.microsoft.com/office/drawing/2014/main" id="{A4F7F447-F0BD-47A3-F4FF-4D1507CCFC3B}"/>
            </a:ext>
          </a:extLst>
        </xdr:cNvPr>
        <xdr:cNvPicPr>
          <a:picLocks noChangeAspect="1"/>
        </xdr:cNvPicPr>
      </xdr:nvPicPr>
      <xdr:blipFill>
        <a:blip xmlns:r="http://schemas.openxmlformats.org/officeDocument/2006/relationships" r:embed="rId2"/>
        <a:stretch>
          <a:fillRect/>
        </a:stretch>
      </xdr:blipFill>
      <xdr:spPr>
        <a:xfrm>
          <a:off x="221193" y="2727325"/>
          <a:ext cx="6393390" cy="720938"/>
        </a:xfrm>
        <a:prstGeom prst="rect">
          <a:avLst/>
        </a:prstGeom>
      </xdr:spPr>
    </xdr:pic>
    <xdr:clientData/>
  </xdr:twoCellAnchor>
  <xdr:twoCellAnchor editAs="oneCell">
    <xdr:from>
      <xdr:col>13</xdr:col>
      <xdr:colOff>15241</xdr:colOff>
      <xdr:row>15</xdr:row>
      <xdr:rowOff>22860</xdr:rowOff>
    </xdr:from>
    <xdr:to>
      <xdr:col>22</xdr:col>
      <xdr:colOff>349975</xdr:colOff>
      <xdr:row>27</xdr:row>
      <xdr:rowOff>58362</xdr:rowOff>
    </xdr:to>
    <xdr:pic>
      <xdr:nvPicPr>
        <xdr:cNvPr id="4" name="Obraz 3">
          <a:extLst>
            <a:ext uri="{FF2B5EF4-FFF2-40B4-BE49-F238E27FC236}">
              <a16:creationId xmlns:a16="http://schemas.microsoft.com/office/drawing/2014/main" id="{8ED14144-690C-4C6E-776E-DF15D746C848}"/>
            </a:ext>
          </a:extLst>
        </xdr:cNvPr>
        <xdr:cNvPicPr>
          <a:picLocks noChangeAspect="1"/>
        </xdr:cNvPicPr>
      </xdr:nvPicPr>
      <xdr:blipFill>
        <a:blip xmlns:r="http://schemas.openxmlformats.org/officeDocument/2006/relationships" r:embed="rId3"/>
        <a:stretch>
          <a:fillRect/>
        </a:stretch>
      </xdr:blipFill>
      <xdr:spPr>
        <a:xfrm>
          <a:off x="6720841" y="2583180"/>
          <a:ext cx="6096000" cy="2216727"/>
        </a:xfrm>
        <a:prstGeom prst="rect">
          <a:avLst/>
        </a:prstGeom>
      </xdr:spPr>
    </xdr:pic>
    <xdr:clientData/>
  </xdr:twoCellAnchor>
  <xdr:twoCellAnchor editAs="oneCell">
    <xdr:from>
      <xdr:col>13</xdr:col>
      <xdr:colOff>15240</xdr:colOff>
      <xdr:row>2</xdr:row>
      <xdr:rowOff>1</xdr:rowOff>
    </xdr:from>
    <xdr:to>
      <xdr:col>22</xdr:col>
      <xdr:colOff>349974</xdr:colOff>
      <xdr:row>13</xdr:row>
      <xdr:rowOff>152089</xdr:rowOff>
    </xdr:to>
    <xdr:pic>
      <xdr:nvPicPr>
        <xdr:cNvPr id="5" name="Obraz 4">
          <a:extLst>
            <a:ext uri="{FF2B5EF4-FFF2-40B4-BE49-F238E27FC236}">
              <a16:creationId xmlns:a16="http://schemas.microsoft.com/office/drawing/2014/main" id="{2933C858-690D-13E7-CE74-C67E13764572}"/>
            </a:ext>
          </a:extLst>
        </xdr:cNvPr>
        <xdr:cNvPicPr>
          <a:picLocks noChangeAspect="1"/>
        </xdr:cNvPicPr>
      </xdr:nvPicPr>
      <xdr:blipFill>
        <a:blip xmlns:r="http://schemas.openxmlformats.org/officeDocument/2006/relationships" r:embed="rId4"/>
        <a:stretch>
          <a:fillRect/>
        </a:stretch>
      </xdr:blipFill>
      <xdr:spPr>
        <a:xfrm>
          <a:off x="7542107" y="372534"/>
          <a:ext cx="6096000" cy="2201022"/>
        </a:xfrm>
        <a:prstGeom prst="rect">
          <a:avLst/>
        </a:prstGeom>
      </xdr:spPr>
    </xdr:pic>
    <xdr:clientData/>
  </xdr:twoCellAnchor>
  <xdr:twoCellAnchor>
    <xdr:from>
      <xdr:col>17</xdr:col>
      <xdr:colOff>388620</xdr:colOff>
      <xdr:row>15</xdr:row>
      <xdr:rowOff>53340</xdr:rowOff>
    </xdr:from>
    <xdr:to>
      <xdr:col>22</xdr:col>
      <xdr:colOff>571500</xdr:colOff>
      <xdr:row>17</xdr:row>
      <xdr:rowOff>99060</xdr:rowOff>
    </xdr:to>
    <xdr:cxnSp macro="">
      <xdr:nvCxnSpPr>
        <xdr:cNvPr id="7" name="Łącznik prosty 6">
          <a:extLst>
            <a:ext uri="{FF2B5EF4-FFF2-40B4-BE49-F238E27FC236}">
              <a16:creationId xmlns:a16="http://schemas.microsoft.com/office/drawing/2014/main" id="{AAF91ACD-CC8A-D7EB-5935-4F15CE7FEEFC}"/>
            </a:ext>
          </a:extLst>
        </xdr:cNvPr>
        <xdr:cNvCxnSpPr/>
      </xdr:nvCxnSpPr>
      <xdr:spPr>
        <a:xfrm flipH="1">
          <a:off x="9532620" y="2796540"/>
          <a:ext cx="3230880" cy="411480"/>
        </a:xfrm>
        <a:prstGeom prst="line">
          <a:avLst/>
        </a:prstGeom>
        <a:ln w="19050">
          <a:solidFill>
            <a:srgbClr val="EF4423"/>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381000</xdr:colOff>
      <xdr:row>15</xdr:row>
      <xdr:rowOff>45720</xdr:rowOff>
    </xdr:from>
    <xdr:to>
      <xdr:col>22</xdr:col>
      <xdr:colOff>594360</xdr:colOff>
      <xdr:row>17</xdr:row>
      <xdr:rowOff>99060</xdr:rowOff>
    </xdr:to>
    <xdr:cxnSp macro="">
      <xdr:nvCxnSpPr>
        <xdr:cNvPr id="9" name="Łącznik prosty 8">
          <a:extLst>
            <a:ext uri="{FF2B5EF4-FFF2-40B4-BE49-F238E27FC236}">
              <a16:creationId xmlns:a16="http://schemas.microsoft.com/office/drawing/2014/main" id="{D65189E8-23DF-4795-8BE8-B8F719446624}"/>
            </a:ext>
          </a:extLst>
        </xdr:cNvPr>
        <xdr:cNvCxnSpPr/>
      </xdr:nvCxnSpPr>
      <xdr:spPr>
        <a:xfrm flipH="1" flipV="1">
          <a:off x="9525000" y="2788920"/>
          <a:ext cx="3261360" cy="419100"/>
        </a:xfrm>
        <a:prstGeom prst="line">
          <a:avLst/>
        </a:prstGeom>
        <a:ln w="19050">
          <a:solidFill>
            <a:srgbClr val="EF4423"/>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373380</xdr:colOff>
      <xdr:row>20</xdr:row>
      <xdr:rowOff>15240</xdr:rowOff>
    </xdr:from>
    <xdr:to>
      <xdr:col>22</xdr:col>
      <xdr:colOff>556260</xdr:colOff>
      <xdr:row>22</xdr:row>
      <xdr:rowOff>60960</xdr:rowOff>
    </xdr:to>
    <xdr:cxnSp macro="">
      <xdr:nvCxnSpPr>
        <xdr:cNvPr id="12" name="Łącznik prosty 11">
          <a:extLst>
            <a:ext uri="{FF2B5EF4-FFF2-40B4-BE49-F238E27FC236}">
              <a16:creationId xmlns:a16="http://schemas.microsoft.com/office/drawing/2014/main" id="{D02DE752-08B5-41CC-911A-A8DDF08DCF68}"/>
            </a:ext>
          </a:extLst>
        </xdr:cNvPr>
        <xdr:cNvCxnSpPr/>
      </xdr:nvCxnSpPr>
      <xdr:spPr>
        <a:xfrm flipH="1">
          <a:off x="9517380" y="3672840"/>
          <a:ext cx="3230880" cy="411480"/>
        </a:xfrm>
        <a:prstGeom prst="line">
          <a:avLst/>
        </a:prstGeom>
        <a:ln w="19050">
          <a:solidFill>
            <a:srgbClr val="EF4423"/>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365760</xdr:colOff>
      <xdr:row>20</xdr:row>
      <xdr:rowOff>7620</xdr:rowOff>
    </xdr:from>
    <xdr:to>
      <xdr:col>22</xdr:col>
      <xdr:colOff>579120</xdr:colOff>
      <xdr:row>22</xdr:row>
      <xdr:rowOff>60960</xdr:rowOff>
    </xdr:to>
    <xdr:cxnSp macro="">
      <xdr:nvCxnSpPr>
        <xdr:cNvPr id="13" name="Łącznik prosty 12">
          <a:extLst>
            <a:ext uri="{FF2B5EF4-FFF2-40B4-BE49-F238E27FC236}">
              <a16:creationId xmlns:a16="http://schemas.microsoft.com/office/drawing/2014/main" id="{781AE12E-53DF-44A6-A08E-03A4DE4B6559}"/>
            </a:ext>
          </a:extLst>
        </xdr:cNvPr>
        <xdr:cNvCxnSpPr/>
      </xdr:nvCxnSpPr>
      <xdr:spPr>
        <a:xfrm flipH="1" flipV="1">
          <a:off x="9509760" y="3665220"/>
          <a:ext cx="3261360" cy="419100"/>
        </a:xfrm>
        <a:prstGeom prst="line">
          <a:avLst/>
        </a:prstGeom>
        <a:ln w="19050">
          <a:solidFill>
            <a:srgbClr val="EF4423"/>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388620</xdr:colOff>
      <xdr:row>24</xdr:row>
      <xdr:rowOff>152400</xdr:rowOff>
    </xdr:from>
    <xdr:to>
      <xdr:col>22</xdr:col>
      <xdr:colOff>571500</xdr:colOff>
      <xdr:row>27</xdr:row>
      <xdr:rowOff>0</xdr:rowOff>
    </xdr:to>
    <xdr:cxnSp macro="">
      <xdr:nvCxnSpPr>
        <xdr:cNvPr id="14" name="Łącznik prosty 13">
          <a:extLst>
            <a:ext uri="{FF2B5EF4-FFF2-40B4-BE49-F238E27FC236}">
              <a16:creationId xmlns:a16="http://schemas.microsoft.com/office/drawing/2014/main" id="{29748AEE-8D07-4E2E-8CCE-A33062DC1C06}"/>
            </a:ext>
          </a:extLst>
        </xdr:cNvPr>
        <xdr:cNvCxnSpPr/>
      </xdr:nvCxnSpPr>
      <xdr:spPr>
        <a:xfrm flipH="1">
          <a:off x="9532620" y="4541520"/>
          <a:ext cx="3230880" cy="411480"/>
        </a:xfrm>
        <a:prstGeom prst="line">
          <a:avLst/>
        </a:prstGeom>
        <a:ln w="19050">
          <a:solidFill>
            <a:srgbClr val="EF4423"/>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381000</xdr:colOff>
      <xdr:row>24</xdr:row>
      <xdr:rowOff>144780</xdr:rowOff>
    </xdr:from>
    <xdr:to>
      <xdr:col>22</xdr:col>
      <xdr:colOff>594360</xdr:colOff>
      <xdr:row>27</xdr:row>
      <xdr:rowOff>0</xdr:rowOff>
    </xdr:to>
    <xdr:cxnSp macro="">
      <xdr:nvCxnSpPr>
        <xdr:cNvPr id="15" name="Łącznik prosty 14">
          <a:extLst>
            <a:ext uri="{FF2B5EF4-FFF2-40B4-BE49-F238E27FC236}">
              <a16:creationId xmlns:a16="http://schemas.microsoft.com/office/drawing/2014/main" id="{2C158127-E1AA-4F01-93B0-A2A276AE1307}"/>
            </a:ext>
          </a:extLst>
        </xdr:cNvPr>
        <xdr:cNvCxnSpPr/>
      </xdr:nvCxnSpPr>
      <xdr:spPr>
        <a:xfrm flipH="1" flipV="1">
          <a:off x="9525000" y="4533900"/>
          <a:ext cx="3261360" cy="419100"/>
        </a:xfrm>
        <a:prstGeom prst="line">
          <a:avLst/>
        </a:prstGeom>
        <a:ln w="19050">
          <a:solidFill>
            <a:srgbClr val="EF4423"/>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16933</xdr:colOff>
      <xdr:row>29</xdr:row>
      <xdr:rowOff>51602</xdr:rowOff>
    </xdr:from>
    <xdr:to>
      <xdr:col>11</xdr:col>
      <xdr:colOff>209973</xdr:colOff>
      <xdr:row>39</xdr:row>
      <xdr:rowOff>129984</xdr:rowOff>
    </xdr:to>
    <xdr:pic>
      <xdr:nvPicPr>
        <xdr:cNvPr id="6" name="Obraz 5">
          <a:extLst>
            <a:ext uri="{FF2B5EF4-FFF2-40B4-BE49-F238E27FC236}">
              <a16:creationId xmlns:a16="http://schemas.microsoft.com/office/drawing/2014/main" id="{FEC49E04-7366-E81F-FB5F-873516DDBDDC}"/>
            </a:ext>
          </a:extLst>
        </xdr:cNvPr>
        <xdr:cNvPicPr>
          <a:picLocks noChangeAspect="1"/>
        </xdr:cNvPicPr>
      </xdr:nvPicPr>
      <xdr:blipFill>
        <a:blip xmlns:r="http://schemas.openxmlformats.org/officeDocument/2006/relationships" r:embed="rId5"/>
        <a:stretch>
          <a:fillRect/>
        </a:stretch>
      </xdr:blipFill>
      <xdr:spPr>
        <a:xfrm>
          <a:off x="228600" y="5639602"/>
          <a:ext cx="6570133" cy="1944859"/>
        </a:xfrm>
        <a:prstGeom prst="rect">
          <a:avLst/>
        </a:prstGeom>
      </xdr:spPr>
    </xdr:pic>
    <xdr:clientData/>
  </xdr:twoCellAnchor>
  <xdr:twoCellAnchor editAs="oneCell">
    <xdr:from>
      <xdr:col>1</xdr:col>
      <xdr:colOff>25400</xdr:colOff>
      <xdr:row>41</xdr:row>
      <xdr:rowOff>25301</xdr:rowOff>
    </xdr:from>
    <xdr:to>
      <xdr:col>11</xdr:col>
      <xdr:colOff>270229</xdr:colOff>
      <xdr:row>48</xdr:row>
      <xdr:rowOff>173989</xdr:rowOff>
    </xdr:to>
    <xdr:pic>
      <xdr:nvPicPr>
        <xdr:cNvPr id="8" name="Obraz 7">
          <a:extLst>
            <a:ext uri="{FF2B5EF4-FFF2-40B4-BE49-F238E27FC236}">
              <a16:creationId xmlns:a16="http://schemas.microsoft.com/office/drawing/2014/main" id="{41CCDEF4-AB50-CCBB-83CE-67BD3660C3C7}"/>
            </a:ext>
          </a:extLst>
        </xdr:cNvPr>
        <xdr:cNvPicPr>
          <a:picLocks noChangeAspect="1"/>
        </xdr:cNvPicPr>
      </xdr:nvPicPr>
      <xdr:blipFill>
        <a:blip xmlns:r="http://schemas.openxmlformats.org/officeDocument/2006/relationships" r:embed="rId6"/>
        <a:stretch>
          <a:fillRect/>
        </a:stretch>
      </xdr:blipFill>
      <xdr:spPr>
        <a:xfrm>
          <a:off x="237067" y="7848501"/>
          <a:ext cx="6610492" cy="1456365"/>
        </a:xfrm>
        <a:prstGeom prst="rect">
          <a:avLst/>
        </a:prstGeom>
      </xdr:spPr>
    </xdr:pic>
    <xdr:clientData/>
  </xdr:twoCellAnchor>
  <xdr:twoCellAnchor editAs="oneCell">
    <xdr:from>
      <xdr:col>1</xdr:col>
      <xdr:colOff>30521</xdr:colOff>
      <xdr:row>49</xdr:row>
      <xdr:rowOff>67733</xdr:rowOff>
    </xdr:from>
    <xdr:to>
      <xdr:col>11</xdr:col>
      <xdr:colOff>286204</xdr:colOff>
      <xdr:row>58</xdr:row>
      <xdr:rowOff>98686</xdr:rowOff>
    </xdr:to>
    <xdr:pic>
      <xdr:nvPicPr>
        <xdr:cNvPr id="10" name="Obraz 9">
          <a:extLst>
            <a:ext uri="{FF2B5EF4-FFF2-40B4-BE49-F238E27FC236}">
              <a16:creationId xmlns:a16="http://schemas.microsoft.com/office/drawing/2014/main" id="{03487BAF-3232-EBE9-40EC-6F6FE38DE227}"/>
            </a:ext>
          </a:extLst>
        </xdr:cNvPr>
        <xdr:cNvPicPr>
          <a:picLocks noChangeAspect="1"/>
        </xdr:cNvPicPr>
      </xdr:nvPicPr>
      <xdr:blipFill>
        <a:blip xmlns:r="http://schemas.openxmlformats.org/officeDocument/2006/relationships" r:embed="rId7"/>
        <a:stretch>
          <a:fillRect/>
        </a:stretch>
      </xdr:blipFill>
      <xdr:spPr>
        <a:xfrm>
          <a:off x="242188" y="9381066"/>
          <a:ext cx="6608011" cy="1703543"/>
        </a:xfrm>
        <a:prstGeom prst="rect">
          <a:avLst/>
        </a:prstGeom>
      </xdr:spPr>
    </xdr:pic>
    <xdr:clientData/>
  </xdr:twoCellAnchor>
  <xdr:twoCellAnchor editAs="oneCell">
    <xdr:from>
      <xdr:col>11</xdr:col>
      <xdr:colOff>700314</xdr:colOff>
      <xdr:row>42</xdr:row>
      <xdr:rowOff>178102</xdr:rowOff>
    </xdr:from>
    <xdr:to>
      <xdr:col>18</xdr:col>
      <xdr:colOff>130628</xdr:colOff>
      <xdr:row>59</xdr:row>
      <xdr:rowOff>17157</xdr:rowOff>
    </xdr:to>
    <xdr:pic>
      <xdr:nvPicPr>
        <xdr:cNvPr id="16" name="Obraz 15">
          <a:extLst>
            <a:ext uri="{FF2B5EF4-FFF2-40B4-BE49-F238E27FC236}">
              <a16:creationId xmlns:a16="http://schemas.microsoft.com/office/drawing/2014/main" id="{E2355FDF-F8A0-01A1-34D1-FCB1EDD28A5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340600" y="7950502"/>
          <a:ext cx="4002314" cy="2985026"/>
        </a:xfrm>
        <a:prstGeom prst="rect">
          <a:avLst/>
        </a:prstGeom>
      </xdr:spPr>
    </xdr:pic>
    <xdr:clientData/>
  </xdr:twoCellAnchor>
  <xdr:twoCellAnchor editAs="oneCell">
    <xdr:from>
      <xdr:col>3</xdr:col>
      <xdr:colOff>49740</xdr:colOff>
      <xdr:row>141</xdr:row>
      <xdr:rowOff>161713</xdr:rowOff>
    </xdr:from>
    <xdr:to>
      <xdr:col>7</xdr:col>
      <xdr:colOff>365277</xdr:colOff>
      <xdr:row>147</xdr:row>
      <xdr:rowOff>170728</xdr:rowOff>
    </xdr:to>
    <xdr:pic>
      <xdr:nvPicPr>
        <xdr:cNvPr id="59" name="Obraz 58" descr="Flexrohr - Viessmann ZK02532, ZK02533, ZK02534 | Loebbeshop Heizung und  Ersatzteile online einkaufen">
          <a:extLst>
            <a:ext uri="{FF2B5EF4-FFF2-40B4-BE49-F238E27FC236}">
              <a16:creationId xmlns:a16="http://schemas.microsoft.com/office/drawing/2014/main" id="{9257EC8B-AE90-9A79-504D-DCE51B041CDD}"/>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896473" y="20464780"/>
          <a:ext cx="2786594" cy="11266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76200</xdr:colOff>
      <xdr:row>133</xdr:row>
      <xdr:rowOff>9311</xdr:rowOff>
    </xdr:from>
    <xdr:to>
      <xdr:col>7</xdr:col>
      <xdr:colOff>148106</xdr:colOff>
      <xdr:row>138</xdr:row>
      <xdr:rowOff>151454</xdr:rowOff>
    </xdr:to>
    <xdr:pic>
      <xdr:nvPicPr>
        <xdr:cNvPr id="60" name="Obraz 59" descr="Viessmann Flexrohr wärmegedämmt 1-6m | Loebbeshop Heizung und Ersatzteile  online einkaufen">
          <a:extLst>
            <a:ext uri="{FF2B5EF4-FFF2-40B4-BE49-F238E27FC236}">
              <a16:creationId xmlns:a16="http://schemas.microsoft.com/office/drawing/2014/main" id="{6910F2EF-482A-475C-2CC5-7DE4EFA8A709}"/>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9922933" y="18822244"/>
          <a:ext cx="2542963" cy="10734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85983</xdr:colOff>
      <xdr:row>117</xdr:row>
      <xdr:rowOff>12517</xdr:rowOff>
    </xdr:from>
    <xdr:to>
      <xdr:col>6</xdr:col>
      <xdr:colOff>312277</xdr:colOff>
      <xdr:row>123</xdr:row>
      <xdr:rowOff>54378</xdr:rowOff>
    </xdr:to>
    <xdr:pic>
      <xdr:nvPicPr>
        <xdr:cNvPr id="90" name="Google Shape;329;p38">
          <a:extLst>
            <a:ext uri="{FF2B5EF4-FFF2-40B4-BE49-F238E27FC236}">
              <a16:creationId xmlns:a16="http://schemas.microsoft.com/office/drawing/2014/main" id="{8E0EBD68-4A58-46C9-8675-F746EAB61593}"/>
            </a:ext>
          </a:extLst>
        </xdr:cNvPr>
        <xdr:cNvPicPr preferRelativeResize="0">
          <a:picLocks noChangeAspect="1"/>
        </xdr:cNvPicPr>
      </xdr:nvPicPr>
      <xdr:blipFill rotWithShape="1">
        <a:blip xmlns:r="http://schemas.openxmlformats.org/officeDocument/2006/relationships" r:embed="rId11" cstate="email">
          <a:alphaModFix/>
          <a:extLst>
            <a:ext uri="{BEBA8EAE-BF5A-486C-A8C5-ECC9F3942E4B}">
              <a14:imgProps xmlns:a14="http://schemas.microsoft.com/office/drawing/2010/main">
                <a14:imgLayer r:embed="rId12">
                  <a14:imgEffect>
                    <a14:sharpenSoften amount="50000"/>
                  </a14:imgEffect>
                </a14:imgLayer>
              </a14:imgProps>
            </a:ext>
            <a:ext uri="{28A0092B-C50C-407E-A947-70E740481C1C}">
              <a14:useLocalDpi xmlns:a14="http://schemas.microsoft.com/office/drawing/2010/main"/>
            </a:ext>
          </a:extLst>
        </a:blip>
        <a:srcRect/>
        <a:stretch/>
      </xdr:blipFill>
      <xdr:spPr>
        <a:xfrm>
          <a:off x="2132497" y="31842346"/>
          <a:ext cx="1467266" cy="1152202"/>
        </a:xfrm>
        <a:prstGeom prst="rect">
          <a:avLst/>
        </a:prstGeom>
        <a:noFill/>
        <a:ln>
          <a:noFill/>
        </a:ln>
      </xdr:spPr>
    </xdr:pic>
    <xdr:clientData/>
  </xdr:twoCellAnchor>
  <xdr:twoCellAnchor>
    <xdr:from>
      <xdr:col>2</xdr:col>
      <xdr:colOff>128316</xdr:colOff>
      <xdr:row>117</xdr:row>
      <xdr:rowOff>20983</xdr:rowOff>
    </xdr:from>
    <xdr:to>
      <xdr:col>9</xdr:col>
      <xdr:colOff>436744</xdr:colOff>
      <xdr:row>118</xdr:row>
      <xdr:rowOff>71308</xdr:rowOff>
    </xdr:to>
    <xdr:sp macro="" textlink="">
      <xdr:nvSpPr>
        <xdr:cNvPr id="91" name="Prostokąt 90">
          <a:extLst>
            <a:ext uri="{FF2B5EF4-FFF2-40B4-BE49-F238E27FC236}">
              <a16:creationId xmlns:a16="http://schemas.microsoft.com/office/drawing/2014/main" id="{D8A5089E-2C9E-46B8-8FCC-B5EE101CCC67}"/>
            </a:ext>
          </a:extLst>
        </xdr:cNvPr>
        <xdr:cNvSpPr/>
      </xdr:nvSpPr>
      <xdr:spPr>
        <a:xfrm>
          <a:off x="955630" y="33146212"/>
          <a:ext cx="4902200" cy="235382"/>
        </a:xfrm>
        <a:prstGeom prst="rect">
          <a:avLst/>
        </a:prstGeom>
        <a:solidFill>
          <a:schemeClr val="bg2">
            <a:lumMod val="9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9</xdr:col>
      <xdr:colOff>18543</xdr:colOff>
      <xdr:row>115</xdr:row>
      <xdr:rowOff>0</xdr:rowOff>
    </xdr:from>
    <xdr:to>
      <xdr:col>9</xdr:col>
      <xdr:colOff>18543</xdr:colOff>
      <xdr:row>120</xdr:row>
      <xdr:rowOff>65787</xdr:rowOff>
    </xdr:to>
    <xdr:cxnSp macro="">
      <xdr:nvCxnSpPr>
        <xdr:cNvPr id="93" name="Łącznik prosty 92">
          <a:extLst>
            <a:ext uri="{FF2B5EF4-FFF2-40B4-BE49-F238E27FC236}">
              <a16:creationId xmlns:a16="http://schemas.microsoft.com/office/drawing/2014/main" id="{27F86993-1DCB-4278-8F88-12D8DE179415}"/>
            </a:ext>
          </a:extLst>
        </xdr:cNvPr>
        <xdr:cNvCxnSpPr/>
      </xdr:nvCxnSpPr>
      <xdr:spPr>
        <a:xfrm>
          <a:off x="5439629" y="32755114"/>
          <a:ext cx="0" cy="991073"/>
        </a:xfrm>
        <a:prstGeom prst="line">
          <a:avLst/>
        </a:prstGeom>
        <a:ln w="76200">
          <a:solidFill>
            <a:srgbClr val="0070C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491278</xdr:colOff>
      <xdr:row>115</xdr:row>
      <xdr:rowOff>19878</xdr:rowOff>
    </xdr:from>
    <xdr:to>
      <xdr:col>5</xdr:col>
      <xdr:colOff>491278</xdr:colOff>
      <xdr:row>119</xdr:row>
      <xdr:rowOff>105933</xdr:rowOff>
    </xdr:to>
    <xdr:cxnSp macro="">
      <xdr:nvCxnSpPr>
        <xdr:cNvPr id="94" name="Łącznik prosty 93">
          <a:extLst>
            <a:ext uri="{FF2B5EF4-FFF2-40B4-BE49-F238E27FC236}">
              <a16:creationId xmlns:a16="http://schemas.microsoft.com/office/drawing/2014/main" id="{A4FAAD9E-5739-4D4B-9329-CD10E31F2F7A}"/>
            </a:ext>
          </a:extLst>
        </xdr:cNvPr>
        <xdr:cNvCxnSpPr/>
      </xdr:nvCxnSpPr>
      <xdr:spPr>
        <a:xfrm flipV="1">
          <a:off x="3147392" y="32774992"/>
          <a:ext cx="0" cy="826284"/>
        </a:xfrm>
        <a:prstGeom prst="line">
          <a:avLst/>
        </a:prstGeom>
        <a:ln w="76200">
          <a:solidFill>
            <a:schemeClr val="accent1"/>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564164</xdr:colOff>
      <xdr:row>121</xdr:row>
      <xdr:rowOff>172194</xdr:rowOff>
    </xdr:from>
    <xdr:to>
      <xdr:col>4</xdr:col>
      <xdr:colOff>331862</xdr:colOff>
      <xdr:row>121</xdr:row>
      <xdr:rowOff>172194</xdr:rowOff>
    </xdr:to>
    <xdr:cxnSp macro="">
      <xdr:nvCxnSpPr>
        <xdr:cNvPr id="95" name="Łącznik prosty 94">
          <a:extLst>
            <a:ext uri="{FF2B5EF4-FFF2-40B4-BE49-F238E27FC236}">
              <a16:creationId xmlns:a16="http://schemas.microsoft.com/office/drawing/2014/main" id="{8CEDC250-D3B8-4E1F-8B09-3D8BCB36FA42}"/>
            </a:ext>
          </a:extLst>
        </xdr:cNvPr>
        <xdr:cNvCxnSpPr/>
      </xdr:nvCxnSpPr>
      <xdr:spPr>
        <a:xfrm>
          <a:off x="1391478" y="34037651"/>
          <a:ext cx="986898" cy="0"/>
        </a:xfrm>
        <a:prstGeom prst="line">
          <a:avLst/>
        </a:prstGeom>
        <a:ln w="76200">
          <a:solidFill>
            <a:schemeClr val="accent2"/>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537660</xdr:colOff>
      <xdr:row>119</xdr:row>
      <xdr:rowOff>99307</xdr:rowOff>
    </xdr:from>
    <xdr:to>
      <xdr:col>4</xdr:col>
      <xdr:colOff>318610</xdr:colOff>
      <xdr:row>119</xdr:row>
      <xdr:rowOff>99307</xdr:rowOff>
    </xdr:to>
    <xdr:cxnSp macro="">
      <xdr:nvCxnSpPr>
        <xdr:cNvPr id="96" name="Łącznik prosty 95">
          <a:extLst>
            <a:ext uri="{FF2B5EF4-FFF2-40B4-BE49-F238E27FC236}">
              <a16:creationId xmlns:a16="http://schemas.microsoft.com/office/drawing/2014/main" id="{994E1B9B-05F9-4AE9-81D4-83F9AF586122}"/>
            </a:ext>
          </a:extLst>
        </xdr:cNvPr>
        <xdr:cNvCxnSpPr/>
      </xdr:nvCxnSpPr>
      <xdr:spPr>
        <a:xfrm>
          <a:off x="1364974" y="33594650"/>
          <a:ext cx="1000150" cy="0"/>
        </a:xfrm>
        <a:prstGeom prst="line">
          <a:avLst/>
        </a:prstGeom>
        <a:ln w="76200">
          <a:solidFill>
            <a:srgbClr val="FF505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510766</xdr:colOff>
      <xdr:row>120</xdr:row>
      <xdr:rowOff>26504</xdr:rowOff>
    </xdr:from>
    <xdr:to>
      <xdr:col>5</xdr:col>
      <xdr:colOff>510766</xdr:colOff>
      <xdr:row>121</xdr:row>
      <xdr:rowOff>178431</xdr:rowOff>
    </xdr:to>
    <xdr:cxnSp macro="">
      <xdr:nvCxnSpPr>
        <xdr:cNvPr id="105" name="Łącznik prosty 104">
          <a:extLst>
            <a:ext uri="{FF2B5EF4-FFF2-40B4-BE49-F238E27FC236}">
              <a16:creationId xmlns:a16="http://schemas.microsoft.com/office/drawing/2014/main" id="{1ABFF4D0-2422-43D7-A978-38E6C27166CD}"/>
            </a:ext>
          </a:extLst>
        </xdr:cNvPr>
        <xdr:cNvCxnSpPr/>
      </xdr:nvCxnSpPr>
      <xdr:spPr>
        <a:xfrm>
          <a:off x="3166880" y="33706904"/>
          <a:ext cx="0" cy="336984"/>
        </a:xfrm>
        <a:prstGeom prst="line">
          <a:avLst/>
        </a:prstGeom>
        <a:ln w="76200">
          <a:solidFill>
            <a:srgbClr val="0070C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471400</xdr:colOff>
      <xdr:row>120</xdr:row>
      <xdr:rowOff>39283</xdr:rowOff>
    </xdr:from>
    <xdr:to>
      <xdr:col>9</xdr:col>
      <xdr:colOff>45436</xdr:colOff>
      <xdr:row>120</xdr:row>
      <xdr:rowOff>39283</xdr:rowOff>
    </xdr:to>
    <xdr:cxnSp macro="">
      <xdr:nvCxnSpPr>
        <xdr:cNvPr id="106" name="Łącznik prosty 105">
          <a:extLst>
            <a:ext uri="{FF2B5EF4-FFF2-40B4-BE49-F238E27FC236}">
              <a16:creationId xmlns:a16="http://schemas.microsoft.com/office/drawing/2014/main" id="{A0009237-93FB-491E-BBB3-9BC3B7AB237C}"/>
            </a:ext>
          </a:extLst>
        </xdr:cNvPr>
        <xdr:cNvCxnSpPr/>
      </xdr:nvCxnSpPr>
      <xdr:spPr>
        <a:xfrm>
          <a:off x="3127514" y="33719683"/>
          <a:ext cx="2339008" cy="0"/>
        </a:xfrm>
        <a:prstGeom prst="line">
          <a:avLst/>
        </a:prstGeom>
        <a:ln w="76200">
          <a:solidFill>
            <a:srgbClr val="0070C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144197</xdr:colOff>
      <xdr:row>99</xdr:row>
      <xdr:rowOff>117114</xdr:rowOff>
    </xdr:from>
    <xdr:to>
      <xdr:col>6</xdr:col>
      <xdr:colOff>370491</xdr:colOff>
      <xdr:row>105</xdr:row>
      <xdr:rowOff>159446</xdr:rowOff>
    </xdr:to>
    <xdr:pic>
      <xdr:nvPicPr>
        <xdr:cNvPr id="112" name="Google Shape;329;p38">
          <a:extLst>
            <a:ext uri="{FF2B5EF4-FFF2-40B4-BE49-F238E27FC236}">
              <a16:creationId xmlns:a16="http://schemas.microsoft.com/office/drawing/2014/main" id="{1B1B07E6-9CF7-4267-92EC-EF3A8A0364DA}"/>
            </a:ext>
          </a:extLst>
        </xdr:cNvPr>
        <xdr:cNvPicPr preferRelativeResize="0">
          <a:picLocks noChangeAspect="1"/>
        </xdr:cNvPicPr>
      </xdr:nvPicPr>
      <xdr:blipFill rotWithShape="1">
        <a:blip xmlns:r="http://schemas.openxmlformats.org/officeDocument/2006/relationships" r:embed="rId13" cstate="email">
          <a:alphaModFix/>
          <a:extLst>
            <a:ext uri="{28A0092B-C50C-407E-A947-70E740481C1C}">
              <a14:useLocalDpi xmlns:a14="http://schemas.microsoft.com/office/drawing/2010/main"/>
            </a:ext>
          </a:extLst>
        </a:blip>
        <a:srcRect/>
        <a:stretch/>
      </xdr:blipFill>
      <xdr:spPr>
        <a:xfrm>
          <a:off x="2190711" y="28615914"/>
          <a:ext cx="1467266" cy="1152676"/>
        </a:xfrm>
        <a:prstGeom prst="rect">
          <a:avLst/>
        </a:prstGeom>
        <a:noFill/>
        <a:ln>
          <a:noFill/>
        </a:ln>
      </xdr:spPr>
    </xdr:pic>
    <xdr:clientData/>
  </xdr:twoCellAnchor>
  <xdr:twoCellAnchor>
    <xdr:from>
      <xdr:col>2</xdr:col>
      <xdr:colOff>186530</xdr:colOff>
      <xdr:row>99</xdr:row>
      <xdr:rowOff>125580</xdr:rowOff>
    </xdr:from>
    <xdr:to>
      <xdr:col>9</xdr:col>
      <xdr:colOff>494958</xdr:colOff>
      <xdr:row>100</xdr:row>
      <xdr:rowOff>176379</xdr:rowOff>
    </xdr:to>
    <xdr:sp macro="" textlink="">
      <xdr:nvSpPr>
        <xdr:cNvPr id="113" name="Prostokąt 112">
          <a:extLst>
            <a:ext uri="{FF2B5EF4-FFF2-40B4-BE49-F238E27FC236}">
              <a16:creationId xmlns:a16="http://schemas.microsoft.com/office/drawing/2014/main" id="{F790AEC8-1611-4877-9CE6-0303F46C1376}"/>
            </a:ext>
          </a:extLst>
        </xdr:cNvPr>
        <xdr:cNvSpPr/>
      </xdr:nvSpPr>
      <xdr:spPr>
        <a:xfrm>
          <a:off x="1013844" y="28624380"/>
          <a:ext cx="4902200" cy="235856"/>
        </a:xfrm>
        <a:prstGeom prst="rect">
          <a:avLst/>
        </a:prstGeom>
        <a:solidFill>
          <a:schemeClr val="bg2">
            <a:lumMod val="9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2</xdr:col>
      <xdr:colOff>186857</xdr:colOff>
      <xdr:row>100</xdr:row>
      <xdr:rowOff>178773</xdr:rowOff>
    </xdr:from>
    <xdr:to>
      <xdr:col>2</xdr:col>
      <xdr:colOff>423923</xdr:colOff>
      <xdr:row>110</xdr:row>
      <xdr:rowOff>145881</xdr:rowOff>
    </xdr:to>
    <xdr:sp macro="" textlink="">
      <xdr:nvSpPr>
        <xdr:cNvPr id="114" name="Prostokąt 113">
          <a:extLst>
            <a:ext uri="{FF2B5EF4-FFF2-40B4-BE49-F238E27FC236}">
              <a16:creationId xmlns:a16="http://schemas.microsoft.com/office/drawing/2014/main" id="{8602B3D9-284C-42BF-91AF-56C3876D56D0}"/>
            </a:ext>
          </a:extLst>
        </xdr:cNvPr>
        <xdr:cNvSpPr/>
      </xdr:nvSpPr>
      <xdr:spPr>
        <a:xfrm rot="16200000">
          <a:off x="223864" y="29652937"/>
          <a:ext cx="1817680" cy="237066"/>
        </a:xfrm>
        <a:prstGeom prst="rect">
          <a:avLst/>
        </a:prstGeom>
        <a:solidFill>
          <a:schemeClr val="bg2">
            <a:lumMod val="9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4</xdr:col>
      <xdr:colOff>396702</xdr:colOff>
      <xdr:row>99</xdr:row>
      <xdr:rowOff>44962</xdr:rowOff>
    </xdr:from>
    <xdr:to>
      <xdr:col>4</xdr:col>
      <xdr:colOff>396702</xdr:colOff>
      <xdr:row>102</xdr:row>
      <xdr:rowOff>25475</xdr:rowOff>
    </xdr:to>
    <xdr:cxnSp macro="">
      <xdr:nvCxnSpPr>
        <xdr:cNvPr id="115" name="Łącznik prosty 114">
          <a:extLst>
            <a:ext uri="{FF2B5EF4-FFF2-40B4-BE49-F238E27FC236}">
              <a16:creationId xmlns:a16="http://schemas.microsoft.com/office/drawing/2014/main" id="{88EA1227-015B-4E7C-A546-1B32EC7E8760}"/>
            </a:ext>
          </a:extLst>
        </xdr:cNvPr>
        <xdr:cNvCxnSpPr/>
      </xdr:nvCxnSpPr>
      <xdr:spPr>
        <a:xfrm>
          <a:off x="2443216" y="28543762"/>
          <a:ext cx="0" cy="535684"/>
        </a:xfrm>
        <a:prstGeom prst="line">
          <a:avLst/>
        </a:prstGeom>
        <a:ln w="76200">
          <a:solidFill>
            <a:srgbClr val="0070C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416970</xdr:colOff>
      <xdr:row>104</xdr:row>
      <xdr:rowOff>91734</xdr:rowOff>
    </xdr:from>
    <xdr:to>
      <xdr:col>4</xdr:col>
      <xdr:colOff>390076</xdr:colOff>
      <xdr:row>104</xdr:row>
      <xdr:rowOff>91734</xdr:rowOff>
    </xdr:to>
    <xdr:cxnSp macro="">
      <xdr:nvCxnSpPr>
        <xdr:cNvPr id="116" name="Łącznik prosty 115">
          <a:extLst>
            <a:ext uri="{FF2B5EF4-FFF2-40B4-BE49-F238E27FC236}">
              <a16:creationId xmlns:a16="http://schemas.microsoft.com/office/drawing/2014/main" id="{A3F0D7E9-3AA4-48F2-8FB9-8E1F3A38267F}"/>
            </a:ext>
          </a:extLst>
        </xdr:cNvPr>
        <xdr:cNvCxnSpPr/>
      </xdr:nvCxnSpPr>
      <xdr:spPr>
        <a:xfrm>
          <a:off x="634684" y="29515820"/>
          <a:ext cx="1801906" cy="0"/>
        </a:xfrm>
        <a:prstGeom prst="line">
          <a:avLst/>
        </a:prstGeom>
        <a:ln w="76200">
          <a:solidFill>
            <a:schemeClr val="accent1"/>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536240</xdr:colOff>
      <xdr:row>102</xdr:row>
      <xdr:rowOff>12222</xdr:rowOff>
    </xdr:from>
    <xdr:to>
      <xdr:col>8</xdr:col>
      <xdr:colOff>45993</xdr:colOff>
      <xdr:row>102</xdr:row>
      <xdr:rowOff>12222</xdr:rowOff>
    </xdr:to>
    <xdr:cxnSp macro="">
      <xdr:nvCxnSpPr>
        <xdr:cNvPr id="117" name="Łącznik prosty 116">
          <a:extLst>
            <a:ext uri="{FF2B5EF4-FFF2-40B4-BE49-F238E27FC236}">
              <a16:creationId xmlns:a16="http://schemas.microsoft.com/office/drawing/2014/main" id="{286223E5-7664-4F3C-8780-2D377DBA87CD}"/>
            </a:ext>
          </a:extLst>
        </xdr:cNvPr>
        <xdr:cNvCxnSpPr/>
      </xdr:nvCxnSpPr>
      <xdr:spPr>
        <a:xfrm>
          <a:off x="3192354" y="29066193"/>
          <a:ext cx="1523610" cy="0"/>
        </a:xfrm>
        <a:prstGeom prst="line">
          <a:avLst/>
        </a:prstGeom>
        <a:ln w="76200">
          <a:solidFill>
            <a:schemeClr val="accent2"/>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542866</xdr:colOff>
      <xdr:row>104</xdr:row>
      <xdr:rowOff>91734</xdr:rowOff>
    </xdr:from>
    <xdr:to>
      <xdr:col>8</xdr:col>
      <xdr:colOff>52619</xdr:colOff>
      <xdr:row>104</xdr:row>
      <xdr:rowOff>91734</xdr:rowOff>
    </xdr:to>
    <xdr:cxnSp macro="">
      <xdr:nvCxnSpPr>
        <xdr:cNvPr id="118" name="Łącznik prosty 117">
          <a:extLst>
            <a:ext uri="{FF2B5EF4-FFF2-40B4-BE49-F238E27FC236}">
              <a16:creationId xmlns:a16="http://schemas.microsoft.com/office/drawing/2014/main" id="{E39FB0AC-FEF3-47DC-9F87-43088E2C563E}"/>
            </a:ext>
          </a:extLst>
        </xdr:cNvPr>
        <xdr:cNvCxnSpPr/>
      </xdr:nvCxnSpPr>
      <xdr:spPr>
        <a:xfrm>
          <a:off x="3198980" y="29515820"/>
          <a:ext cx="1523610" cy="0"/>
        </a:xfrm>
        <a:prstGeom prst="line">
          <a:avLst/>
        </a:prstGeom>
        <a:ln w="76200">
          <a:solidFill>
            <a:srgbClr val="FF505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xdr:col>
      <xdr:colOff>310152</xdr:colOff>
      <xdr:row>121</xdr:row>
      <xdr:rowOff>26504</xdr:rowOff>
    </xdr:from>
    <xdr:to>
      <xdr:col>10</xdr:col>
      <xdr:colOff>542969</xdr:colOff>
      <xdr:row>122</xdr:row>
      <xdr:rowOff>72887</xdr:rowOff>
    </xdr:to>
    <xdr:pic>
      <xdr:nvPicPr>
        <xdr:cNvPr id="120" name="Obraz 119" descr="Viessmann ISORohr EPP DN160 L 1000 - 7501765">
          <a:extLst>
            <a:ext uri="{FF2B5EF4-FFF2-40B4-BE49-F238E27FC236}">
              <a16:creationId xmlns:a16="http://schemas.microsoft.com/office/drawing/2014/main" id="{EA3658DC-1286-4614-9EB2-D973A7EBE0BC}"/>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6326639" y="32679861"/>
          <a:ext cx="232817" cy="2319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10</xdr:col>
      <xdr:colOff>245166</xdr:colOff>
      <xdr:row>119</xdr:row>
      <xdr:rowOff>28990</xdr:rowOff>
    </xdr:from>
    <xdr:ext cx="281106" cy="191546"/>
    <xdr:pic>
      <xdr:nvPicPr>
        <xdr:cNvPr id="125" name="Obraz 124">
          <a:extLst>
            <a:ext uri="{FF2B5EF4-FFF2-40B4-BE49-F238E27FC236}">
              <a16:creationId xmlns:a16="http://schemas.microsoft.com/office/drawing/2014/main" id="{4B369606-42E1-4C0E-B583-C2C1AD9BE56E}"/>
            </a:ext>
          </a:extLst>
        </xdr:cNvPr>
        <xdr:cNvPicPr>
          <a:picLocks noChangeAspect="1"/>
        </xdr:cNvPicPr>
      </xdr:nvPicPr>
      <xdr:blipFill>
        <a:blip xmlns:r="http://schemas.openxmlformats.org/officeDocument/2006/relationships" r:embed="rId15"/>
        <a:stretch>
          <a:fillRect/>
        </a:stretch>
      </xdr:blipFill>
      <xdr:spPr>
        <a:xfrm>
          <a:off x="6261653" y="32311286"/>
          <a:ext cx="281106" cy="191546"/>
        </a:xfrm>
        <a:prstGeom prst="rect">
          <a:avLst/>
        </a:prstGeom>
      </xdr:spPr>
    </xdr:pic>
    <xdr:clientData/>
  </xdr:oneCellAnchor>
  <xdr:oneCellAnchor>
    <xdr:from>
      <xdr:col>10</xdr:col>
      <xdr:colOff>133757</xdr:colOff>
      <xdr:row>117</xdr:row>
      <xdr:rowOff>176645</xdr:rowOff>
    </xdr:from>
    <xdr:ext cx="429459" cy="175624"/>
    <xdr:pic>
      <xdr:nvPicPr>
        <xdr:cNvPr id="128" name="Obraz 127" descr="Flexrohr - Viessmann ZK02532, ZK02533, ZK02534 | Loebbeshop Heizung und  Ersatzteile online einkaufen">
          <a:extLst>
            <a:ext uri="{FF2B5EF4-FFF2-40B4-BE49-F238E27FC236}">
              <a16:creationId xmlns:a16="http://schemas.microsoft.com/office/drawing/2014/main" id="{D1999C5E-A069-472F-9B38-A11A72EA0463}"/>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rot="10800000" flipV="1">
          <a:off x="6150244" y="32087880"/>
          <a:ext cx="429459" cy="175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10</xdr:col>
      <xdr:colOff>311426</xdr:colOff>
      <xdr:row>120</xdr:row>
      <xdr:rowOff>39757</xdr:rowOff>
    </xdr:from>
    <xdr:to>
      <xdr:col>10</xdr:col>
      <xdr:colOff>520731</xdr:colOff>
      <xdr:row>121</xdr:row>
      <xdr:rowOff>33132</xdr:rowOff>
    </xdr:to>
    <xdr:pic>
      <xdr:nvPicPr>
        <xdr:cNvPr id="130" name="Obraz 129" descr="Viessmann ISORohr EPP DN180 L 1000 - 7501766">
          <a:extLst>
            <a:ext uri="{FF2B5EF4-FFF2-40B4-BE49-F238E27FC236}">
              <a16:creationId xmlns:a16="http://schemas.microsoft.com/office/drawing/2014/main" id="{50478C77-1E61-4EAB-B791-CC98B16A5823}"/>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327913" y="32507583"/>
          <a:ext cx="209305" cy="1789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10</xdr:col>
      <xdr:colOff>310152</xdr:colOff>
      <xdr:row>104</xdr:row>
      <xdr:rowOff>26504</xdr:rowOff>
    </xdr:from>
    <xdr:ext cx="232817" cy="231913"/>
    <xdr:pic>
      <xdr:nvPicPr>
        <xdr:cNvPr id="135" name="Obraz 134" descr="Viessmann ISORohr EPP DN160 L 1000 - 7501765">
          <a:extLst>
            <a:ext uri="{FF2B5EF4-FFF2-40B4-BE49-F238E27FC236}">
              <a16:creationId xmlns:a16="http://schemas.microsoft.com/office/drawing/2014/main" id="{87161D6B-2714-4A8B-8F56-0B06DDCA6B74}"/>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326639" y="32679861"/>
          <a:ext cx="232817" cy="23191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245166</xdr:colOff>
      <xdr:row>102</xdr:row>
      <xdr:rowOff>28990</xdr:rowOff>
    </xdr:from>
    <xdr:ext cx="281106" cy="191546"/>
    <xdr:pic>
      <xdr:nvPicPr>
        <xdr:cNvPr id="136" name="Obraz 135">
          <a:extLst>
            <a:ext uri="{FF2B5EF4-FFF2-40B4-BE49-F238E27FC236}">
              <a16:creationId xmlns:a16="http://schemas.microsoft.com/office/drawing/2014/main" id="{F0EC5E11-A1E2-4A51-A1A1-E8DDFB18D784}"/>
            </a:ext>
          </a:extLst>
        </xdr:cNvPr>
        <xdr:cNvPicPr>
          <a:picLocks noChangeAspect="1"/>
        </xdr:cNvPicPr>
      </xdr:nvPicPr>
      <xdr:blipFill>
        <a:blip xmlns:r="http://schemas.openxmlformats.org/officeDocument/2006/relationships" r:embed="rId15"/>
        <a:stretch>
          <a:fillRect/>
        </a:stretch>
      </xdr:blipFill>
      <xdr:spPr>
        <a:xfrm>
          <a:off x="6261653" y="32311286"/>
          <a:ext cx="281106" cy="191546"/>
        </a:xfrm>
        <a:prstGeom prst="rect">
          <a:avLst/>
        </a:prstGeom>
      </xdr:spPr>
    </xdr:pic>
    <xdr:clientData/>
  </xdr:oneCellAnchor>
  <xdr:oneCellAnchor>
    <xdr:from>
      <xdr:col>10</xdr:col>
      <xdr:colOff>133757</xdr:colOff>
      <xdr:row>100</xdr:row>
      <xdr:rowOff>176645</xdr:rowOff>
    </xdr:from>
    <xdr:ext cx="429459" cy="175624"/>
    <xdr:pic>
      <xdr:nvPicPr>
        <xdr:cNvPr id="137" name="Obraz 136" descr="Flexrohr - Viessmann ZK02532, ZK02533, ZK02534 | Loebbeshop Heizung und  Ersatzteile online einkaufen">
          <a:extLst>
            <a:ext uri="{FF2B5EF4-FFF2-40B4-BE49-F238E27FC236}">
              <a16:creationId xmlns:a16="http://schemas.microsoft.com/office/drawing/2014/main" id="{B2B44C20-5E45-4DF5-8A4D-16A537D97DDE}"/>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rot="10800000" flipV="1">
          <a:off x="6150244" y="32087880"/>
          <a:ext cx="429459" cy="175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311426</xdr:colOff>
      <xdr:row>103</xdr:row>
      <xdr:rowOff>39757</xdr:rowOff>
    </xdr:from>
    <xdr:ext cx="209305" cy="178905"/>
    <xdr:pic>
      <xdr:nvPicPr>
        <xdr:cNvPr id="138" name="Obraz 137" descr="Viessmann ISORohr EPP DN180 L 1000 - 7501766">
          <a:extLst>
            <a:ext uri="{FF2B5EF4-FFF2-40B4-BE49-F238E27FC236}">
              <a16:creationId xmlns:a16="http://schemas.microsoft.com/office/drawing/2014/main" id="{CEAD339C-196E-43A5-94BD-D099A1453DA9}"/>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327913" y="32507583"/>
          <a:ext cx="209305" cy="17890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297227</xdr:colOff>
      <xdr:row>169</xdr:row>
      <xdr:rowOff>122583</xdr:rowOff>
    </xdr:from>
    <xdr:ext cx="209305" cy="178905"/>
    <xdr:pic>
      <xdr:nvPicPr>
        <xdr:cNvPr id="139" name="Obraz 138" descr="Viessmann ISORohr EPP DN180 L 1000 - 7501766">
          <a:extLst>
            <a:ext uri="{FF2B5EF4-FFF2-40B4-BE49-F238E27FC236}">
              <a16:creationId xmlns:a16="http://schemas.microsoft.com/office/drawing/2014/main" id="{0E51E916-8B3C-4B22-9E2B-A8A43B099876}"/>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327913" y="32507583"/>
          <a:ext cx="209305" cy="17890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119558</xdr:colOff>
      <xdr:row>167</xdr:row>
      <xdr:rowOff>72994</xdr:rowOff>
    </xdr:from>
    <xdr:ext cx="429459" cy="175624"/>
    <xdr:pic>
      <xdr:nvPicPr>
        <xdr:cNvPr id="141" name="Obraz 140" descr="Flexrohr - Viessmann ZK02532, ZK02533, ZK02534 | Loebbeshop Heizung und  Ersatzteile online einkaufen">
          <a:extLst>
            <a:ext uri="{FF2B5EF4-FFF2-40B4-BE49-F238E27FC236}">
              <a16:creationId xmlns:a16="http://schemas.microsoft.com/office/drawing/2014/main" id="{415AE523-27E6-4589-8D7B-AA1E5F8B02F9}"/>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rot="10800000" flipV="1">
          <a:off x="6150244" y="32087880"/>
          <a:ext cx="429459" cy="175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85983</xdr:colOff>
      <xdr:row>84</xdr:row>
      <xdr:rowOff>12517</xdr:rowOff>
    </xdr:from>
    <xdr:ext cx="1467266" cy="1152202"/>
    <xdr:pic>
      <xdr:nvPicPr>
        <xdr:cNvPr id="142" name="Google Shape;329;p38">
          <a:extLst>
            <a:ext uri="{FF2B5EF4-FFF2-40B4-BE49-F238E27FC236}">
              <a16:creationId xmlns:a16="http://schemas.microsoft.com/office/drawing/2014/main" id="{E0AFC497-6358-4A86-A21F-BAFEE197FFD4}"/>
            </a:ext>
          </a:extLst>
        </xdr:cNvPr>
        <xdr:cNvPicPr preferRelativeResize="0">
          <a:picLocks noChangeAspect="1"/>
        </xdr:cNvPicPr>
      </xdr:nvPicPr>
      <xdr:blipFill rotWithShape="1">
        <a:blip xmlns:r="http://schemas.openxmlformats.org/officeDocument/2006/relationships" r:embed="rId11" cstate="email">
          <a:alphaModFix/>
          <a:extLst>
            <a:ext uri="{BEBA8EAE-BF5A-486C-A8C5-ECC9F3942E4B}">
              <a14:imgProps xmlns:a14="http://schemas.microsoft.com/office/drawing/2010/main">
                <a14:imgLayer r:embed="rId12">
                  <a14:imgEffect>
                    <a14:sharpenSoften amount="50000"/>
                  </a14:imgEffect>
                </a14:imgLayer>
              </a14:imgProps>
            </a:ext>
            <a:ext uri="{28A0092B-C50C-407E-A947-70E740481C1C}">
              <a14:useLocalDpi xmlns:a14="http://schemas.microsoft.com/office/drawing/2010/main"/>
            </a:ext>
          </a:extLst>
        </a:blip>
        <a:srcRect/>
        <a:stretch/>
      </xdr:blipFill>
      <xdr:spPr>
        <a:xfrm>
          <a:off x="2132497" y="22774546"/>
          <a:ext cx="1467266" cy="1152202"/>
        </a:xfrm>
        <a:prstGeom prst="rect">
          <a:avLst/>
        </a:prstGeom>
        <a:noFill/>
        <a:ln>
          <a:noFill/>
        </a:ln>
      </xdr:spPr>
    </xdr:pic>
    <xdr:clientData/>
  </xdr:oneCellAnchor>
  <xdr:twoCellAnchor>
    <xdr:from>
      <xdr:col>2</xdr:col>
      <xdr:colOff>128316</xdr:colOff>
      <xdr:row>84</xdr:row>
      <xdr:rowOff>20983</xdr:rowOff>
    </xdr:from>
    <xdr:to>
      <xdr:col>9</xdr:col>
      <xdr:colOff>436744</xdr:colOff>
      <xdr:row>85</xdr:row>
      <xdr:rowOff>71308</xdr:rowOff>
    </xdr:to>
    <xdr:sp macro="" textlink="">
      <xdr:nvSpPr>
        <xdr:cNvPr id="143" name="Prostokąt 142">
          <a:extLst>
            <a:ext uri="{FF2B5EF4-FFF2-40B4-BE49-F238E27FC236}">
              <a16:creationId xmlns:a16="http://schemas.microsoft.com/office/drawing/2014/main" id="{D069B1D1-D8D3-4AD7-B299-4C26EC796202}"/>
            </a:ext>
          </a:extLst>
        </xdr:cNvPr>
        <xdr:cNvSpPr/>
      </xdr:nvSpPr>
      <xdr:spPr>
        <a:xfrm>
          <a:off x="955630" y="22783012"/>
          <a:ext cx="4902200" cy="235382"/>
        </a:xfrm>
        <a:prstGeom prst="rect">
          <a:avLst/>
        </a:prstGeom>
        <a:solidFill>
          <a:schemeClr val="bg2">
            <a:lumMod val="9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9</xdr:col>
      <xdr:colOff>18543</xdr:colOff>
      <xdr:row>82</xdr:row>
      <xdr:rowOff>0</xdr:rowOff>
    </xdr:from>
    <xdr:to>
      <xdr:col>9</xdr:col>
      <xdr:colOff>18543</xdr:colOff>
      <xdr:row>87</xdr:row>
      <xdr:rowOff>65787</xdr:rowOff>
    </xdr:to>
    <xdr:cxnSp macro="">
      <xdr:nvCxnSpPr>
        <xdr:cNvPr id="144" name="Łącznik prosty 143">
          <a:extLst>
            <a:ext uri="{FF2B5EF4-FFF2-40B4-BE49-F238E27FC236}">
              <a16:creationId xmlns:a16="http://schemas.microsoft.com/office/drawing/2014/main" id="{CDA00B9C-FA57-4FF2-A528-58D73D17E63D}"/>
            </a:ext>
          </a:extLst>
        </xdr:cNvPr>
        <xdr:cNvCxnSpPr/>
      </xdr:nvCxnSpPr>
      <xdr:spPr>
        <a:xfrm>
          <a:off x="5439629" y="22391914"/>
          <a:ext cx="0" cy="991073"/>
        </a:xfrm>
        <a:prstGeom prst="line">
          <a:avLst/>
        </a:prstGeom>
        <a:ln w="76200">
          <a:solidFill>
            <a:srgbClr val="0070C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491278</xdr:colOff>
      <xdr:row>82</xdr:row>
      <xdr:rowOff>19878</xdr:rowOff>
    </xdr:from>
    <xdr:to>
      <xdr:col>5</xdr:col>
      <xdr:colOff>491278</xdr:colOff>
      <xdr:row>86</xdr:row>
      <xdr:rowOff>105933</xdr:rowOff>
    </xdr:to>
    <xdr:cxnSp macro="">
      <xdr:nvCxnSpPr>
        <xdr:cNvPr id="145" name="Łącznik prosty 144">
          <a:extLst>
            <a:ext uri="{FF2B5EF4-FFF2-40B4-BE49-F238E27FC236}">
              <a16:creationId xmlns:a16="http://schemas.microsoft.com/office/drawing/2014/main" id="{8097A620-4DC6-42A3-B108-83BD97AEA664}"/>
            </a:ext>
          </a:extLst>
        </xdr:cNvPr>
        <xdr:cNvCxnSpPr/>
      </xdr:nvCxnSpPr>
      <xdr:spPr>
        <a:xfrm flipV="1">
          <a:off x="3147392" y="22411792"/>
          <a:ext cx="0" cy="826284"/>
        </a:xfrm>
        <a:prstGeom prst="line">
          <a:avLst/>
        </a:prstGeom>
        <a:ln w="76200">
          <a:solidFill>
            <a:schemeClr val="accent1"/>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564164</xdr:colOff>
      <xdr:row>88</xdr:row>
      <xdr:rowOff>172194</xdr:rowOff>
    </xdr:from>
    <xdr:to>
      <xdr:col>4</xdr:col>
      <xdr:colOff>331862</xdr:colOff>
      <xdr:row>88</xdr:row>
      <xdr:rowOff>172194</xdr:rowOff>
    </xdr:to>
    <xdr:cxnSp macro="">
      <xdr:nvCxnSpPr>
        <xdr:cNvPr id="146" name="Łącznik prosty 145">
          <a:extLst>
            <a:ext uri="{FF2B5EF4-FFF2-40B4-BE49-F238E27FC236}">
              <a16:creationId xmlns:a16="http://schemas.microsoft.com/office/drawing/2014/main" id="{856EC4EB-2061-4A1F-8878-933640A7B201}"/>
            </a:ext>
          </a:extLst>
        </xdr:cNvPr>
        <xdr:cNvCxnSpPr/>
      </xdr:nvCxnSpPr>
      <xdr:spPr>
        <a:xfrm>
          <a:off x="1391478" y="23674451"/>
          <a:ext cx="986898" cy="0"/>
        </a:xfrm>
        <a:prstGeom prst="line">
          <a:avLst/>
        </a:prstGeom>
        <a:ln w="76200">
          <a:solidFill>
            <a:schemeClr val="accent2"/>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537660</xdr:colOff>
      <xdr:row>86</xdr:row>
      <xdr:rowOff>99307</xdr:rowOff>
    </xdr:from>
    <xdr:to>
      <xdr:col>4</xdr:col>
      <xdr:colOff>318610</xdr:colOff>
      <xdr:row>86</xdr:row>
      <xdr:rowOff>99307</xdr:rowOff>
    </xdr:to>
    <xdr:cxnSp macro="">
      <xdr:nvCxnSpPr>
        <xdr:cNvPr id="147" name="Łącznik prosty 146">
          <a:extLst>
            <a:ext uri="{FF2B5EF4-FFF2-40B4-BE49-F238E27FC236}">
              <a16:creationId xmlns:a16="http://schemas.microsoft.com/office/drawing/2014/main" id="{379F231D-CC8D-4F96-B718-37BCCBB4A8D3}"/>
            </a:ext>
          </a:extLst>
        </xdr:cNvPr>
        <xdr:cNvCxnSpPr/>
      </xdr:nvCxnSpPr>
      <xdr:spPr>
        <a:xfrm>
          <a:off x="1364974" y="23231450"/>
          <a:ext cx="1000150" cy="0"/>
        </a:xfrm>
        <a:prstGeom prst="line">
          <a:avLst/>
        </a:prstGeom>
        <a:ln w="76200">
          <a:solidFill>
            <a:srgbClr val="FF505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510766</xdr:colOff>
      <xdr:row>87</xdr:row>
      <xdr:rowOff>26504</xdr:rowOff>
    </xdr:from>
    <xdr:to>
      <xdr:col>5</xdr:col>
      <xdr:colOff>510766</xdr:colOff>
      <xdr:row>88</xdr:row>
      <xdr:rowOff>178431</xdr:rowOff>
    </xdr:to>
    <xdr:cxnSp macro="">
      <xdr:nvCxnSpPr>
        <xdr:cNvPr id="148" name="Łącznik prosty 147">
          <a:extLst>
            <a:ext uri="{FF2B5EF4-FFF2-40B4-BE49-F238E27FC236}">
              <a16:creationId xmlns:a16="http://schemas.microsoft.com/office/drawing/2014/main" id="{83C893CA-1692-4D75-BC32-4EED3A73974E}"/>
            </a:ext>
          </a:extLst>
        </xdr:cNvPr>
        <xdr:cNvCxnSpPr/>
      </xdr:nvCxnSpPr>
      <xdr:spPr>
        <a:xfrm>
          <a:off x="3166880" y="23343704"/>
          <a:ext cx="0" cy="336984"/>
        </a:xfrm>
        <a:prstGeom prst="line">
          <a:avLst/>
        </a:prstGeom>
        <a:ln w="76200">
          <a:solidFill>
            <a:srgbClr val="0070C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471400</xdr:colOff>
      <xdr:row>87</xdr:row>
      <xdr:rowOff>39283</xdr:rowOff>
    </xdr:from>
    <xdr:to>
      <xdr:col>9</xdr:col>
      <xdr:colOff>45436</xdr:colOff>
      <xdr:row>87</xdr:row>
      <xdr:rowOff>39283</xdr:rowOff>
    </xdr:to>
    <xdr:cxnSp macro="">
      <xdr:nvCxnSpPr>
        <xdr:cNvPr id="149" name="Łącznik prosty 148">
          <a:extLst>
            <a:ext uri="{FF2B5EF4-FFF2-40B4-BE49-F238E27FC236}">
              <a16:creationId xmlns:a16="http://schemas.microsoft.com/office/drawing/2014/main" id="{F3C912D8-A89A-405D-8C34-0BC2E0A14339}"/>
            </a:ext>
          </a:extLst>
        </xdr:cNvPr>
        <xdr:cNvCxnSpPr/>
      </xdr:nvCxnSpPr>
      <xdr:spPr>
        <a:xfrm>
          <a:off x="3127514" y="23356483"/>
          <a:ext cx="2339008" cy="0"/>
        </a:xfrm>
        <a:prstGeom prst="line">
          <a:avLst/>
        </a:prstGeom>
        <a:ln w="76200">
          <a:solidFill>
            <a:srgbClr val="0070C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144197</xdr:colOff>
      <xdr:row>66</xdr:row>
      <xdr:rowOff>117114</xdr:rowOff>
    </xdr:from>
    <xdr:ext cx="1467266" cy="1152676"/>
    <xdr:pic>
      <xdr:nvPicPr>
        <xdr:cNvPr id="150" name="Google Shape;329;p38">
          <a:extLst>
            <a:ext uri="{FF2B5EF4-FFF2-40B4-BE49-F238E27FC236}">
              <a16:creationId xmlns:a16="http://schemas.microsoft.com/office/drawing/2014/main" id="{D2DF9096-3D54-412F-B9D2-7F9D4D2AAEB9}"/>
            </a:ext>
          </a:extLst>
        </xdr:cNvPr>
        <xdr:cNvPicPr preferRelativeResize="0">
          <a:picLocks noChangeAspect="1"/>
        </xdr:cNvPicPr>
      </xdr:nvPicPr>
      <xdr:blipFill rotWithShape="1">
        <a:blip xmlns:r="http://schemas.openxmlformats.org/officeDocument/2006/relationships" r:embed="rId13" cstate="email">
          <a:alphaModFix/>
          <a:extLst>
            <a:ext uri="{28A0092B-C50C-407E-A947-70E740481C1C}">
              <a14:useLocalDpi xmlns:a14="http://schemas.microsoft.com/office/drawing/2010/main"/>
            </a:ext>
          </a:extLst>
        </a:blip>
        <a:srcRect/>
        <a:stretch/>
      </xdr:blipFill>
      <xdr:spPr>
        <a:xfrm>
          <a:off x="2190711" y="19548114"/>
          <a:ext cx="1467266" cy="1152676"/>
        </a:xfrm>
        <a:prstGeom prst="rect">
          <a:avLst/>
        </a:prstGeom>
        <a:noFill/>
        <a:ln>
          <a:noFill/>
        </a:ln>
      </xdr:spPr>
    </xdr:pic>
    <xdr:clientData/>
  </xdr:oneCellAnchor>
  <xdr:twoCellAnchor>
    <xdr:from>
      <xdr:col>2</xdr:col>
      <xdr:colOff>186530</xdr:colOff>
      <xdr:row>66</xdr:row>
      <xdr:rowOff>125580</xdr:rowOff>
    </xdr:from>
    <xdr:to>
      <xdr:col>9</xdr:col>
      <xdr:colOff>494958</xdr:colOff>
      <xdr:row>67</xdr:row>
      <xdr:rowOff>176379</xdr:rowOff>
    </xdr:to>
    <xdr:sp macro="" textlink="">
      <xdr:nvSpPr>
        <xdr:cNvPr id="151" name="Prostokąt 150">
          <a:extLst>
            <a:ext uri="{FF2B5EF4-FFF2-40B4-BE49-F238E27FC236}">
              <a16:creationId xmlns:a16="http://schemas.microsoft.com/office/drawing/2014/main" id="{3A67CAD4-B6D7-4D1C-A132-789AB52DE586}"/>
            </a:ext>
          </a:extLst>
        </xdr:cNvPr>
        <xdr:cNvSpPr/>
      </xdr:nvSpPr>
      <xdr:spPr>
        <a:xfrm>
          <a:off x="1013844" y="19556580"/>
          <a:ext cx="4902200" cy="235856"/>
        </a:xfrm>
        <a:prstGeom prst="rect">
          <a:avLst/>
        </a:prstGeom>
        <a:solidFill>
          <a:schemeClr val="bg2">
            <a:lumMod val="9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2</xdr:col>
      <xdr:colOff>186857</xdr:colOff>
      <xdr:row>67</xdr:row>
      <xdr:rowOff>178773</xdr:rowOff>
    </xdr:from>
    <xdr:to>
      <xdr:col>2</xdr:col>
      <xdr:colOff>423923</xdr:colOff>
      <xdr:row>77</xdr:row>
      <xdr:rowOff>145881</xdr:rowOff>
    </xdr:to>
    <xdr:sp macro="" textlink="">
      <xdr:nvSpPr>
        <xdr:cNvPr id="152" name="Prostokąt 151">
          <a:extLst>
            <a:ext uri="{FF2B5EF4-FFF2-40B4-BE49-F238E27FC236}">
              <a16:creationId xmlns:a16="http://schemas.microsoft.com/office/drawing/2014/main" id="{89DC252C-FA3E-4B80-A8E6-584B5D87DEF5}"/>
            </a:ext>
          </a:extLst>
        </xdr:cNvPr>
        <xdr:cNvSpPr/>
      </xdr:nvSpPr>
      <xdr:spPr>
        <a:xfrm rot="16200000">
          <a:off x="223864" y="20585137"/>
          <a:ext cx="1817680" cy="237066"/>
        </a:xfrm>
        <a:prstGeom prst="rect">
          <a:avLst/>
        </a:prstGeom>
        <a:solidFill>
          <a:schemeClr val="bg2">
            <a:lumMod val="9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4</xdr:col>
      <xdr:colOff>396702</xdr:colOff>
      <xdr:row>66</xdr:row>
      <xdr:rowOff>44962</xdr:rowOff>
    </xdr:from>
    <xdr:to>
      <xdr:col>4</xdr:col>
      <xdr:colOff>396702</xdr:colOff>
      <xdr:row>69</xdr:row>
      <xdr:rowOff>25475</xdr:rowOff>
    </xdr:to>
    <xdr:cxnSp macro="">
      <xdr:nvCxnSpPr>
        <xdr:cNvPr id="153" name="Łącznik prosty 152">
          <a:extLst>
            <a:ext uri="{FF2B5EF4-FFF2-40B4-BE49-F238E27FC236}">
              <a16:creationId xmlns:a16="http://schemas.microsoft.com/office/drawing/2014/main" id="{A27CDA67-336C-4251-B6F9-6E20242E0ED7}"/>
            </a:ext>
          </a:extLst>
        </xdr:cNvPr>
        <xdr:cNvCxnSpPr/>
      </xdr:nvCxnSpPr>
      <xdr:spPr>
        <a:xfrm>
          <a:off x="2443216" y="19475962"/>
          <a:ext cx="0" cy="535684"/>
        </a:xfrm>
        <a:prstGeom prst="line">
          <a:avLst/>
        </a:prstGeom>
        <a:ln w="76200">
          <a:solidFill>
            <a:srgbClr val="0070C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416970</xdr:colOff>
      <xdr:row>71</xdr:row>
      <xdr:rowOff>91734</xdr:rowOff>
    </xdr:from>
    <xdr:to>
      <xdr:col>4</xdr:col>
      <xdr:colOff>390076</xdr:colOff>
      <xdr:row>71</xdr:row>
      <xdr:rowOff>91734</xdr:rowOff>
    </xdr:to>
    <xdr:cxnSp macro="">
      <xdr:nvCxnSpPr>
        <xdr:cNvPr id="154" name="Łącznik prosty 153">
          <a:extLst>
            <a:ext uri="{FF2B5EF4-FFF2-40B4-BE49-F238E27FC236}">
              <a16:creationId xmlns:a16="http://schemas.microsoft.com/office/drawing/2014/main" id="{60BE4E5C-6254-4C12-A61B-4EBF984DCDDE}"/>
            </a:ext>
          </a:extLst>
        </xdr:cNvPr>
        <xdr:cNvCxnSpPr/>
      </xdr:nvCxnSpPr>
      <xdr:spPr>
        <a:xfrm>
          <a:off x="634684" y="20448020"/>
          <a:ext cx="1801906" cy="0"/>
        </a:xfrm>
        <a:prstGeom prst="line">
          <a:avLst/>
        </a:prstGeom>
        <a:ln w="76200">
          <a:solidFill>
            <a:schemeClr val="accent1"/>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536240</xdr:colOff>
      <xdr:row>69</xdr:row>
      <xdr:rowOff>12222</xdr:rowOff>
    </xdr:from>
    <xdr:to>
      <xdr:col>8</xdr:col>
      <xdr:colOff>45993</xdr:colOff>
      <xdr:row>69</xdr:row>
      <xdr:rowOff>12222</xdr:rowOff>
    </xdr:to>
    <xdr:cxnSp macro="">
      <xdr:nvCxnSpPr>
        <xdr:cNvPr id="155" name="Łącznik prosty 154">
          <a:extLst>
            <a:ext uri="{FF2B5EF4-FFF2-40B4-BE49-F238E27FC236}">
              <a16:creationId xmlns:a16="http://schemas.microsoft.com/office/drawing/2014/main" id="{A9744896-764A-4019-8289-D76D06A5125F}"/>
            </a:ext>
          </a:extLst>
        </xdr:cNvPr>
        <xdr:cNvCxnSpPr/>
      </xdr:nvCxnSpPr>
      <xdr:spPr>
        <a:xfrm>
          <a:off x="3192354" y="19998393"/>
          <a:ext cx="1523610" cy="0"/>
        </a:xfrm>
        <a:prstGeom prst="line">
          <a:avLst/>
        </a:prstGeom>
        <a:ln w="76200">
          <a:solidFill>
            <a:schemeClr val="accent2"/>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542866</xdr:colOff>
      <xdr:row>71</xdr:row>
      <xdr:rowOff>91734</xdr:rowOff>
    </xdr:from>
    <xdr:to>
      <xdr:col>8</xdr:col>
      <xdr:colOff>52619</xdr:colOff>
      <xdr:row>71</xdr:row>
      <xdr:rowOff>91734</xdr:rowOff>
    </xdr:to>
    <xdr:cxnSp macro="">
      <xdr:nvCxnSpPr>
        <xdr:cNvPr id="156" name="Łącznik prosty 155">
          <a:extLst>
            <a:ext uri="{FF2B5EF4-FFF2-40B4-BE49-F238E27FC236}">
              <a16:creationId xmlns:a16="http://schemas.microsoft.com/office/drawing/2014/main" id="{88BCB304-A13F-464E-811D-771986F4EB73}"/>
            </a:ext>
          </a:extLst>
        </xdr:cNvPr>
        <xdr:cNvCxnSpPr/>
      </xdr:nvCxnSpPr>
      <xdr:spPr>
        <a:xfrm>
          <a:off x="3198980" y="20448020"/>
          <a:ext cx="1523610" cy="0"/>
        </a:xfrm>
        <a:prstGeom prst="line">
          <a:avLst/>
        </a:prstGeom>
        <a:ln w="76200">
          <a:solidFill>
            <a:srgbClr val="FF505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10</xdr:col>
      <xdr:colOff>245166</xdr:colOff>
      <xdr:row>69</xdr:row>
      <xdr:rowOff>28990</xdr:rowOff>
    </xdr:from>
    <xdr:ext cx="281106" cy="191546"/>
    <xdr:pic>
      <xdr:nvPicPr>
        <xdr:cNvPr id="162" name="Obraz 161">
          <a:extLst>
            <a:ext uri="{FF2B5EF4-FFF2-40B4-BE49-F238E27FC236}">
              <a16:creationId xmlns:a16="http://schemas.microsoft.com/office/drawing/2014/main" id="{037D646A-C906-49EC-9E41-9550290BB4F6}"/>
            </a:ext>
          </a:extLst>
        </xdr:cNvPr>
        <xdr:cNvPicPr>
          <a:picLocks noChangeAspect="1"/>
        </xdr:cNvPicPr>
      </xdr:nvPicPr>
      <xdr:blipFill>
        <a:blip xmlns:r="http://schemas.openxmlformats.org/officeDocument/2006/relationships" r:embed="rId15"/>
        <a:stretch>
          <a:fillRect/>
        </a:stretch>
      </xdr:blipFill>
      <xdr:spPr>
        <a:xfrm>
          <a:off x="6275852" y="20015161"/>
          <a:ext cx="281106" cy="191546"/>
        </a:xfrm>
        <a:prstGeom prst="rect">
          <a:avLst/>
        </a:prstGeom>
      </xdr:spPr>
    </xdr:pic>
    <xdr:clientData/>
  </xdr:oneCellAnchor>
  <xdr:twoCellAnchor editAs="oneCell">
    <xdr:from>
      <xdr:col>10</xdr:col>
      <xdr:colOff>185057</xdr:colOff>
      <xdr:row>68</xdr:row>
      <xdr:rowOff>0</xdr:rowOff>
    </xdr:from>
    <xdr:to>
      <xdr:col>10</xdr:col>
      <xdr:colOff>533400</xdr:colOff>
      <xdr:row>69</xdr:row>
      <xdr:rowOff>25509</xdr:rowOff>
    </xdr:to>
    <xdr:pic>
      <xdr:nvPicPr>
        <xdr:cNvPr id="165" name="Obraz 164">
          <a:extLst>
            <a:ext uri="{FF2B5EF4-FFF2-40B4-BE49-F238E27FC236}">
              <a16:creationId xmlns:a16="http://schemas.microsoft.com/office/drawing/2014/main" id="{AF9D7E76-DA00-92AA-EABD-3EBD1F5F8282}"/>
            </a:ext>
          </a:extLst>
        </xdr:cNvPr>
        <xdr:cNvPicPr>
          <a:picLocks noChangeAspect="1"/>
        </xdr:cNvPicPr>
      </xdr:nvPicPr>
      <xdr:blipFill>
        <a:blip xmlns:r="http://schemas.openxmlformats.org/officeDocument/2006/relationships" r:embed="rId20"/>
        <a:stretch>
          <a:fillRect/>
        </a:stretch>
      </xdr:blipFill>
      <xdr:spPr>
        <a:xfrm>
          <a:off x="6215743" y="12954000"/>
          <a:ext cx="348343" cy="210566"/>
        </a:xfrm>
        <a:prstGeom prst="rect">
          <a:avLst/>
        </a:prstGeom>
      </xdr:spPr>
    </xdr:pic>
    <xdr:clientData/>
  </xdr:twoCellAnchor>
  <xdr:twoCellAnchor editAs="oneCell">
    <xdr:from>
      <xdr:col>10</xdr:col>
      <xdr:colOff>303124</xdr:colOff>
      <xdr:row>70</xdr:row>
      <xdr:rowOff>46893</xdr:rowOff>
    </xdr:from>
    <xdr:to>
      <xdr:col>10</xdr:col>
      <xdr:colOff>497573</xdr:colOff>
      <xdr:row>71</xdr:row>
      <xdr:rowOff>82061</xdr:rowOff>
    </xdr:to>
    <xdr:pic>
      <xdr:nvPicPr>
        <xdr:cNvPr id="166" name="Obraz 165">
          <a:extLst>
            <a:ext uri="{FF2B5EF4-FFF2-40B4-BE49-F238E27FC236}">
              <a16:creationId xmlns:a16="http://schemas.microsoft.com/office/drawing/2014/main" id="{60AFCDB9-2770-FA5B-4B5B-0284F8EC21B4}"/>
            </a:ext>
          </a:extLst>
        </xdr:cNvPr>
        <xdr:cNvPicPr>
          <a:picLocks noChangeAspect="1"/>
        </xdr:cNvPicPr>
      </xdr:nvPicPr>
      <xdr:blipFill>
        <a:blip xmlns:r="http://schemas.openxmlformats.org/officeDocument/2006/relationships" r:embed="rId21"/>
        <a:stretch>
          <a:fillRect/>
        </a:stretch>
      </xdr:blipFill>
      <xdr:spPr>
        <a:xfrm>
          <a:off x="6317062" y="13129847"/>
          <a:ext cx="194449" cy="216876"/>
        </a:xfrm>
        <a:prstGeom prst="rect">
          <a:avLst/>
        </a:prstGeom>
      </xdr:spPr>
    </xdr:pic>
    <xdr:clientData/>
  </xdr:twoCellAnchor>
  <xdr:oneCellAnchor>
    <xdr:from>
      <xdr:col>10</xdr:col>
      <xdr:colOff>245166</xdr:colOff>
      <xdr:row>86</xdr:row>
      <xdr:rowOff>28990</xdr:rowOff>
    </xdr:from>
    <xdr:ext cx="281106" cy="191546"/>
    <xdr:pic>
      <xdr:nvPicPr>
        <xdr:cNvPr id="167" name="Obraz 166">
          <a:extLst>
            <a:ext uri="{FF2B5EF4-FFF2-40B4-BE49-F238E27FC236}">
              <a16:creationId xmlns:a16="http://schemas.microsoft.com/office/drawing/2014/main" id="{3F83D416-42F9-4844-B48F-C28014BEEC5D}"/>
            </a:ext>
          </a:extLst>
        </xdr:cNvPr>
        <xdr:cNvPicPr>
          <a:picLocks noChangeAspect="1"/>
        </xdr:cNvPicPr>
      </xdr:nvPicPr>
      <xdr:blipFill>
        <a:blip xmlns:r="http://schemas.openxmlformats.org/officeDocument/2006/relationships" r:embed="rId15"/>
        <a:stretch>
          <a:fillRect/>
        </a:stretch>
      </xdr:blipFill>
      <xdr:spPr>
        <a:xfrm>
          <a:off x="6264966" y="13013470"/>
          <a:ext cx="281106" cy="191546"/>
        </a:xfrm>
        <a:prstGeom prst="rect">
          <a:avLst/>
        </a:prstGeom>
      </xdr:spPr>
    </xdr:pic>
    <xdr:clientData/>
  </xdr:oneCellAnchor>
  <xdr:oneCellAnchor>
    <xdr:from>
      <xdr:col>10</xdr:col>
      <xdr:colOff>185057</xdr:colOff>
      <xdr:row>85</xdr:row>
      <xdr:rowOff>0</xdr:rowOff>
    </xdr:from>
    <xdr:ext cx="348343" cy="208389"/>
    <xdr:pic>
      <xdr:nvPicPr>
        <xdr:cNvPr id="168" name="Obraz 167">
          <a:extLst>
            <a:ext uri="{FF2B5EF4-FFF2-40B4-BE49-F238E27FC236}">
              <a16:creationId xmlns:a16="http://schemas.microsoft.com/office/drawing/2014/main" id="{B83CFE6C-9860-4500-8E0E-8B9519802FE7}"/>
            </a:ext>
          </a:extLst>
        </xdr:cNvPr>
        <xdr:cNvPicPr>
          <a:picLocks noChangeAspect="1"/>
        </xdr:cNvPicPr>
      </xdr:nvPicPr>
      <xdr:blipFill>
        <a:blip xmlns:r="http://schemas.openxmlformats.org/officeDocument/2006/relationships" r:embed="rId20"/>
        <a:stretch>
          <a:fillRect/>
        </a:stretch>
      </xdr:blipFill>
      <xdr:spPr>
        <a:xfrm>
          <a:off x="6204857" y="12801600"/>
          <a:ext cx="348343" cy="208389"/>
        </a:xfrm>
        <a:prstGeom prst="rect">
          <a:avLst/>
        </a:prstGeom>
      </xdr:spPr>
    </xdr:pic>
    <xdr:clientData/>
  </xdr:oneCellAnchor>
  <xdr:oneCellAnchor>
    <xdr:from>
      <xdr:col>10</xdr:col>
      <xdr:colOff>303124</xdr:colOff>
      <xdr:row>87</xdr:row>
      <xdr:rowOff>46893</xdr:rowOff>
    </xdr:from>
    <xdr:ext cx="194449" cy="218048"/>
    <xdr:pic>
      <xdr:nvPicPr>
        <xdr:cNvPr id="169" name="Obraz 168">
          <a:extLst>
            <a:ext uri="{FF2B5EF4-FFF2-40B4-BE49-F238E27FC236}">
              <a16:creationId xmlns:a16="http://schemas.microsoft.com/office/drawing/2014/main" id="{673B1480-A9DB-4672-85BE-61313640A688}"/>
            </a:ext>
          </a:extLst>
        </xdr:cNvPr>
        <xdr:cNvPicPr>
          <a:picLocks noChangeAspect="1"/>
        </xdr:cNvPicPr>
      </xdr:nvPicPr>
      <xdr:blipFill>
        <a:blip xmlns:r="http://schemas.openxmlformats.org/officeDocument/2006/relationships" r:embed="rId21"/>
        <a:stretch>
          <a:fillRect/>
        </a:stretch>
      </xdr:blipFill>
      <xdr:spPr>
        <a:xfrm>
          <a:off x="6322924" y="13214253"/>
          <a:ext cx="194449" cy="218048"/>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2</xdr:col>
      <xdr:colOff>151584</xdr:colOff>
      <xdr:row>176</xdr:row>
      <xdr:rowOff>54879</xdr:rowOff>
    </xdr:from>
    <xdr:to>
      <xdr:col>2</xdr:col>
      <xdr:colOff>552110</xdr:colOff>
      <xdr:row>176</xdr:row>
      <xdr:rowOff>479259</xdr:rowOff>
    </xdr:to>
    <xdr:pic>
      <xdr:nvPicPr>
        <xdr:cNvPr id="7" name="Grafika 6" descr="Wanna kontur">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 uri="{96DAC541-7B7A-43D3-8B79-37D633B846F1}">
              <asvg:svgBlip xmlns:asvg="http://schemas.microsoft.com/office/drawing/2016/SVG/main" r:embed="rId2"/>
            </a:ext>
          </a:extLst>
        </a:blip>
        <a:stretch>
          <a:fillRect/>
        </a:stretch>
      </xdr:blipFill>
      <xdr:spPr>
        <a:xfrm>
          <a:off x="3723459" y="34783029"/>
          <a:ext cx="411956" cy="424380"/>
        </a:xfrm>
        <a:prstGeom prst="rect">
          <a:avLst/>
        </a:prstGeom>
      </xdr:spPr>
    </xdr:pic>
    <xdr:clientData/>
  </xdr:twoCellAnchor>
  <xdr:twoCellAnchor editAs="oneCell">
    <xdr:from>
      <xdr:col>2</xdr:col>
      <xdr:colOff>131223</xdr:colOff>
      <xdr:row>182</xdr:row>
      <xdr:rowOff>59282</xdr:rowOff>
    </xdr:from>
    <xdr:to>
      <xdr:col>2</xdr:col>
      <xdr:colOff>554958</xdr:colOff>
      <xdr:row>182</xdr:row>
      <xdr:rowOff>475832</xdr:rowOff>
    </xdr:to>
    <xdr:pic>
      <xdr:nvPicPr>
        <xdr:cNvPr id="8" name="Grafika 7" descr="Eliptyczny kontur">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 uri="{96DAC541-7B7A-43D3-8B79-37D633B846F1}">
              <asvg:svgBlip xmlns:asvg="http://schemas.microsoft.com/office/drawing/2016/SVG/main" r:embed="rId4"/>
            </a:ext>
          </a:extLst>
        </a:blip>
        <a:stretch>
          <a:fillRect/>
        </a:stretch>
      </xdr:blipFill>
      <xdr:spPr>
        <a:xfrm>
          <a:off x="3703098" y="37987832"/>
          <a:ext cx="429450" cy="416550"/>
        </a:xfrm>
        <a:prstGeom prst="rect">
          <a:avLst/>
        </a:prstGeom>
      </xdr:spPr>
    </xdr:pic>
    <xdr:clientData/>
  </xdr:twoCellAnchor>
  <xdr:twoCellAnchor editAs="oneCell">
    <xdr:from>
      <xdr:col>2</xdr:col>
      <xdr:colOff>126696</xdr:colOff>
      <xdr:row>179</xdr:row>
      <xdr:rowOff>53665</xdr:rowOff>
    </xdr:from>
    <xdr:to>
      <xdr:col>2</xdr:col>
      <xdr:colOff>551690</xdr:colOff>
      <xdr:row>179</xdr:row>
      <xdr:rowOff>479740</xdr:rowOff>
    </xdr:to>
    <xdr:pic>
      <xdr:nvPicPr>
        <xdr:cNvPr id="10" name="Grafika 9" descr="Mop i wiadro kontur">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 uri="{96DAC541-7B7A-43D3-8B79-37D633B846F1}">
              <asvg:svgBlip xmlns:asvg="http://schemas.microsoft.com/office/drawing/2016/SVG/main" r:embed="rId6"/>
            </a:ext>
          </a:extLst>
        </a:blip>
        <a:stretch>
          <a:fillRect/>
        </a:stretch>
      </xdr:blipFill>
      <xdr:spPr>
        <a:xfrm>
          <a:off x="3698571" y="36382015"/>
          <a:ext cx="436424" cy="426075"/>
        </a:xfrm>
        <a:prstGeom prst="rect">
          <a:avLst/>
        </a:prstGeom>
      </xdr:spPr>
    </xdr:pic>
    <xdr:clientData/>
  </xdr:twoCellAnchor>
  <xdr:twoCellAnchor editAs="oneCell">
    <xdr:from>
      <xdr:col>2</xdr:col>
      <xdr:colOff>592926</xdr:colOff>
      <xdr:row>188</xdr:row>
      <xdr:rowOff>47455</xdr:rowOff>
    </xdr:from>
    <xdr:to>
      <xdr:col>3</xdr:col>
      <xdr:colOff>284427</xdr:colOff>
      <xdr:row>190</xdr:row>
      <xdr:rowOff>134440</xdr:rowOff>
    </xdr:to>
    <xdr:pic>
      <xdr:nvPicPr>
        <xdr:cNvPr id="11" name="Grafika 10" descr="Grzechotka kontur">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 uri="{96DAC541-7B7A-43D3-8B79-37D633B846F1}">
              <asvg:svgBlip xmlns:asvg="http://schemas.microsoft.com/office/drawing/2016/SVG/main" r:embed="rId8"/>
            </a:ext>
          </a:extLst>
        </a:blip>
        <a:stretch>
          <a:fillRect/>
        </a:stretch>
      </xdr:blipFill>
      <xdr:spPr>
        <a:xfrm>
          <a:off x="4164801" y="41004955"/>
          <a:ext cx="415401" cy="439410"/>
        </a:xfrm>
        <a:prstGeom prst="rect">
          <a:avLst/>
        </a:prstGeom>
      </xdr:spPr>
    </xdr:pic>
    <xdr:clientData/>
  </xdr:twoCellAnchor>
  <xdr:twoCellAnchor editAs="oneCell">
    <xdr:from>
      <xdr:col>2</xdr:col>
      <xdr:colOff>160728</xdr:colOff>
      <xdr:row>173</xdr:row>
      <xdr:rowOff>44506</xdr:rowOff>
    </xdr:from>
    <xdr:to>
      <xdr:col>2</xdr:col>
      <xdr:colOff>555973</xdr:colOff>
      <xdr:row>173</xdr:row>
      <xdr:rowOff>474601</xdr:rowOff>
    </xdr:to>
    <xdr:pic>
      <xdr:nvPicPr>
        <xdr:cNvPr id="12" name="Grafika 11" descr="Wałek kontur">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 uri="{96DAC541-7B7A-43D3-8B79-37D633B846F1}">
              <asvg:svgBlip xmlns:asvg="http://schemas.microsoft.com/office/drawing/2016/SVG/main" r:embed="rId10"/>
            </a:ext>
          </a:extLst>
        </a:blip>
        <a:stretch>
          <a:fillRect/>
        </a:stretch>
      </xdr:blipFill>
      <xdr:spPr>
        <a:xfrm>
          <a:off x="3732603" y="33886831"/>
          <a:ext cx="399055" cy="439620"/>
        </a:xfrm>
        <a:prstGeom prst="rect">
          <a:avLst/>
        </a:prstGeom>
      </xdr:spPr>
    </xdr:pic>
    <xdr:clientData/>
  </xdr:twoCellAnchor>
  <xdr:twoCellAnchor editAs="oneCell">
    <xdr:from>
      <xdr:col>2</xdr:col>
      <xdr:colOff>159821</xdr:colOff>
      <xdr:row>188</xdr:row>
      <xdr:rowOff>795</xdr:rowOff>
    </xdr:from>
    <xdr:to>
      <xdr:col>2</xdr:col>
      <xdr:colOff>626369</xdr:colOff>
      <xdr:row>190</xdr:row>
      <xdr:rowOff>59205</xdr:rowOff>
    </xdr:to>
    <xdr:pic>
      <xdr:nvPicPr>
        <xdr:cNvPr id="13" name="Grafika 12" descr="Zlew kontur">
          <a:extLst>
            <a:ext uri="{FF2B5EF4-FFF2-40B4-BE49-F238E27FC236}">
              <a16:creationId xmlns:a16="http://schemas.microsoft.com/office/drawing/2014/main" id="{00000000-0008-0000-0800-00000D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 uri="{96DAC541-7B7A-43D3-8B79-37D633B846F1}">
              <asvg:svgBlip xmlns:asvg="http://schemas.microsoft.com/office/drawing/2016/SVG/main" r:embed="rId12"/>
            </a:ext>
          </a:extLst>
        </a:blip>
        <a:stretch>
          <a:fillRect/>
        </a:stretch>
      </xdr:blipFill>
      <xdr:spPr>
        <a:xfrm>
          <a:off x="3731696" y="40958295"/>
          <a:ext cx="470358" cy="416550"/>
        </a:xfrm>
        <a:prstGeom prst="rect">
          <a:avLst/>
        </a:prstGeom>
      </xdr:spPr>
    </xdr:pic>
    <xdr:clientData/>
  </xdr:twoCellAnchor>
  <xdr:twoCellAnchor editAs="oneCell">
    <xdr:from>
      <xdr:col>2</xdr:col>
      <xdr:colOff>131573</xdr:colOff>
      <xdr:row>167</xdr:row>
      <xdr:rowOff>58810</xdr:rowOff>
    </xdr:from>
    <xdr:to>
      <xdr:col>2</xdr:col>
      <xdr:colOff>629554</xdr:colOff>
      <xdr:row>167</xdr:row>
      <xdr:rowOff>479380</xdr:rowOff>
    </xdr:to>
    <xdr:pic>
      <xdr:nvPicPr>
        <xdr:cNvPr id="14" name="Grafika 13" descr="Sen kontur">
          <a:extLst>
            <a:ext uri="{FF2B5EF4-FFF2-40B4-BE49-F238E27FC236}">
              <a16:creationId xmlns:a16="http://schemas.microsoft.com/office/drawing/2014/main" id="{00000000-0008-0000-0800-00000E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 uri="{96DAC541-7B7A-43D3-8B79-37D633B846F1}">
              <asvg:svgBlip xmlns:asvg="http://schemas.microsoft.com/office/drawing/2016/SVG/main" r:embed="rId14"/>
            </a:ext>
          </a:extLst>
        </a:blip>
        <a:stretch>
          <a:fillRect/>
        </a:stretch>
      </xdr:blipFill>
      <xdr:spPr>
        <a:xfrm>
          <a:off x="3703448" y="30519760"/>
          <a:ext cx="490361" cy="420570"/>
        </a:xfrm>
        <a:prstGeom prst="rect">
          <a:avLst/>
        </a:prstGeom>
      </xdr:spPr>
    </xdr:pic>
    <xdr:clientData/>
  </xdr:twoCellAnchor>
  <xdr:twoCellAnchor editAs="oneCell">
    <xdr:from>
      <xdr:col>3</xdr:col>
      <xdr:colOff>274220</xdr:colOff>
      <xdr:row>188</xdr:row>
      <xdr:rowOff>1710</xdr:rowOff>
    </xdr:from>
    <xdr:to>
      <xdr:col>3</xdr:col>
      <xdr:colOff>707658</xdr:colOff>
      <xdr:row>190</xdr:row>
      <xdr:rowOff>60120</xdr:rowOff>
    </xdr:to>
    <xdr:pic>
      <xdr:nvPicPr>
        <xdr:cNvPr id="15" name="Grafika 14" descr="Papier toaletowy kontur">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 uri="{96DAC541-7B7A-43D3-8B79-37D633B846F1}">
              <asvg:svgBlip xmlns:asvg="http://schemas.microsoft.com/office/drawing/2016/SVG/main" r:embed="rId16"/>
            </a:ext>
          </a:extLst>
        </a:blip>
        <a:stretch>
          <a:fillRect/>
        </a:stretch>
      </xdr:blipFill>
      <xdr:spPr>
        <a:xfrm>
          <a:off x="4560470" y="40959210"/>
          <a:ext cx="437248" cy="416550"/>
        </a:xfrm>
        <a:prstGeom prst="rect">
          <a:avLst/>
        </a:prstGeom>
      </xdr:spPr>
    </xdr:pic>
    <xdr:clientData/>
  </xdr:twoCellAnchor>
  <xdr:twoCellAnchor editAs="oneCell">
    <xdr:from>
      <xdr:col>2</xdr:col>
      <xdr:colOff>126545</xdr:colOff>
      <xdr:row>183</xdr:row>
      <xdr:rowOff>58142</xdr:rowOff>
    </xdr:from>
    <xdr:to>
      <xdr:col>2</xdr:col>
      <xdr:colOff>592961</xdr:colOff>
      <xdr:row>183</xdr:row>
      <xdr:rowOff>474692</xdr:rowOff>
    </xdr:to>
    <xdr:pic>
      <xdr:nvPicPr>
        <xdr:cNvPr id="16" name="Grafika 15" descr="Pralka kontur">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 uri="{96DAC541-7B7A-43D3-8B79-37D633B846F1}">
              <asvg:svgBlip xmlns:asvg="http://schemas.microsoft.com/office/drawing/2016/SVG/main" r:embed="rId18"/>
            </a:ext>
          </a:extLst>
        </a:blip>
        <a:stretch>
          <a:fillRect/>
        </a:stretch>
      </xdr:blipFill>
      <xdr:spPr>
        <a:xfrm>
          <a:off x="3698420" y="38520092"/>
          <a:ext cx="472131" cy="416550"/>
        </a:xfrm>
        <a:prstGeom prst="rect">
          <a:avLst/>
        </a:prstGeom>
      </xdr:spPr>
    </xdr:pic>
    <xdr:clientData/>
  </xdr:twoCellAnchor>
  <xdr:twoCellAnchor editAs="oneCell">
    <xdr:from>
      <xdr:col>2</xdr:col>
      <xdr:colOff>164152</xdr:colOff>
      <xdr:row>165</xdr:row>
      <xdr:rowOff>57377</xdr:rowOff>
    </xdr:from>
    <xdr:to>
      <xdr:col>2</xdr:col>
      <xdr:colOff>591031</xdr:colOff>
      <xdr:row>165</xdr:row>
      <xdr:rowOff>479852</xdr:rowOff>
    </xdr:to>
    <xdr:pic>
      <xdr:nvPicPr>
        <xdr:cNvPr id="17" name="Pokój dzienny" descr="Okno kontur">
          <a:extLst>
            <a:ext uri="{FF2B5EF4-FFF2-40B4-BE49-F238E27FC236}">
              <a16:creationId xmlns:a16="http://schemas.microsoft.com/office/drawing/2014/main" id="{00000000-0008-0000-0800-000011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 uri="{96DAC541-7B7A-43D3-8B79-37D633B846F1}">
              <asvg:svgBlip xmlns:asvg="http://schemas.microsoft.com/office/drawing/2016/SVG/main" r:embed="rId20"/>
            </a:ext>
          </a:extLst>
        </a:blip>
        <a:stretch>
          <a:fillRect/>
        </a:stretch>
      </xdr:blipFill>
      <xdr:spPr>
        <a:xfrm>
          <a:off x="3736027" y="29451527"/>
          <a:ext cx="415449" cy="422475"/>
        </a:xfrm>
        <a:prstGeom prst="rect">
          <a:avLst/>
        </a:prstGeom>
      </xdr:spPr>
    </xdr:pic>
    <xdr:clientData/>
  </xdr:twoCellAnchor>
  <xdr:twoCellAnchor editAs="oneCell">
    <xdr:from>
      <xdr:col>2</xdr:col>
      <xdr:colOff>114669</xdr:colOff>
      <xdr:row>166</xdr:row>
      <xdr:rowOff>34565</xdr:rowOff>
    </xdr:from>
    <xdr:to>
      <xdr:col>2</xdr:col>
      <xdr:colOff>628866</xdr:colOff>
      <xdr:row>166</xdr:row>
      <xdr:rowOff>477995</xdr:rowOff>
    </xdr:to>
    <xdr:pic>
      <xdr:nvPicPr>
        <xdr:cNvPr id="18" name="Grafika 17" descr="Praca w domu kontur">
          <a:extLst>
            <a:ext uri="{FF2B5EF4-FFF2-40B4-BE49-F238E27FC236}">
              <a16:creationId xmlns:a16="http://schemas.microsoft.com/office/drawing/2014/main" id="{00000000-0008-0000-0800-000012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 uri="{96DAC541-7B7A-43D3-8B79-37D633B846F1}">
              <asvg:svgBlip xmlns:asvg="http://schemas.microsoft.com/office/drawing/2016/SVG/main" r:embed="rId22"/>
            </a:ext>
          </a:extLst>
        </a:blip>
        <a:stretch>
          <a:fillRect/>
        </a:stretch>
      </xdr:blipFill>
      <xdr:spPr>
        <a:xfrm>
          <a:off x="3686544" y="29962115"/>
          <a:ext cx="506577" cy="443430"/>
        </a:xfrm>
        <a:prstGeom prst="rect">
          <a:avLst/>
        </a:prstGeom>
      </xdr:spPr>
    </xdr:pic>
    <xdr:clientData/>
  </xdr:twoCellAnchor>
  <xdr:twoCellAnchor editAs="oneCell">
    <xdr:from>
      <xdr:col>2</xdr:col>
      <xdr:colOff>141020</xdr:colOff>
      <xdr:row>185</xdr:row>
      <xdr:rowOff>60098</xdr:rowOff>
    </xdr:from>
    <xdr:to>
      <xdr:col>2</xdr:col>
      <xdr:colOff>586993</xdr:colOff>
      <xdr:row>185</xdr:row>
      <xdr:rowOff>495698</xdr:rowOff>
    </xdr:to>
    <xdr:pic>
      <xdr:nvPicPr>
        <xdr:cNvPr id="19" name="Grafika 18" descr="Atom kontur">
          <a:extLst>
            <a:ext uri="{FF2B5EF4-FFF2-40B4-BE49-F238E27FC236}">
              <a16:creationId xmlns:a16="http://schemas.microsoft.com/office/drawing/2014/main" id="{00000000-0008-0000-0800-000013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 uri="{96DAC541-7B7A-43D3-8B79-37D633B846F1}">
              <asvg:svgBlip xmlns:asvg="http://schemas.microsoft.com/office/drawing/2016/SVG/main" r:embed="rId24"/>
            </a:ext>
          </a:extLst>
        </a:blip>
        <a:stretch>
          <a:fillRect/>
        </a:stretch>
      </xdr:blipFill>
      <xdr:spPr>
        <a:xfrm>
          <a:off x="3712895" y="39588848"/>
          <a:ext cx="436448" cy="435600"/>
        </a:xfrm>
        <a:prstGeom prst="rect">
          <a:avLst/>
        </a:prstGeom>
      </xdr:spPr>
    </xdr:pic>
    <xdr:clientData/>
  </xdr:twoCellAnchor>
  <xdr:twoCellAnchor editAs="oneCell">
    <xdr:from>
      <xdr:col>2</xdr:col>
      <xdr:colOff>163931</xdr:colOff>
      <xdr:row>168</xdr:row>
      <xdr:rowOff>53617</xdr:rowOff>
    </xdr:from>
    <xdr:to>
      <xdr:col>2</xdr:col>
      <xdr:colOff>569331</xdr:colOff>
      <xdr:row>168</xdr:row>
      <xdr:rowOff>476092</xdr:rowOff>
    </xdr:to>
    <xdr:pic>
      <xdr:nvPicPr>
        <xdr:cNvPr id="20" name="Grafika 19" descr="Kanapa kontur">
          <a:extLst>
            <a:ext uri="{FF2B5EF4-FFF2-40B4-BE49-F238E27FC236}">
              <a16:creationId xmlns:a16="http://schemas.microsoft.com/office/drawing/2014/main" id="{00000000-0008-0000-0800-000014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 uri="{96DAC541-7B7A-43D3-8B79-37D633B846F1}">
              <asvg:svgBlip xmlns:asvg="http://schemas.microsoft.com/office/drawing/2016/SVG/main" r:embed="rId26"/>
            </a:ext>
          </a:extLst>
        </a:blip>
        <a:stretch>
          <a:fillRect/>
        </a:stretch>
      </xdr:blipFill>
      <xdr:spPr>
        <a:xfrm>
          <a:off x="3735806" y="31047967"/>
          <a:ext cx="405400" cy="422475"/>
        </a:xfrm>
        <a:prstGeom prst="rect">
          <a:avLst/>
        </a:prstGeom>
      </xdr:spPr>
    </xdr:pic>
    <xdr:clientData/>
  </xdr:twoCellAnchor>
  <xdr:twoCellAnchor editAs="oneCell">
    <xdr:from>
      <xdr:col>2</xdr:col>
      <xdr:colOff>131718</xdr:colOff>
      <xdr:row>180</xdr:row>
      <xdr:rowOff>53790</xdr:rowOff>
    </xdr:from>
    <xdr:to>
      <xdr:col>2</xdr:col>
      <xdr:colOff>569512</xdr:colOff>
      <xdr:row>180</xdr:row>
      <xdr:rowOff>493200</xdr:rowOff>
    </xdr:to>
    <xdr:pic>
      <xdr:nvPicPr>
        <xdr:cNvPr id="21" name="Grafika 20" descr="Wieszak kontur">
          <a:extLst>
            <a:ext uri="{FF2B5EF4-FFF2-40B4-BE49-F238E27FC236}">
              <a16:creationId xmlns:a16="http://schemas.microsoft.com/office/drawing/2014/main" id="{00000000-0008-0000-0800-00001500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 uri="{96DAC541-7B7A-43D3-8B79-37D633B846F1}">
              <asvg:svgBlip xmlns:asvg="http://schemas.microsoft.com/office/drawing/2016/SVG/main" r:embed="rId28"/>
            </a:ext>
          </a:extLst>
        </a:blip>
        <a:stretch>
          <a:fillRect/>
        </a:stretch>
      </xdr:blipFill>
      <xdr:spPr>
        <a:xfrm>
          <a:off x="3703593" y="36915540"/>
          <a:ext cx="437794" cy="439410"/>
        </a:xfrm>
        <a:prstGeom prst="rect">
          <a:avLst/>
        </a:prstGeom>
      </xdr:spPr>
    </xdr:pic>
    <xdr:clientData/>
  </xdr:twoCellAnchor>
  <xdr:twoCellAnchor editAs="oneCell">
    <xdr:from>
      <xdr:col>2</xdr:col>
      <xdr:colOff>141243</xdr:colOff>
      <xdr:row>181</xdr:row>
      <xdr:rowOff>59233</xdr:rowOff>
    </xdr:from>
    <xdr:to>
      <xdr:col>2</xdr:col>
      <xdr:colOff>587369</xdr:colOff>
      <xdr:row>181</xdr:row>
      <xdr:rowOff>479593</xdr:rowOff>
    </xdr:to>
    <xdr:pic>
      <xdr:nvPicPr>
        <xdr:cNvPr id="22" name="Grafika 21" descr="Otwarte drzwi kontur">
          <a:extLst>
            <a:ext uri="{FF2B5EF4-FFF2-40B4-BE49-F238E27FC236}">
              <a16:creationId xmlns:a16="http://schemas.microsoft.com/office/drawing/2014/main" id="{00000000-0008-0000-0800-00001600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 uri="{96DAC541-7B7A-43D3-8B79-37D633B846F1}">
              <asvg:svgBlip xmlns:asvg="http://schemas.microsoft.com/office/drawing/2016/SVG/main" r:embed="rId30"/>
            </a:ext>
          </a:extLst>
        </a:blip>
        <a:stretch>
          <a:fillRect/>
        </a:stretch>
      </xdr:blipFill>
      <xdr:spPr>
        <a:xfrm>
          <a:off x="3713118" y="37454383"/>
          <a:ext cx="446126" cy="420360"/>
        </a:xfrm>
        <a:prstGeom prst="rect">
          <a:avLst/>
        </a:prstGeom>
      </xdr:spPr>
    </xdr:pic>
    <xdr:clientData/>
  </xdr:twoCellAnchor>
  <xdr:twoCellAnchor editAs="oneCell">
    <xdr:from>
      <xdr:col>2</xdr:col>
      <xdr:colOff>129814</xdr:colOff>
      <xdr:row>178</xdr:row>
      <xdr:rowOff>57600</xdr:rowOff>
    </xdr:from>
    <xdr:to>
      <xdr:col>2</xdr:col>
      <xdr:colOff>587377</xdr:colOff>
      <xdr:row>178</xdr:row>
      <xdr:rowOff>479865</xdr:rowOff>
    </xdr:to>
    <xdr:pic>
      <xdr:nvPicPr>
        <xdr:cNvPr id="23" name="Grafika 22" descr="Schody w górę kontur">
          <a:extLst>
            <a:ext uri="{FF2B5EF4-FFF2-40B4-BE49-F238E27FC236}">
              <a16:creationId xmlns:a16="http://schemas.microsoft.com/office/drawing/2014/main" id="{00000000-0008-0000-0800-00001700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 uri="{96DAC541-7B7A-43D3-8B79-37D633B846F1}">
              <asvg:svgBlip xmlns:asvg="http://schemas.microsoft.com/office/drawing/2016/SVG/main" r:embed="rId32"/>
            </a:ext>
          </a:extLst>
        </a:blip>
        <a:stretch>
          <a:fillRect/>
        </a:stretch>
      </xdr:blipFill>
      <xdr:spPr>
        <a:xfrm>
          <a:off x="3701689" y="35852550"/>
          <a:ext cx="448038" cy="422265"/>
        </a:xfrm>
        <a:prstGeom prst="rect">
          <a:avLst/>
        </a:prstGeom>
      </xdr:spPr>
    </xdr:pic>
    <xdr:clientData/>
  </xdr:twoCellAnchor>
  <xdr:twoCellAnchor editAs="oneCell">
    <xdr:from>
      <xdr:col>2</xdr:col>
      <xdr:colOff>165519</xdr:colOff>
      <xdr:row>169</xdr:row>
      <xdr:rowOff>54383</xdr:rowOff>
    </xdr:from>
    <xdr:to>
      <xdr:col>2</xdr:col>
      <xdr:colOff>588702</xdr:colOff>
      <xdr:row>169</xdr:row>
      <xdr:rowOff>478763</xdr:rowOff>
    </xdr:to>
    <xdr:pic>
      <xdr:nvPicPr>
        <xdr:cNvPr id="24" name="Grafika 23" descr="Stół i krzesła kontur">
          <a:extLst>
            <a:ext uri="{FF2B5EF4-FFF2-40B4-BE49-F238E27FC236}">
              <a16:creationId xmlns:a16="http://schemas.microsoft.com/office/drawing/2014/main" id="{00000000-0008-0000-0800-000018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 uri="{96DAC541-7B7A-43D3-8B79-37D633B846F1}">
              <asvg:svgBlip xmlns:asvg="http://schemas.microsoft.com/office/drawing/2016/SVG/main" r:embed="rId34"/>
            </a:ext>
          </a:extLst>
        </a:blip>
        <a:stretch>
          <a:fillRect/>
        </a:stretch>
      </xdr:blipFill>
      <xdr:spPr>
        <a:xfrm>
          <a:off x="3737394" y="31582133"/>
          <a:ext cx="423183" cy="424380"/>
        </a:xfrm>
        <a:prstGeom prst="rect">
          <a:avLst/>
        </a:prstGeom>
      </xdr:spPr>
    </xdr:pic>
    <xdr:clientData/>
  </xdr:twoCellAnchor>
  <xdr:twoCellAnchor editAs="oneCell">
    <xdr:from>
      <xdr:col>2</xdr:col>
      <xdr:colOff>130729</xdr:colOff>
      <xdr:row>177</xdr:row>
      <xdr:rowOff>40825</xdr:rowOff>
    </xdr:from>
    <xdr:to>
      <xdr:col>2</xdr:col>
      <xdr:colOff>591412</xdr:colOff>
      <xdr:row>177</xdr:row>
      <xdr:rowOff>478330</xdr:rowOff>
    </xdr:to>
    <xdr:pic>
      <xdr:nvPicPr>
        <xdr:cNvPr id="25" name="Grafika 24" descr="Toaleta kontur">
          <a:extLst>
            <a:ext uri="{FF2B5EF4-FFF2-40B4-BE49-F238E27FC236}">
              <a16:creationId xmlns:a16="http://schemas.microsoft.com/office/drawing/2014/main" id="{00000000-0008-0000-0800-000019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 uri="{96DAC541-7B7A-43D3-8B79-37D633B846F1}">
              <asvg:svgBlip xmlns:asvg="http://schemas.microsoft.com/office/drawing/2016/SVG/main" r:embed="rId36"/>
            </a:ext>
          </a:extLst>
        </a:blip>
        <a:stretch>
          <a:fillRect/>
        </a:stretch>
      </xdr:blipFill>
      <xdr:spPr>
        <a:xfrm>
          <a:off x="3702604" y="35302375"/>
          <a:ext cx="453063" cy="437505"/>
        </a:xfrm>
        <a:prstGeom prst="rect">
          <a:avLst/>
        </a:prstGeom>
      </xdr:spPr>
    </xdr:pic>
    <xdr:clientData/>
  </xdr:twoCellAnchor>
  <xdr:twoCellAnchor editAs="oneCell">
    <xdr:from>
      <xdr:col>2</xdr:col>
      <xdr:colOff>152003</xdr:colOff>
      <xdr:row>172</xdr:row>
      <xdr:rowOff>60373</xdr:rowOff>
    </xdr:from>
    <xdr:to>
      <xdr:col>2</xdr:col>
      <xdr:colOff>570668</xdr:colOff>
      <xdr:row>172</xdr:row>
      <xdr:rowOff>474374</xdr:rowOff>
    </xdr:to>
    <xdr:pic>
      <xdr:nvPicPr>
        <xdr:cNvPr id="26" name="Grafika 25" descr="Kółko ze strzałką w lewo kontur">
          <a:extLst>
            <a:ext uri="{FF2B5EF4-FFF2-40B4-BE49-F238E27FC236}">
              <a16:creationId xmlns:a16="http://schemas.microsoft.com/office/drawing/2014/main" id="{00000000-0008-0000-0800-00001A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 uri="{96DAC541-7B7A-43D3-8B79-37D633B846F1}">
              <asvg:svgBlip xmlns:asvg="http://schemas.microsoft.com/office/drawing/2016/SVG/main" r:embed="rId38"/>
            </a:ext>
          </a:extLst>
        </a:blip>
        <a:stretch>
          <a:fillRect/>
        </a:stretch>
      </xdr:blipFill>
      <xdr:spPr>
        <a:xfrm rot="16200000">
          <a:off x="3726210" y="33185991"/>
          <a:ext cx="414001" cy="418665"/>
        </a:xfrm>
        <a:prstGeom prst="rect">
          <a:avLst/>
        </a:prstGeom>
      </xdr:spPr>
    </xdr:pic>
    <xdr:clientData/>
  </xdr:twoCellAnchor>
  <xdr:twoCellAnchor editAs="oneCell">
    <xdr:from>
      <xdr:col>2</xdr:col>
      <xdr:colOff>142566</xdr:colOff>
      <xdr:row>170</xdr:row>
      <xdr:rowOff>58282</xdr:rowOff>
    </xdr:from>
    <xdr:to>
      <xdr:col>2</xdr:col>
      <xdr:colOff>570546</xdr:colOff>
      <xdr:row>170</xdr:row>
      <xdr:rowOff>497084</xdr:rowOff>
    </xdr:to>
    <xdr:pic>
      <xdr:nvPicPr>
        <xdr:cNvPr id="27" name="Grafika 26" descr="Kółko ze strzałką w lewo kontur">
          <a:extLst>
            <a:ext uri="{FF2B5EF4-FFF2-40B4-BE49-F238E27FC236}">
              <a16:creationId xmlns:a16="http://schemas.microsoft.com/office/drawing/2014/main" id="{00000000-0008-0000-0800-00001B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 uri="{96DAC541-7B7A-43D3-8B79-37D633B846F1}">
              <asvg:svgBlip xmlns:asvg="http://schemas.microsoft.com/office/drawing/2016/SVG/main" r:embed="rId38"/>
            </a:ext>
          </a:extLst>
        </a:blip>
        <a:stretch>
          <a:fillRect/>
        </a:stretch>
      </xdr:blipFill>
      <xdr:spPr>
        <a:xfrm rot="5400000">
          <a:off x="3709030" y="32124843"/>
          <a:ext cx="438802" cy="427980"/>
        </a:xfrm>
        <a:prstGeom prst="rect">
          <a:avLst/>
        </a:prstGeom>
      </xdr:spPr>
    </xdr:pic>
    <xdr:clientData/>
  </xdr:twoCellAnchor>
  <xdr:twoCellAnchor editAs="oneCell">
    <xdr:from>
      <xdr:col>2</xdr:col>
      <xdr:colOff>179778</xdr:colOff>
      <xdr:row>175</xdr:row>
      <xdr:rowOff>34981</xdr:rowOff>
    </xdr:from>
    <xdr:to>
      <xdr:col>2</xdr:col>
      <xdr:colOff>575023</xdr:colOff>
      <xdr:row>175</xdr:row>
      <xdr:rowOff>478411</xdr:rowOff>
    </xdr:to>
    <xdr:pic>
      <xdr:nvPicPr>
        <xdr:cNvPr id="28" name="Grafika 27" descr="Wałek kontur">
          <a:extLst>
            <a:ext uri="{FF2B5EF4-FFF2-40B4-BE49-F238E27FC236}">
              <a16:creationId xmlns:a16="http://schemas.microsoft.com/office/drawing/2014/main" id="{00000000-0008-0000-0800-00001C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 uri="{96DAC541-7B7A-43D3-8B79-37D633B846F1}">
              <asvg:svgBlip xmlns:asvg="http://schemas.microsoft.com/office/drawing/2016/SVG/main" r:embed="rId10"/>
            </a:ext>
          </a:extLst>
        </a:blip>
        <a:stretch>
          <a:fillRect/>
        </a:stretch>
      </xdr:blipFill>
      <xdr:spPr>
        <a:xfrm>
          <a:off x="3751653" y="34410706"/>
          <a:ext cx="395245" cy="439620"/>
        </a:xfrm>
        <a:prstGeom prst="rect">
          <a:avLst/>
        </a:prstGeom>
      </xdr:spPr>
    </xdr:pic>
    <xdr:clientData/>
  </xdr:twoCellAnchor>
  <xdr:twoCellAnchor editAs="oneCell">
    <xdr:from>
      <xdr:col>2</xdr:col>
      <xdr:colOff>74294</xdr:colOff>
      <xdr:row>184</xdr:row>
      <xdr:rowOff>171636</xdr:rowOff>
    </xdr:from>
    <xdr:to>
      <xdr:col>2</xdr:col>
      <xdr:colOff>403214</xdr:colOff>
      <xdr:row>184</xdr:row>
      <xdr:rowOff>473700</xdr:rowOff>
    </xdr:to>
    <xdr:pic>
      <xdr:nvPicPr>
        <xdr:cNvPr id="30" name="Grafika 29" descr="Jabłko kontur">
          <a:extLst>
            <a:ext uri="{FF2B5EF4-FFF2-40B4-BE49-F238E27FC236}">
              <a16:creationId xmlns:a16="http://schemas.microsoft.com/office/drawing/2014/main" id="{00000000-0008-0000-0800-00001E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 uri="{96DAC541-7B7A-43D3-8B79-37D633B846F1}">
              <asvg:svgBlip xmlns:asvg="http://schemas.microsoft.com/office/drawing/2016/SVG/main" r:embed="rId40"/>
            </a:ext>
          </a:extLst>
        </a:blip>
        <a:stretch>
          <a:fillRect/>
        </a:stretch>
      </xdr:blipFill>
      <xdr:spPr>
        <a:xfrm>
          <a:off x="3646169" y="39166986"/>
          <a:ext cx="336540" cy="305874"/>
        </a:xfrm>
        <a:prstGeom prst="rect">
          <a:avLst/>
        </a:prstGeom>
      </xdr:spPr>
    </xdr:pic>
    <xdr:clientData/>
  </xdr:twoCellAnchor>
  <xdr:twoCellAnchor editAs="oneCell">
    <xdr:from>
      <xdr:col>2</xdr:col>
      <xdr:colOff>247155</xdr:colOff>
      <xdr:row>184</xdr:row>
      <xdr:rowOff>58559</xdr:rowOff>
    </xdr:from>
    <xdr:to>
      <xdr:col>2</xdr:col>
      <xdr:colOff>664920</xdr:colOff>
      <xdr:row>184</xdr:row>
      <xdr:rowOff>496064</xdr:rowOff>
    </xdr:to>
    <xdr:pic>
      <xdr:nvPicPr>
        <xdr:cNvPr id="32" name="Grafika 31" descr="Nabiał kontur">
          <a:extLst>
            <a:ext uri="{FF2B5EF4-FFF2-40B4-BE49-F238E27FC236}">
              <a16:creationId xmlns:a16="http://schemas.microsoft.com/office/drawing/2014/main" id="{00000000-0008-0000-0800-000020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 uri="{96DAC541-7B7A-43D3-8B79-37D633B846F1}">
              <asvg:svgBlip xmlns:asvg="http://schemas.microsoft.com/office/drawing/2016/SVG/main" r:embed="rId42"/>
            </a:ext>
          </a:extLst>
        </a:blip>
        <a:stretch>
          <a:fillRect/>
        </a:stretch>
      </xdr:blipFill>
      <xdr:spPr>
        <a:xfrm>
          <a:off x="3819030" y="39053909"/>
          <a:ext cx="431100" cy="437505"/>
        </a:xfrm>
        <a:prstGeom prst="rect">
          <a:avLst/>
        </a:prstGeom>
      </xdr:spPr>
    </xdr:pic>
    <xdr:clientData/>
  </xdr:twoCellAnchor>
  <xdr:twoCellAnchor editAs="oneCell">
    <xdr:from>
      <xdr:col>2</xdr:col>
      <xdr:colOff>161927</xdr:colOff>
      <xdr:row>186</xdr:row>
      <xdr:rowOff>47625</xdr:rowOff>
    </xdr:from>
    <xdr:to>
      <xdr:col>2</xdr:col>
      <xdr:colOff>589995</xdr:colOff>
      <xdr:row>186</xdr:row>
      <xdr:rowOff>477720</xdr:rowOff>
    </xdr:to>
    <xdr:pic>
      <xdr:nvPicPr>
        <xdr:cNvPr id="29" name="Grafika 28" descr="Zamykać kontur">
          <a:extLst>
            <a:ext uri="{FF2B5EF4-FFF2-40B4-BE49-F238E27FC236}">
              <a16:creationId xmlns:a16="http://schemas.microsoft.com/office/drawing/2014/main" id="{5DB3714C-AE66-44C7-A329-C104417D5CB4}"/>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 uri="{96DAC541-7B7A-43D3-8B79-37D633B846F1}">
              <asvg:svgBlip xmlns:asvg="http://schemas.microsoft.com/office/drawing/2016/SVG/main" r:embed="rId44"/>
            </a:ext>
          </a:extLst>
        </a:blip>
        <a:stretch>
          <a:fillRect/>
        </a:stretch>
      </xdr:blipFill>
      <xdr:spPr>
        <a:xfrm>
          <a:off x="3733802" y="40109775"/>
          <a:ext cx="435688" cy="430095"/>
        </a:xfrm>
        <a:prstGeom prst="rect">
          <a:avLst/>
        </a:prstGeom>
      </xdr:spPr>
    </xdr:pic>
    <xdr:clientData/>
  </xdr:twoCellAnchor>
  <xdr:twoCellAnchor editAs="oneCell">
    <xdr:from>
      <xdr:col>2</xdr:col>
      <xdr:colOff>147205</xdr:colOff>
      <xdr:row>174</xdr:row>
      <xdr:rowOff>69273</xdr:rowOff>
    </xdr:from>
    <xdr:to>
      <xdr:col>2</xdr:col>
      <xdr:colOff>555148</xdr:colOff>
      <xdr:row>174</xdr:row>
      <xdr:rowOff>478413</xdr:rowOff>
    </xdr:to>
    <xdr:pic>
      <xdr:nvPicPr>
        <xdr:cNvPr id="31" name="Grafika 30" descr="Stół i krzesła kontur">
          <a:extLst>
            <a:ext uri="{FF2B5EF4-FFF2-40B4-BE49-F238E27FC236}">
              <a16:creationId xmlns:a16="http://schemas.microsoft.com/office/drawing/2014/main" id="{CD686594-B4E2-4E93-8728-C0BB5E7BAA38}"/>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 uri="{96DAC541-7B7A-43D3-8B79-37D633B846F1}">
              <asvg:svgBlip xmlns:asvg="http://schemas.microsoft.com/office/drawing/2016/SVG/main" r:embed="rId34"/>
            </a:ext>
          </a:extLst>
        </a:blip>
        <a:stretch>
          <a:fillRect/>
        </a:stretch>
      </xdr:blipFill>
      <xdr:spPr>
        <a:xfrm>
          <a:off x="3714750" y="29337000"/>
          <a:ext cx="419373" cy="42057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213854</xdr:colOff>
      <xdr:row>2</xdr:row>
      <xdr:rowOff>99910</xdr:rowOff>
    </xdr:from>
    <xdr:to>
      <xdr:col>0</xdr:col>
      <xdr:colOff>492026</xdr:colOff>
      <xdr:row>11</xdr:row>
      <xdr:rowOff>11205</xdr:rowOff>
    </xdr:to>
    <xdr:pic>
      <xdr:nvPicPr>
        <xdr:cNvPr id="4" name="Picture 1" descr="http://www.iceis.pl/viessmann/viessmann-co2002x425px.jpg">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rot="16200000">
          <a:off x="-252649" y="992237"/>
          <a:ext cx="1211177" cy="2781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123264</xdr:colOff>
      <xdr:row>1</xdr:row>
      <xdr:rowOff>89646</xdr:rowOff>
    </xdr:from>
    <xdr:to>
      <xdr:col>4</xdr:col>
      <xdr:colOff>280145</xdr:colOff>
      <xdr:row>11</xdr:row>
      <xdr:rowOff>106388</xdr:rowOff>
    </xdr:to>
    <xdr:pic>
      <xdr:nvPicPr>
        <xdr:cNvPr id="10" name="Obraz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761999" y="280146"/>
          <a:ext cx="1367117" cy="1551948"/>
        </a:xfrm>
        <a:prstGeom prst="rect">
          <a:avLst/>
        </a:prstGeom>
      </xdr:spPr>
    </xdr:pic>
    <xdr:clientData/>
  </xdr:twoCellAnchor>
  <xdr:twoCellAnchor editAs="oneCell">
    <xdr:from>
      <xdr:col>3</xdr:col>
      <xdr:colOff>593912</xdr:colOff>
      <xdr:row>2</xdr:row>
      <xdr:rowOff>190500</xdr:rowOff>
    </xdr:from>
    <xdr:to>
      <xdr:col>5</xdr:col>
      <xdr:colOff>257736</xdr:colOff>
      <xdr:row>6</xdr:row>
      <xdr:rowOff>15223</xdr:rowOff>
    </xdr:to>
    <xdr:pic>
      <xdr:nvPicPr>
        <xdr:cNvPr id="2" name="Obraz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837765" y="616324"/>
          <a:ext cx="874059" cy="609134"/>
        </a:xfrm>
        <a:prstGeom prst="rect">
          <a:avLst/>
        </a:prstGeom>
        <a:effectLst>
          <a:outerShdw blurRad="63500" sx="102000" sy="102000" algn="ctr" rotWithShape="0">
            <a:prstClr val="black">
              <a:alpha val="40000"/>
            </a:prstClr>
          </a:outerShdw>
        </a:effectLst>
      </xdr:spPr>
    </xdr:pic>
    <xdr:clientData/>
  </xdr:twoCellAnchor>
  <xdr:twoCellAnchor editAs="oneCell">
    <xdr:from>
      <xdr:col>13</xdr:col>
      <xdr:colOff>112059</xdr:colOff>
      <xdr:row>1</xdr:row>
      <xdr:rowOff>44823</xdr:rowOff>
    </xdr:from>
    <xdr:to>
      <xdr:col>15</xdr:col>
      <xdr:colOff>571499</xdr:colOff>
      <xdr:row>13</xdr:row>
      <xdr:rowOff>135001</xdr:rowOff>
    </xdr:to>
    <xdr:pic>
      <xdr:nvPicPr>
        <xdr:cNvPr id="3" name="Obraz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9267265" y="235323"/>
          <a:ext cx="2050675" cy="200638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4</xdr:col>
      <xdr:colOff>400050</xdr:colOff>
      <xdr:row>1</xdr:row>
      <xdr:rowOff>0</xdr:rowOff>
    </xdr:from>
    <xdr:to>
      <xdr:col>6</xdr:col>
      <xdr:colOff>560294</xdr:colOff>
      <xdr:row>2</xdr:row>
      <xdr:rowOff>55107</xdr:rowOff>
    </xdr:to>
    <xdr:pic>
      <xdr:nvPicPr>
        <xdr:cNvPr id="2" name="Picture 1" descr="http://www.iceis.pl/viessmann/viessmann-co2002x425px.jpg">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3918697" y="179294"/>
          <a:ext cx="1594597" cy="3688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2</xdr:row>
      <xdr:rowOff>89647</xdr:rowOff>
    </xdr:from>
    <xdr:to>
      <xdr:col>23</xdr:col>
      <xdr:colOff>98364</xdr:colOff>
      <xdr:row>4</xdr:row>
      <xdr:rowOff>58494</xdr:rowOff>
    </xdr:to>
    <xdr:pic>
      <xdr:nvPicPr>
        <xdr:cNvPr id="2" name="Obraz 1" descr="Znalezione obrazy dla zapytania logo viessmann">
          <a:extLst>
            <a:ext uri="{FF2B5EF4-FFF2-40B4-BE49-F238E27FC236}">
              <a16:creationId xmlns:a16="http://schemas.microsoft.com/office/drawing/2014/main" id="{E281DA90-AB7C-4D26-97C9-8A8109CCB044}"/>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628650" y="331582"/>
          <a:ext cx="1439497" cy="3269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34</xdr:col>
      <xdr:colOff>435640</xdr:colOff>
      <xdr:row>2</xdr:row>
      <xdr:rowOff>8711</xdr:rowOff>
    </xdr:from>
    <xdr:to>
      <xdr:col>35</xdr:col>
      <xdr:colOff>149694</xdr:colOff>
      <xdr:row>3</xdr:row>
      <xdr:rowOff>169074</xdr:rowOff>
    </xdr:to>
    <xdr:pic>
      <xdr:nvPicPr>
        <xdr:cNvPr id="3" name="Grafika 2" descr="Kalendarz dzienny kontur">
          <a:extLst>
            <a:ext uri="{FF2B5EF4-FFF2-40B4-BE49-F238E27FC236}">
              <a16:creationId xmlns:a16="http://schemas.microsoft.com/office/drawing/2014/main" id="{CA017B00-5C5D-4083-B793-336FA50E9CFB}"/>
            </a:ext>
          </a:extLst>
        </xdr:cNvPr>
        <xdr:cNvPicPr>
          <a:picLocks/>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7847822" y="476302"/>
          <a:ext cx="320190" cy="334584"/>
        </a:xfrm>
        <a:prstGeom prst="rect">
          <a:avLst/>
        </a:prstGeom>
      </xdr:spPr>
    </xdr:pic>
    <xdr:clientData/>
  </xdr:twoCellAnchor>
  <xdr:twoCellAnchor editAs="oneCell">
    <xdr:from>
      <xdr:col>3</xdr:col>
      <xdr:colOff>24926</xdr:colOff>
      <xdr:row>176</xdr:row>
      <xdr:rowOff>37600</xdr:rowOff>
    </xdr:from>
    <xdr:to>
      <xdr:col>22</xdr:col>
      <xdr:colOff>439314</xdr:colOff>
      <xdr:row>179</xdr:row>
      <xdr:rowOff>15274</xdr:rowOff>
    </xdr:to>
    <xdr:pic>
      <xdr:nvPicPr>
        <xdr:cNvPr id="16" name="Obraz 15">
          <a:extLst>
            <a:ext uri="{FF2B5EF4-FFF2-40B4-BE49-F238E27FC236}">
              <a16:creationId xmlns:a16="http://schemas.microsoft.com/office/drawing/2014/main" id="{7B0A99F2-58AA-4D20-A7C1-B81CDEDD1153}"/>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352586" y="26646640"/>
          <a:ext cx="1126858" cy="503454"/>
        </a:xfrm>
        <a:prstGeom prst="rect">
          <a:avLst/>
        </a:prstGeom>
      </xdr:spPr>
    </xdr:pic>
    <xdr:clientData/>
  </xdr:twoCellAnchor>
  <xdr:twoCellAnchor editAs="oneCell">
    <xdr:from>
      <xdr:col>18</xdr:col>
      <xdr:colOff>26894</xdr:colOff>
      <xdr:row>166</xdr:row>
      <xdr:rowOff>2972</xdr:rowOff>
    </xdr:from>
    <xdr:to>
      <xdr:col>22</xdr:col>
      <xdr:colOff>417785</xdr:colOff>
      <xdr:row>169</xdr:row>
      <xdr:rowOff>57149</xdr:rowOff>
    </xdr:to>
    <xdr:pic>
      <xdr:nvPicPr>
        <xdr:cNvPr id="17" name="Obraz 16">
          <a:extLst>
            <a:ext uri="{FF2B5EF4-FFF2-40B4-BE49-F238E27FC236}">
              <a16:creationId xmlns:a16="http://schemas.microsoft.com/office/drawing/2014/main" id="{6004F071-4959-4507-8258-F46ABC8DE3A1}"/>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926054" y="24851792"/>
          <a:ext cx="543291" cy="572338"/>
        </a:xfrm>
        <a:prstGeom prst="rect">
          <a:avLst/>
        </a:prstGeom>
      </xdr:spPr>
    </xdr:pic>
    <xdr:clientData/>
  </xdr:twoCellAnchor>
  <xdr:twoCellAnchor editAs="oneCell">
    <xdr:from>
      <xdr:col>31</xdr:col>
      <xdr:colOff>58982</xdr:colOff>
      <xdr:row>171</xdr:row>
      <xdr:rowOff>30411</xdr:rowOff>
    </xdr:from>
    <xdr:to>
      <xdr:col>32</xdr:col>
      <xdr:colOff>514990</xdr:colOff>
      <xdr:row>173</xdr:row>
      <xdr:rowOff>56702</xdr:rowOff>
    </xdr:to>
    <xdr:pic>
      <xdr:nvPicPr>
        <xdr:cNvPr id="19" name="Obraz 18">
          <a:extLst>
            <a:ext uri="{FF2B5EF4-FFF2-40B4-BE49-F238E27FC236}">
              <a16:creationId xmlns:a16="http://schemas.microsoft.com/office/drawing/2014/main" id="{9A868079-8C3A-4373-A9FE-435B44A7DD8A}"/>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6069257" y="25738386"/>
          <a:ext cx="566498" cy="382526"/>
        </a:xfrm>
        <a:prstGeom prst="rect">
          <a:avLst/>
        </a:prstGeom>
      </xdr:spPr>
    </xdr:pic>
    <xdr:clientData/>
  </xdr:twoCellAnchor>
  <xdr:oneCellAnchor>
    <xdr:from>
      <xdr:col>17</xdr:col>
      <xdr:colOff>0</xdr:colOff>
      <xdr:row>171</xdr:row>
      <xdr:rowOff>37706</xdr:rowOff>
    </xdr:from>
    <xdr:ext cx="573179" cy="456352"/>
    <xdr:pic>
      <xdr:nvPicPr>
        <xdr:cNvPr id="37" name="Obraz 36">
          <a:extLst>
            <a:ext uri="{FF2B5EF4-FFF2-40B4-BE49-F238E27FC236}">
              <a16:creationId xmlns:a16="http://schemas.microsoft.com/office/drawing/2014/main" id="{D160A55B-B696-4DD1-A9CC-CD35B361266A}"/>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857250" y="25745681"/>
          <a:ext cx="573179" cy="456352"/>
        </a:xfrm>
        <a:prstGeom prst="rect">
          <a:avLst/>
        </a:prstGeom>
      </xdr:spPr>
    </xdr:pic>
    <xdr:clientData/>
  </xdr:oneCellAnchor>
  <xdr:twoCellAnchor editAs="oneCell">
    <xdr:from>
      <xdr:col>42</xdr:col>
      <xdr:colOff>27170</xdr:colOff>
      <xdr:row>123</xdr:row>
      <xdr:rowOff>9057</xdr:rowOff>
    </xdr:from>
    <xdr:to>
      <xdr:col>57</xdr:col>
      <xdr:colOff>36351</xdr:colOff>
      <xdr:row>125</xdr:row>
      <xdr:rowOff>170999</xdr:rowOff>
    </xdr:to>
    <xdr:pic>
      <xdr:nvPicPr>
        <xdr:cNvPr id="36" name="Grafika 35" descr="Wietrznie kontur">
          <a:extLst>
            <a:ext uri="{FF2B5EF4-FFF2-40B4-BE49-F238E27FC236}">
              <a16:creationId xmlns:a16="http://schemas.microsoft.com/office/drawing/2014/main" id="{46E899A8-4644-498F-8116-2EBA8E7E8549}"/>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 uri="{96DAC541-7B7A-43D3-8B79-37D633B846F1}">
              <asvg:svgBlip xmlns:asvg="http://schemas.microsoft.com/office/drawing/2016/SVG/main" r:embed="rId9"/>
            </a:ext>
          </a:extLst>
        </a:blip>
        <a:stretch>
          <a:fillRect/>
        </a:stretch>
      </xdr:blipFill>
      <xdr:spPr>
        <a:xfrm>
          <a:off x="10984730" y="17649357"/>
          <a:ext cx="580681" cy="581042"/>
        </a:xfrm>
        <a:prstGeom prst="rect">
          <a:avLst/>
        </a:prstGeom>
      </xdr:spPr>
    </xdr:pic>
    <xdr:clientData/>
  </xdr:twoCellAnchor>
  <xdr:twoCellAnchor editAs="oneCell">
    <xdr:from>
      <xdr:col>5</xdr:col>
      <xdr:colOff>17211</xdr:colOff>
      <xdr:row>122</xdr:row>
      <xdr:rowOff>175775</xdr:rowOff>
    </xdr:from>
    <xdr:to>
      <xdr:col>20</xdr:col>
      <xdr:colOff>15991</xdr:colOff>
      <xdr:row>125</xdr:row>
      <xdr:rowOff>171826</xdr:rowOff>
    </xdr:to>
    <xdr:pic>
      <xdr:nvPicPr>
        <xdr:cNvPr id="43" name="Grafika 42" descr="Wietrznie kontur">
          <a:extLst>
            <a:ext uri="{FF2B5EF4-FFF2-40B4-BE49-F238E27FC236}">
              <a16:creationId xmlns:a16="http://schemas.microsoft.com/office/drawing/2014/main" id="{6F7F34D4-B2AB-482D-8404-611CAC428C37}"/>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 uri="{96DAC541-7B7A-43D3-8B79-37D633B846F1}">
              <asvg:svgBlip xmlns:asvg="http://schemas.microsoft.com/office/drawing/2016/SVG/main" r:embed="rId9"/>
            </a:ext>
          </a:extLst>
        </a:blip>
        <a:stretch>
          <a:fillRect/>
        </a:stretch>
      </xdr:blipFill>
      <xdr:spPr>
        <a:xfrm>
          <a:off x="421071" y="17633195"/>
          <a:ext cx="577900" cy="582791"/>
        </a:xfrm>
        <a:prstGeom prst="rect">
          <a:avLst/>
        </a:prstGeom>
      </xdr:spPr>
    </xdr:pic>
    <xdr:clientData/>
  </xdr:twoCellAnchor>
  <xdr:twoCellAnchor editAs="oneCell">
    <xdr:from>
      <xdr:col>29</xdr:col>
      <xdr:colOff>230244</xdr:colOff>
      <xdr:row>119</xdr:row>
      <xdr:rowOff>74628</xdr:rowOff>
    </xdr:from>
    <xdr:to>
      <xdr:col>32</xdr:col>
      <xdr:colOff>362590</xdr:colOff>
      <xdr:row>125</xdr:row>
      <xdr:rowOff>22634</xdr:rowOff>
    </xdr:to>
    <xdr:pic>
      <xdr:nvPicPr>
        <xdr:cNvPr id="44" name="Obraz 43">
          <a:extLst>
            <a:ext uri="{FF2B5EF4-FFF2-40B4-BE49-F238E27FC236}">
              <a16:creationId xmlns:a16="http://schemas.microsoft.com/office/drawing/2014/main" id="{9D302BCE-AEB4-445C-8342-9A41478C6C54}"/>
            </a:ext>
          </a:extLst>
        </xdr:cNvPr>
        <xdr:cNvPicPr>
          <a:picLocks noChangeAspect="1"/>
        </xdr:cNvPicPr>
      </xdr:nvPicPr>
      <xdr:blipFill>
        <a:blip xmlns:r="http://schemas.openxmlformats.org/officeDocument/2006/relationships" r:embed="rId10" cstate="email">
          <a:extLst>
            <a:ext uri="{BEBA8EAE-BF5A-486C-A8C5-ECC9F3942E4B}">
              <a14:imgProps xmlns:a14="http://schemas.microsoft.com/office/drawing/2010/main">
                <a14:imgLayer r:embed="rId11">
                  <a14:imgEffect>
                    <a14:brightnessContrast bright="-40000" contrast="20000"/>
                  </a14:imgEffect>
                </a14:imgLayer>
              </a14:imgProps>
            </a:ext>
            <a:ext uri="{28A0092B-C50C-407E-A947-70E740481C1C}">
              <a14:useLocalDpi xmlns:a14="http://schemas.microsoft.com/office/drawing/2010/main"/>
            </a:ext>
          </a:extLst>
        </a:blip>
        <a:stretch>
          <a:fillRect/>
        </a:stretch>
      </xdr:blipFill>
      <xdr:spPr>
        <a:xfrm>
          <a:off x="5174585" y="16847287"/>
          <a:ext cx="1228240" cy="1156469"/>
        </a:xfrm>
        <a:prstGeom prst="rect">
          <a:avLst/>
        </a:prstGeom>
      </xdr:spPr>
    </xdr:pic>
    <xdr:clientData/>
  </xdr:twoCellAnchor>
  <xdr:twoCellAnchor editAs="oneCell">
    <xdr:from>
      <xdr:col>35</xdr:col>
      <xdr:colOff>30523</xdr:colOff>
      <xdr:row>14</xdr:row>
      <xdr:rowOff>163873</xdr:rowOff>
    </xdr:from>
    <xdr:to>
      <xdr:col>35</xdr:col>
      <xdr:colOff>398143</xdr:colOff>
      <xdr:row>16</xdr:row>
      <xdr:rowOff>169542</xdr:rowOff>
    </xdr:to>
    <xdr:pic>
      <xdr:nvPicPr>
        <xdr:cNvPr id="7" name="Grafika 6" descr="Rozwidlenie drogi kontur">
          <a:extLst>
            <a:ext uri="{FF2B5EF4-FFF2-40B4-BE49-F238E27FC236}">
              <a16:creationId xmlns:a16="http://schemas.microsoft.com/office/drawing/2014/main" id="{FBF82AA1-F40F-492D-9214-81BE88C9ABB3}"/>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10800000">
          <a:off x="8155348" y="2583223"/>
          <a:ext cx="360000" cy="360000"/>
        </a:xfrm>
        <a:prstGeom prst="rect">
          <a:avLst/>
        </a:prstGeom>
      </xdr:spPr>
    </xdr:pic>
    <xdr:clientData/>
  </xdr:twoCellAnchor>
  <xdr:twoCellAnchor editAs="oneCell">
    <xdr:from>
      <xdr:col>29</xdr:col>
      <xdr:colOff>1950</xdr:colOff>
      <xdr:row>15</xdr:row>
      <xdr:rowOff>16651</xdr:rowOff>
    </xdr:from>
    <xdr:to>
      <xdr:col>29</xdr:col>
      <xdr:colOff>358140</xdr:colOff>
      <xdr:row>17</xdr:row>
      <xdr:rowOff>18511</xdr:rowOff>
    </xdr:to>
    <xdr:pic>
      <xdr:nvPicPr>
        <xdr:cNvPr id="9" name="Grafika 8" descr="Połączenie kontur">
          <a:extLst>
            <a:ext uri="{FF2B5EF4-FFF2-40B4-BE49-F238E27FC236}">
              <a16:creationId xmlns:a16="http://schemas.microsoft.com/office/drawing/2014/main" id="{2A782A13-7170-45AA-B658-EC2711BA9C2D}"/>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 uri="{96DAC541-7B7A-43D3-8B79-37D633B846F1}">
              <asvg:svgBlip xmlns:asvg="http://schemas.microsoft.com/office/drawing/2016/SVG/main" r:embed="rId15"/>
            </a:ext>
          </a:extLst>
        </a:blip>
        <a:stretch>
          <a:fillRect/>
        </a:stretch>
      </xdr:blipFill>
      <xdr:spPr>
        <a:xfrm rot="5400000">
          <a:off x="5040675" y="2616976"/>
          <a:ext cx="360000" cy="360000"/>
        </a:xfrm>
        <a:prstGeom prst="rect">
          <a:avLst/>
        </a:prstGeom>
      </xdr:spPr>
    </xdr:pic>
    <xdr:clientData/>
  </xdr:twoCellAnchor>
  <xdr:oneCellAnchor>
    <xdr:from>
      <xdr:col>28</xdr:col>
      <xdr:colOff>292370</xdr:colOff>
      <xdr:row>123</xdr:row>
      <xdr:rowOff>144998</xdr:rowOff>
    </xdr:from>
    <xdr:ext cx="314325" cy="314637"/>
    <xdr:pic>
      <xdr:nvPicPr>
        <xdr:cNvPr id="47" name="Grafika 46" descr="Wodnik kontur">
          <a:extLst>
            <a:ext uri="{FF2B5EF4-FFF2-40B4-BE49-F238E27FC236}">
              <a16:creationId xmlns:a16="http://schemas.microsoft.com/office/drawing/2014/main" id="{67DB0FBE-3CCF-4B4C-9FB7-2EF60F2CB888}"/>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 uri="{96DAC541-7B7A-43D3-8B79-37D633B846F1}">
              <asvg:svgBlip xmlns:asvg="http://schemas.microsoft.com/office/drawing/2016/SVG/main" r:embed="rId17"/>
            </a:ext>
          </a:extLst>
        </a:blip>
        <a:stretch>
          <a:fillRect/>
        </a:stretch>
      </xdr:blipFill>
      <xdr:spPr>
        <a:xfrm>
          <a:off x="4711970" y="17785298"/>
          <a:ext cx="314325" cy="314637"/>
        </a:xfrm>
        <a:prstGeom prst="rect">
          <a:avLst/>
        </a:prstGeom>
      </xdr:spPr>
    </xdr:pic>
    <xdr:clientData/>
  </xdr:oneCellAnchor>
  <xdr:twoCellAnchor editAs="oneCell">
    <xdr:from>
      <xdr:col>82</xdr:col>
      <xdr:colOff>41372</xdr:colOff>
      <xdr:row>404</xdr:row>
      <xdr:rowOff>17021</xdr:rowOff>
    </xdr:from>
    <xdr:to>
      <xdr:col>84</xdr:col>
      <xdr:colOff>365111</xdr:colOff>
      <xdr:row>410</xdr:row>
      <xdr:rowOff>92087</xdr:rowOff>
    </xdr:to>
    <xdr:pic>
      <xdr:nvPicPr>
        <xdr:cNvPr id="53" name="Obraz 52">
          <a:extLst>
            <a:ext uri="{FF2B5EF4-FFF2-40B4-BE49-F238E27FC236}">
              <a16:creationId xmlns:a16="http://schemas.microsoft.com/office/drawing/2014/main" id="{42B82D4D-57B2-4A42-B36D-F61E01E970D5}"/>
            </a:ext>
          </a:extLst>
        </xdr:cNvPr>
        <xdr:cNvPicPr>
          <a:picLocks noChangeAspect="1"/>
        </xdr:cNvPicPr>
      </xdr:nvPicPr>
      <xdr:blipFill>
        <a:blip xmlns:r="http://schemas.openxmlformats.org/officeDocument/2006/relationships" r:embed="rId18"/>
        <a:stretch>
          <a:fillRect/>
        </a:stretch>
      </xdr:blipFill>
      <xdr:spPr>
        <a:xfrm>
          <a:off x="24830185" y="65453771"/>
          <a:ext cx="1565798" cy="1221876"/>
        </a:xfrm>
        <a:prstGeom prst="rect">
          <a:avLst/>
        </a:prstGeom>
      </xdr:spPr>
    </xdr:pic>
    <xdr:clientData/>
  </xdr:twoCellAnchor>
  <xdr:twoCellAnchor editAs="oneCell">
    <xdr:from>
      <xdr:col>84</xdr:col>
      <xdr:colOff>406883</xdr:colOff>
      <xdr:row>413</xdr:row>
      <xdr:rowOff>6584</xdr:rowOff>
    </xdr:from>
    <xdr:to>
      <xdr:col>87</xdr:col>
      <xdr:colOff>322016</xdr:colOff>
      <xdr:row>419</xdr:row>
      <xdr:rowOff>96782</xdr:rowOff>
    </xdr:to>
    <xdr:pic>
      <xdr:nvPicPr>
        <xdr:cNvPr id="54" name="Obraz 53">
          <a:extLst>
            <a:ext uri="{FF2B5EF4-FFF2-40B4-BE49-F238E27FC236}">
              <a16:creationId xmlns:a16="http://schemas.microsoft.com/office/drawing/2014/main" id="{2D3B7E48-ECC8-43EE-BBFD-7A91D0EEE597}"/>
            </a:ext>
          </a:extLst>
        </xdr:cNvPr>
        <xdr:cNvPicPr>
          <a:picLocks noChangeAspect="1"/>
        </xdr:cNvPicPr>
      </xdr:nvPicPr>
      <xdr:blipFill>
        <a:blip xmlns:r="http://schemas.openxmlformats.org/officeDocument/2006/relationships" r:embed="rId19"/>
        <a:stretch>
          <a:fillRect/>
        </a:stretch>
      </xdr:blipFill>
      <xdr:spPr>
        <a:xfrm>
          <a:off x="26433946" y="65443334"/>
          <a:ext cx="1785843" cy="1223672"/>
        </a:xfrm>
        <a:prstGeom prst="rect">
          <a:avLst/>
        </a:prstGeom>
      </xdr:spPr>
    </xdr:pic>
    <xdr:clientData/>
  </xdr:twoCellAnchor>
  <xdr:twoCellAnchor editAs="oneCell">
    <xdr:from>
      <xdr:col>91</xdr:col>
      <xdr:colOff>356524</xdr:colOff>
      <xdr:row>425</xdr:row>
      <xdr:rowOff>133895</xdr:rowOff>
    </xdr:from>
    <xdr:to>
      <xdr:col>93</xdr:col>
      <xdr:colOff>131030</xdr:colOff>
      <xdr:row>429</xdr:row>
      <xdr:rowOff>136540</xdr:rowOff>
    </xdr:to>
    <xdr:pic>
      <xdr:nvPicPr>
        <xdr:cNvPr id="55" name="Obraz 54">
          <a:extLst>
            <a:ext uri="{FF2B5EF4-FFF2-40B4-BE49-F238E27FC236}">
              <a16:creationId xmlns:a16="http://schemas.microsoft.com/office/drawing/2014/main" id="{DCC07347-2464-4465-8A1F-05546DFB941E}"/>
            </a:ext>
          </a:extLst>
        </xdr:cNvPr>
        <xdr:cNvPicPr>
          <a:picLocks noChangeAspect="1"/>
        </xdr:cNvPicPr>
      </xdr:nvPicPr>
      <xdr:blipFill>
        <a:blip xmlns:r="http://schemas.openxmlformats.org/officeDocument/2006/relationships" r:embed="rId20"/>
        <a:stretch>
          <a:fillRect/>
        </a:stretch>
      </xdr:blipFill>
      <xdr:spPr>
        <a:xfrm>
          <a:off x="30717462" y="69761645"/>
          <a:ext cx="1001326" cy="760835"/>
        </a:xfrm>
        <a:prstGeom prst="rect">
          <a:avLst/>
        </a:prstGeom>
      </xdr:spPr>
    </xdr:pic>
    <xdr:clientData/>
  </xdr:twoCellAnchor>
  <xdr:twoCellAnchor editAs="oneCell">
    <xdr:from>
      <xdr:col>88</xdr:col>
      <xdr:colOff>143994</xdr:colOff>
      <xdr:row>398</xdr:row>
      <xdr:rowOff>20417</xdr:rowOff>
    </xdr:from>
    <xdr:to>
      <xdr:col>90</xdr:col>
      <xdr:colOff>322307</xdr:colOff>
      <xdr:row>407</xdr:row>
      <xdr:rowOff>58897</xdr:rowOff>
    </xdr:to>
    <xdr:pic>
      <xdr:nvPicPr>
        <xdr:cNvPr id="56" name="Obraz 55">
          <a:extLst>
            <a:ext uri="{FF2B5EF4-FFF2-40B4-BE49-F238E27FC236}">
              <a16:creationId xmlns:a16="http://schemas.microsoft.com/office/drawing/2014/main" id="{14EA4041-28F4-4299-B528-714F2F7C2DA0}"/>
            </a:ext>
          </a:extLst>
        </xdr:cNvPr>
        <xdr:cNvPicPr>
          <a:picLocks noChangeAspect="1"/>
        </xdr:cNvPicPr>
      </xdr:nvPicPr>
      <xdr:blipFill>
        <a:blip xmlns:r="http://schemas.openxmlformats.org/officeDocument/2006/relationships" r:embed="rId21"/>
        <a:stretch>
          <a:fillRect/>
        </a:stretch>
      </xdr:blipFill>
      <xdr:spPr>
        <a:xfrm>
          <a:off x="28647557" y="65457167"/>
          <a:ext cx="1426088" cy="1743454"/>
        </a:xfrm>
        <a:prstGeom prst="rect">
          <a:avLst/>
        </a:prstGeom>
      </xdr:spPr>
    </xdr:pic>
    <xdr:clientData/>
  </xdr:twoCellAnchor>
  <xdr:twoCellAnchor editAs="oneCell">
    <xdr:from>
      <xdr:col>26</xdr:col>
      <xdr:colOff>308530</xdr:colOff>
      <xdr:row>140</xdr:row>
      <xdr:rowOff>21263</xdr:rowOff>
    </xdr:from>
    <xdr:to>
      <xdr:col>26</xdr:col>
      <xdr:colOff>477922</xdr:colOff>
      <xdr:row>140</xdr:row>
      <xdr:rowOff>170618</xdr:rowOff>
    </xdr:to>
    <xdr:pic>
      <xdr:nvPicPr>
        <xdr:cNvPr id="70" name="Obraz 69">
          <a:extLst>
            <a:ext uri="{FF2B5EF4-FFF2-40B4-BE49-F238E27FC236}">
              <a16:creationId xmlns:a16="http://schemas.microsoft.com/office/drawing/2014/main" id="{09E68E49-8390-4FE4-8009-87B3C437BB25}"/>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3439356" y="20628393"/>
          <a:ext cx="154152" cy="161381"/>
        </a:xfrm>
        <a:prstGeom prst="rect">
          <a:avLst/>
        </a:prstGeom>
      </xdr:spPr>
    </xdr:pic>
    <xdr:clientData/>
  </xdr:twoCellAnchor>
  <xdr:twoCellAnchor editAs="oneCell">
    <xdr:from>
      <xdr:col>26</xdr:col>
      <xdr:colOff>305898</xdr:colOff>
      <xdr:row>141</xdr:row>
      <xdr:rowOff>19562</xdr:rowOff>
    </xdr:from>
    <xdr:to>
      <xdr:col>26</xdr:col>
      <xdr:colOff>473823</xdr:colOff>
      <xdr:row>141</xdr:row>
      <xdr:rowOff>170342</xdr:rowOff>
    </xdr:to>
    <xdr:pic>
      <xdr:nvPicPr>
        <xdr:cNvPr id="71" name="Obraz 70">
          <a:extLst>
            <a:ext uri="{FF2B5EF4-FFF2-40B4-BE49-F238E27FC236}">
              <a16:creationId xmlns:a16="http://schemas.microsoft.com/office/drawing/2014/main" id="{059B01CA-002D-4BA5-82D9-6B755F2FFD87}"/>
            </a:ext>
          </a:extLst>
        </xdr:cNvPr>
        <xdr:cNvPicPr>
          <a:picLocks/>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3364784" y="20560905"/>
          <a:ext cx="158400" cy="150780"/>
        </a:xfrm>
        <a:prstGeom prst="rect">
          <a:avLst/>
        </a:prstGeom>
      </xdr:spPr>
    </xdr:pic>
    <xdr:clientData/>
  </xdr:twoCellAnchor>
  <xdr:twoCellAnchor editAs="oneCell">
    <xdr:from>
      <xdr:col>26</xdr:col>
      <xdr:colOff>244150</xdr:colOff>
      <xdr:row>142</xdr:row>
      <xdr:rowOff>22988</xdr:rowOff>
    </xdr:from>
    <xdr:to>
      <xdr:col>26</xdr:col>
      <xdr:colOff>515446</xdr:colOff>
      <xdr:row>143</xdr:row>
      <xdr:rowOff>262</xdr:rowOff>
    </xdr:to>
    <xdr:pic>
      <xdr:nvPicPr>
        <xdr:cNvPr id="72" name="Obraz 71">
          <a:extLst>
            <a:ext uri="{FF2B5EF4-FFF2-40B4-BE49-F238E27FC236}">
              <a16:creationId xmlns:a16="http://schemas.microsoft.com/office/drawing/2014/main" id="{F1C3D709-7197-451E-A5C3-6DF0FE1686F2}"/>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3374976" y="20994553"/>
          <a:ext cx="259866" cy="158793"/>
        </a:xfrm>
        <a:prstGeom prst="rect">
          <a:avLst/>
        </a:prstGeom>
      </xdr:spPr>
    </xdr:pic>
    <xdr:clientData/>
  </xdr:twoCellAnchor>
  <xdr:twoCellAnchor editAs="oneCell">
    <xdr:from>
      <xdr:col>8</xdr:col>
      <xdr:colOff>11206</xdr:colOff>
      <xdr:row>147</xdr:row>
      <xdr:rowOff>174917</xdr:rowOff>
    </xdr:from>
    <xdr:to>
      <xdr:col>21</xdr:col>
      <xdr:colOff>22225</xdr:colOff>
      <xdr:row>151</xdr:row>
      <xdr:rowOff>58298</xdr:rowOff>
    </xdr:to>
    <xdr:pic>
      <xdr:nvPicPr>
        <xdr:cNvPr id="78" name="Grafika 77" descr="Gest dwukrotnego naciśnięcia kontur">
          <a:extLst>
            <a:ext uri="{FF2B5EF4-FFF2-40B4-BE49-F238E27FC236}">
              <a16:creationId xmlns:a16="http://schemas.microsoft.com/office/drawing/2014/main" id="{356665C5-6B90-459D-BBC3-9A9227C7DB86}"/>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 uri="{96DAC541-7B7A-43D3-8B79-37D633B846F1}">
              <asvg:svgBlip xmlns:asvg="http://schemas.microsoft.com/office/drawing/2016/SVG/main" r:embed="rId26"/>
            </a:ext>
          </a:extLst>
        </a:blip>
        <a:stretch>
          <a:fillRect/>
        </a:stretch>
      </xdr:blipFill>
      <xdr:spPr>
        <a:xfrm>
          <a:off x="504265" y="21477299"/>
          <a:ext cx="448048" cy="459363"/>
        </a:xfrm>
        <a:prstGeom prst="rect">
          <a:avLst/>
        </a:prstGeom>
      </xdr:spPr>
    </xdr:pic>
    <xdr:clientData/>
  </xdr:twoCellAnchor>
  <xdr:twoCellAnchor editAs="oneCell">
    <xdr:from>
      <xdr:col>28</xdr:col>
      <xdr:colOff>489090</xdr:colOff>
      <xdr:row>123</xdr:row>
      <xdr:rowOff>161430</xdr:rowOff>
    </xdr:from>
    <xdr:to>
      <xdr:col>29</xdr:col>
      <xdr:colOff>172880</xdr:colOff>
      <xdr:row>125</xdr:row>
      <xdr:rowOff>20955</xdr:rowOff>
    </xdr:to>
    <xdr:pic>
      <xdr:nvPicPr>
        <xdr:cNvPr id="80" name="Grafika 79" descr="Błyskawica z wypełnieniem pełnym">
          <a:extLst>
            <a:ext uri="{FF2B5EF4-FFF2-40B4-BE49-F238E27FC236}">
              <a16:creationId xmlns:a16="http://schemas.microsoft.com/office/drawing/2014/main" id="{D37A839F-4D1C-4012-8416-AB126085FF78}"/>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 uri="{96DAC541-7B7A-43D3-8B79-37D633B846F1}">
              <asvg:svgBlip xmlns:asvg="http://schemas.microsoft.com/office/drawing/2016/SVG/main" r:embed="rId28"/>
            </a:ext>
          </a:extLst>
        </a:blip>
        <a:stretch>
          <a:fillRect/>
        </a:stretch>
      </xdr:blipFill>
      <xdr:spPr>
        <a:xfrm>
          <a:off x="4908690" y="17801730"/>
          <a:ext cx="285770" cy="288150"/>
        </a:xfrm>
        <a:prstGeom prst="rect">
          <a:avLst/>
        </a:prstGeom>
      </xdr:spPr>
    </xdr:pic>
    <xdr:clientData/>
  </xdr:twoCellAnchor>
  <xdr:twoCellAnchor editAs="oneCell">
    <xdr:from>
      <xdr:col>6</xdr:col>
      <xdr:colOff>19895</xdr:colOff>
      <xdr:row>161</xdr:row>
      <xdr:rowOff>561</xdr:rowOff>
    </xdr:from>
    <xdr:to>
      <xdr:col>20</xdr:col>
      <xdr:colOff>21725</xdr:colOff>
      <xdr:row>164</xdr:row>
      <xdr:rowOff>136859</xdr:rowOff>
    </xdr:to>
    <xdr:pic>
      <xdr:nvPicPr>
        <xdr:cNvPr id="86" name="Grafika 85" descr="Trasa (ścieżka między dwiema pinezkami) kontur">
          <a:extLst>
            <a:ext uri="{FF2B5EF4-FFF2-40B4-BE49-F238E27FC236}">
              <a16:creationId xmlns:a16="http://schemas.microsoft.com/office/drawing/2014/main" id="{9FE2A6EF-9564-4790-85C6-95379E780BFB}"/>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 uri="{96DAC541-7B7A-43D3-8B79-37D633B846F1}">
              <asvg:svgBlip xmlns:asvg="http://schemas.microsoft.com/office/drawing/2016/SVG/main" r:embed="rId30"/>
            </a:ext>
          </a:extLst>
        </a:blip>
        <a:stretch>
          <a:fillRect/>
        </a:stretch>
      </xdr:blipFill>
      <xdr:spPr>
        <a:xfrm>
          <a:off x="461855" y="24034041"/>
          <a:ext cx="540945" cy="553493"/>
        </a:xfrm>
        <a:prstGeom prst="rect">
          <a:avLst/>
        </a:prstGeom>
      </xdr:spPr>
    </xdr:pic>
    <xdr:clientData/>
  </xdr:twoCellAnchor>
  <xdr:twoCellAnchor editAs="oneCell">
    <xdr:from>
      <xdr:col>38</xdr:col>
      <xdr:colOff>556184</xdr:colOff>
      <xdr:row>152</xdr:row>
      <xdr:rowOff>45942</xdr:rowOff>
    </xdr:from>
    <xdr:to>
      <xdr:col>40</xdr:col>
      <xdr:colOff>18276</xdr:colOff>
      <xdr:row>154</xdr:row>
      <xdr:rowOff>130354</xdr:rowOff>
    </xdr:to>
    <xdr:pic>
      <xdr:nvPicPr>
        <xdr:cNvPr id="89" name="Obraz 88" descr="Aplikacja ViCare | Viessmann">
          <a:extLst>
            <a:ext uri="{FF2B5EF4-FFF2-40B4-BE49-F238E27FC236}">
              <a16:creationId xmlns:a16="http://schemas.microsoft.com/office/drawing/2014/main" id="{68EE6639-5226-460F-8C3C-3A711ACDBA37}"/>
            </a:ext>
          </a:extLst>
        </xdr:cNvPr>
        <xdr:cNvPicPr>
          <a:picLocks noChangeArrowheads="1"/>
        </xdr:cNvPicPr>
      </xdr:nvPicPr>
      <xdr:blipFill rotWithShape="1">
        <a:blip xmlns:r="http://schemas.openxmlformats.org/officeDocument/2006/relationships" r:embed="rId31" cstate="email">
          <a:extLst>
            <a:ext uri="{28A0092B-C50C-407E-A947-70E740481C1C}">
              <a14:useLocalDpi xmlns:a14="http://schemas.microsoft.com/office/drawing/2010/main"/>
            </a:ext>
          </a:extLst>
        </a:blip>
        <a:srcRect/>
        <a:stretch/>
      </xdr:blipFill>
      <xdr:spPr bwMode="auto">
        <a:xfrm>
          <a:off x="10514139" y="22334442"/>
          <a:ext cx="237600" cy="4519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37</xdr:col>
      <xdr:colOff>267602</xdr:colOff>
      <xdr:row>165</xdr:row>
      <xdr:rowOff>70087</xdr:rowOff>
    </xdr:from>
    <xdr:ext cx="170704" cy="159929"/>
    <xdr:pic macro="[0]!usztywniajacy_add_">
      <xdr:nvPicPr>
        <xdr:cNvPr id="91" name="Grafika 90" descr="Odtwórz z wypełnieniem pełnym">
          <a:extLst>
            <a:ext uri="{FF2B5EF4-FFF2-40B4-BE49-F238E27FC236}">
              <a16:creationId xmlns:a16="http://schemas.microsoft.com/office/drawing/2014/main" id="{6FA3B2D2-DC90-4054-A139-8B9753B92BA4}"/>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 uri="{96DAC541-7B7A-43D3-8B79-37D633B846F1}">
              <asvg:svgBlip xmlns:asvg="http://schemas.microsoft.com/office/drawing/2016/SVG/main" r:embed="rId33"/>
            </a:ext>
          </a:extLst>
        </a:blip>
        <a:stretch>
          <a:fillRect/>
        </a:stretch>
      </xdr:blipFill>
      <xdr:spPr>
        <a:xfrm rot="16200000">
          <a:off x="9655114" y="24429650"/>
          <a:ext cx="159929" cy="170704"/>
        </a:xfrm>
        <a:prstGeom prst="rect">
          <a:avLst/>
        </a:prstGeom>
      </xdr:spPr>
    </xdr:pic>
    <xdr:clientData/>
  </xdr:oneCellAnchor>
  <xdr:oneCellAnchor>
    <xdr:from>
      <xdr:col>37</xdr:col>
      <xdr:colOff>264554</xdr:colOff>
      <xdr:row>167</xdr:row>
      <xdr:rowOff>136831</xdr:rowOff>
    </xdr:from>
    <xdr:ext cx="161179" cy="148202"/>
    <xdr:pic macro="[0]!usztywniajacy_err">
      <xdr:nvPicPr>
        <xdr:cNvPr id="92" name="Grafika 91" descr="Odtwórz z wypełnieniem pełnym">
          <a:extLst>
            <a:ext uri="{FF2B5EF4-FFF2-40B4-BE49-F238E27FC236}">
              <a16:creationId xmlns:a16="http://schemas.microsoft.com/office/drawing/2014/main" id="{660D87B3-D0E6-48AB-A907-CC9BFCD582F4}"/>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 uri="{96DAC541-7B7A-43D3-8B79-37D633B846F1}">
              <asvg:svgBlip xmlns:asvg="http://schemas.microsoft.com/office/drawing/2016/SVG/main" r:embed="rId35"/>
            </a:ext>
          </a:extLst>
        </a:blip>
        <a:stretch>
          <a:fillRect/>
        </a:stretch>
      </xdr:blipFill>
      <xdr:spPr>
        <a:xfrm rot="5400000">
          <a:off x="9653168" y="24838192"/>
          <a:ext cx="148202" cy="161179"/>
        </a:xfrm>
        <a:prstGeom prst="rect">
          <a:avLst/>
        </a:prstGeom>
      </xdr:spPr>
    </xdr:pic>
    <xdr:clientData/>
  </xdr:oneCellAnchor>
  <xdr:twoCellAnchor editAs="oneCell">
    <xdr:from>
      <xdr:col>30</xdr:col>
      <xdr:colOff>291634</xdr:colOff>
      <xdr:row>176</xdr:row>
      <xdr:rowOff>33257</xdr:rowOff>
    </xdr:from>
    <xdr:to>
      <xdr:col>32</xdr:col>
      <xdr:colOff>554392</xdr:colOff>
      <xdr:row>178</xdr:row>
      <xdr:rowOff>98981</xdr:rowOff>
    </xdr:to>
    <xdr:pic>
      <xdr:nvPicPr>
        <xdr:cNvPr id="96" name="Obraz 95">
          <a:extLst>
            <a:ext uri="{FF2B5EF4-FFF2-40B4-BE49-F238E27FC236}">
              <a16:creationId xmlns:a16="http://schemas.microsoft.com/office/drawing/2014/main" id="{008F4C38-0628-409D-9B66-A0F9CC1BFAF1}"/>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rot="21330614" flipH="1">
          <a:off x="5930434" y="26642297"/>
          <a:ext cx="758058" cy="408624"/>
        </a:xfrm>
        <a:prstGeom prst="rect">
          <a:avLst/>
        </a:prstGeom>
      </xdr:spPr>
    </xdr:pic>
    <xdr:clientData/>
  </xdr:twoCellAnchor>
  <xdr:twoCellAnchor editAs="oneCell">
    <xdr:from>
      <xdr:col>11</xdr:col>
      <xdr:colOff>37114</xdr:colOff>
      <xdr:row>189</xdr:row>
      <xdr:rowOff>166159</xdr:rowOff>
    </xdr:from>
    <xdr:to>
      <xdr:col>22</xdr:col>
      <xdr:colOff>476404</xdr:colOff>
      <xdr:row>193</xdr:row>
      <xdr:rowOff>2601</xdr:rowOff>
    </xdr:to>
    <xdr:pic>
      <xdr:nvPicPr>
        <xdr:cNvPr id="127" name="Obraz 126">
          <a:extLst>
            <a:ext uri="{FF2B5EF4-FFF2-40B4-BE49-F238E27FC236}">
              <a16:creationId xmlns:a16="http://schemas.microsoft.com/office/drawing/2014/main" id="{605E1C2F-9888-495F-9638-432FC9557752}"/>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flipH="1">
          <a:off x="669574" y="28969759"/>
          <a:ext cx="850770" cy="541292"/>
        </a:xfrm>
        <a:prstGeom prst="rect">
          <a:avLst/>
        </a:prstGeom>
      </xdr:spPr>
    </xdr:pic>
    <xdr:clientData/>
  </xdr:twoCellAnchor>
  <xdr:twoCellAnchor editAs="oneCell">
    <xdr:from>
      <xdr:col>13</xdr:col>
      <xdr:colOff>1470</xdr:colOff>
      <xdr:row>209</xdr:row>
      <xdr:rowOff>32853</xdr:rowOff>
    </xdr:from>
    <xdr:to>
      <xdr:col>22</xdr:col>
      <xdr:colOff>439126</xdr:colOff>
      <xdr:row>211</xdr:row>
      <xdr:rowOff>94395</xdr:rowOff>
    </xdr:to>
    <xdr:pic>
      <xdr:nvPicPr>
        <xdr:cNvPr id="128" name="Obraz 127">
          <a:extLst>
            <a:ext uri="{FF2B5EF4-FFF2-40B4-BE49-F238E27FC236}">
              <a16:creationId xmlns:a16="http://schemas.microsoft.com/office/drawing/2014/main" id="{79BAC5B2-640B-434E-90AC-E0F862195103}"/>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742303" y="31793436"/>
          <a:ext cx="803416" cy="415451"/>
        </a:xfrm>
        <a:prstGeom prst="rect">
          <a:avLst/>
        </a:prstGeom>
      </xdr:spPr>
    </xdr:pic>
    <xdr:clientData/>
  </xdr:twoCellAnchor>
  <xdr:twoCellAnchor editAs="oneCell">
    <xdr:from>
      <xdr:col>31</xdr:col>
      <xdr:colOff>50452</xdr:colOff>
      <xdr:row>189</xdr:row>
      <xdr:rowOff>150294</xdr:rowOff>
    </xdr:from>
    <xdr:to>
      <xdr:col>32</xdr:col>
      <xdr:colOff>494815</xdr:colOff>
      <xdr:row>193</xdr:row>
      <xdr:rowOff>19148</xdr:rowOff>
    </xdr:to>
    <xdr:pic>
      <xdr:nvPicPr>
        <xdr:cNvPr id="129" name="Obraz 128">
          <a:extLst>
            <a:ext uri="{FF2B5EF4-FFF2-40B4-BE49-F238E27FC236}">
              <a16:creationId xmlns:a16="http://schemas.microsoft.com/office/drawing/2014/main" id="{4A9FAEB8-C3A4-4B1F-8AC7-FEB604F35A41}"/>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6070252" y="28953894"/>
          <a:ext cx="558663" cy="577514"/>
        </a:xfrm>
        <a:prstGeom prst="rect">
          <a:avLst/>
        </a:prstGeom>
      </xdr:spPr>
    </xdr:pic>
    <xdr:clientData/>
  </xdr:twoCellAnchor>
  <xdr:twoCellAnchor editAs="oneCell">
    <xdr:from>
      <xdr:col>20</xdr:col>
      <xdr:colOff>14356</xdr:colOff>
      <xdr:row>214</xdr:row>
      <xdr:rowOff>9534</xdr:rowOff>
    </xdr:from>
    <xdr:to>
      <xdr:col>22</xdr:col>
      <xdr:colOff>402421</xdr:colOff>
      <xdr:row>216</xdr:row>
      <xdr:rowOff>96361</xdr:rowOff>
    </xdr:to>
    <xdr:pic>
      <xdr:nvPicPr>
        <xdr:cNvPr id="130" name="Obraz 129">
          <a:extLst>
            <a:ext uri="{FF2B5EF4-FFF2-40B4-BE49-F238E27FC236}">
              <a16:creationId xmlns:a16="http://schemas.microsoft.com/office/drawing/2014/main" id="{E38BA0DC-7C0F-4EE0-A5EF-5EC728CA85A5}"/>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989716" y="32470734"/>
          <a:ext cx="469980" cy="437347"/>
        </a:xfrm>
        <a:prstGeom prst="rect">
          <a:avLst/>
        </a:prstGeom>
      </xdr:spPr>
    </xdr:pic>
    <xdr:clientData/>
  </xdr:twoCellAnchor>
  <xdr:twoCellAnchor editAs="oneCell">
    <xdr:from>
      <xdr:col>19</xdr:col>
      <xdr:colOff>41787</xdr:colOff>
      <xdr:row>219</xdr:row>
      <xdr:rowOff>67480</xdr:rowOff>
    </xdr:from>
    <xdr:to>
      <xdr:col>22</xdr:col>
      <xdr:colOff>439284</xdr:colOff>
      <xdr:row>221</xdr:row>
      <xdr:rowOff>55225</xdr:rowOff>
    </xdr:to>
    <xdr:pic>
      <xdr:nvPicPr>
        <xdr:cNvPr id="131" name="Obraz 130">
          <a:extLst>
            <a:ext uri="{FF2B5EF4-FFF2-40B4-BE49-F238E27FC236}">
              <a16:creationId xmlns:a16="http://schemas.microsoft.com/office/drawing/2014/main" id="{16145D4B-1151-4AE7-8A7F-853804EC013F}"/>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1036620" y="33637813"/>
          <a:ext cx="509257" cy="356680"/>
        </a:xfrm>
        <a:prstGeom prst="rect">
          <a:avLst/>
        </a:prstGeom>
      </xdr:spPr>
    </xdr:pic>
    <xdr:clientData/>
  </xdr:twoCellAnchor>
  <xdr:twoCellAnchor editAs="oneCell">
    <xdr:from>
      <xdr:col>31</xdr:col>
      <xdr:colOff>45324</xdr:colOff>
      <xdr:row>195</xdr:row>
      <xdr:rowOff>26310</xdr:rowOff>
    </xdr:from>
    <xdr:to>
      <xdr:col>32</xdr:col>
      <xdr:colOff>477200</xdr:colOff>
      <xdr:row>197</xdr:row>
      <xdr:rowOff>18281</xdr:rowOff>
    </xdr:to>
    <xdr:pic>
      <xdr:nvPicPr>
        <xdr:cNvPr id="132" name="Obraz 131">
          <a:extLst>
            <a:ext uri="{FF2B5EF4-FFF2-40B4-BE49-F238E27FC236}">
              <a16:creationId xmlns:a16="http://schemas.microsoft.com/office/drawing/2014/main" id="{42C4FDCA-E03C-4C4D-A6A5-40004DD49016}"/>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6065124" y="29896710"/>
          <a:ext cx="546176" cy="353921"/>
        </a:xfrm>
        <a:prstGeom prst="rect">
          <a:avLst/>
        </a:prstGeom>
      </xdr:spPr>
    </xdr:pic>
    <xdr:clientData/>
  </xdr:twoCellAnchor>
  <xdr:twoCellAnchor editAs="oneCell">
    <xdr:from>
      <xdr:col>9</xdr:col>
      <xdr:colOff>12488</xdr:colOff>
      <xdr:row>194</xdr:row>
      <xdr:rowOff>133708</xdr:rowOff>
    </xdr:from>
    <xdr:to>
      <xdr:col>22</xdr:col>
      <xdr:colOff>478207</xdr:colOff>
      <xdr:row>198</xdr:row>
      <xdr:rowOff>2433</xdr:rowOff>
    </xdr:to>
    <xdr:pic>
      <xdr:nvPicPr>
        <xdr:cNvPr id="133" name="Obraz 132">
          <a:extLst>
            <a:ext uri="{FF2B5EF4-FFF2-40B4-BE49-F238E27FC236}">
              <a16:creationId xmlns:a16="http://schemas.microsoft.com/office/drawing/2014/main" id="{AADAE760-9BC8-4783-9796-C197C28EDEBB}"/>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568748" y="29912668"/>
          <a:ext cx="953399" cy="565956"/>
        </a:xfrm>
        <a:prstGeom prst="rect">
          <a:avLst/>
        </a:prstGeom>
      </xdr:spPr>
    </xdr:pic>
    <xdr:clientData/>
  </xdr:twoCellAnchor>
  <xdr:twoCellAnchor editAs="oneCell">
    <xdr:from>
      <xdr:col>30</xdr:col>
      <xdr:colOff>350928</xdr:colOff>
      <xdr:row>209</xdr:row>
      <xdr:rowOff>27778</xdr:rowOff>
    </xdr:from>
    <xdr:to>
      <xdr:col>32</xdr:col>
      <xdr:colOff>476174</xdr:colOff>
      <xdr:row>211</xdr:row>
      <xdr:rowOff>75139</xdr:rowOff>
    </xdr:to>
    <xdr:pic>
      <xdr:nvPicPr>
        <xdr:cNvPr id="134" name="Obraz 133">
          <a:extLst>
            <a:ext uri="{FF2B5EF4-FFF2-40B4-BE49-F238E27FC236}">
              <a16:creationId xmlns:a16="http://schemas.microsoft.com/office/drawing/2014/main" id="{E63BCB2C-1C6F-4EB1-AFCC-8D2CE221D8D9}"/>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5989728" y="31605058"/>
          <a:ext cx="620546" cy="397882"/>
        </a:xfrm>
        <a:prstGeom prst="rect">
          <a:avLst/>
        </a:prstGeom>
      </xdr:spPr>
    </xdr:pic>
    <xdr:clientData/>
  </xdr:twoCellAnchor>
  <xdr:twoCellAnchor editAs="oneCell">
    <xdr:from>
      <xdr:col>18</xdr:col>
      <xdr:colOff>1471</xdr:colOff>
      <xdr:row>224</xdr:row>
      <xdr:rowOff>57510</xdr:rowOff>
    </xdr:from>
    <xdr:to>
      <xdr:col>22</xdr:col>
      <xdr:colOff>495875</xdr:colOff>
      <xdr:row>226</xdr:row>
      <xdr:rowOff>55867</xdr:rowOff>
    </xdr:to>
    <xdr:pic>
      <xdr:nvPicPr>
        <xdr:cNvPr id="135" name="Obraz 134">
          <a:extLst>
            <a:ext uri="{FF2B5EF4-FFF2-40B4-BE49-F238E27FC236}">
              <a16:creationId xmlns:a16="http://schemas.microsoft.com/office/drawing/2014/main" id="{D9091C3F-B81A-4D14-9CBD-4299F5F86944}"/>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953971" y="34580343"/>
          <a:ext cx="663737" cy="369197"/>
        </a:xfrm>
        <a:prstGeom prst="rect">
          <a:avLst/>
        </a:prstGeom>
      </xdr:spPr>
    </xdr:pic>
    <xdr:clientData/>
  </xdr:twoCellAnchor>
  <xdr:twoCellAnchor editAs="oneCell">
    <xdr:from>
      <xdr:col>7</xdr:col>
      <xdr:colOff>3599</xdr:colOff>
      <xdr:row>205</xdr:row>
      <xdr:rowOff>5504</xdr:rowOff>
    </xdr:from>
    <xdr:to>
      <xdr:col>20</xdr:col>
      <xdr:colOff>19262</xdr:colOff>
      <xdr:row>207</xdr:row>
      <xdr:rowOff>168276</xdr:rowOff>
    </xdr:to>
    <xdr:pic>
      <xdr:nvPicPr>
        <xdr:cNvPr id="137" name="Grafika 136" descr="Komentarz — dodaj kontur">
          <a:extLst>
            <a:ext uri="{FF2B5EF4-FFF2-40B4-BE49-F238E27FC236}">
              <a16:creationId xmlns:a16="http://schemas.microsoft.com/office/drawing/2014/main" id="{B088E4E1-083B-4F1A-A89F-AA0EBA330E65}"/>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 uri="{96DAC541-7B7A-43D3-8B79-37D633B846F1}">
              <asvg:svgBlip xmlns:asvg="http://schemas.microsoft.com/office/drawing/2016/SVG/main" r:embed="rId47"/>
            </a:ext>
          </a:extLst>
        </a:blip>
        <a:stretch>
          <a:fillRect/>
        </a:stretch>
      </xdr:blipFill>
      <xdr:spPr>
        <a:xfrm>
          <a:off x="490432" y="31046421"/>
          <a:ext cx="569807" cy="518795"/>
        </a:xfrm>
        <a:prstGeom prst="rect">
          <a:avLst/>
        </a:prstGeom>
      </xdr:spPr>
    </xdr:pic>
    <xdr:clientData/>
  </xdr:twoCellAnchor>
  <xdr:twoCellAnchor editAs="oneCell">
    <xdr:from>
      <xdr:col>32</xdr:col>
      <xdr:colOff>28888</xdr:colOff>
      <xdr:row>218</xdr:row>
      <xdr:rowOff>107752</xdr:rowOff>
    </xdr:from>
    <xdr:to>
      <xdr:col>32</xdr:col>
      <xdr:colOff>422420</xdr:colOff>
      <xdr:row>222</xdr:row>
      <xdr:rowOff>93407</xdr:rowOff>
    </xdr:to>
    <xdr:pic>
      <xdr:nvPicPr>
        <xdr:cNvPr id="140" name="Obraz 139">
          <a:extLst>
            <a:ext uri="{FF2B5EF4-FFF2-40B4-BE49-F238E27FC236}">
              <a16:creationId xmlns:a16="http://schemas.microsoft.com/office/drawing/2014/main" id="{DA5F811A-2E1B-4955-ACE2-8D8A64EDB093}"/>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6251888" y="33498169"/>
          <a:ext cx="393532" cy="720139"/>
        </a:xfrm>
        <a:prstGeom prst="rect">
          <a:avLst/>
        </a:prstGeom>
      </xdr:spPr>
    </xdr:pic>
    <xdr:clientData/>
  </xdr:twoCellAnchor>
  <xdr:twoCellAnchor editAs="oneCell">
    <xdr:from>
      <xdr:col>32</xdr:col>
      <xdr:colOff>70924</xdr:colOff>
      <xdr:row>166</xdr:row>
      <xdr:rowOff>3224</xdr:rowOff>
    </xdr:from>
    <xdr:to>
      <xdr:col>32</xdr:col>
      <xdr:colOff>517379</xdr:colOff>
      <xdr:row>168</xdr:row>
      <xdr:rowOff>58264</xdr:rowOff>
    </xdr:to>
    <xdr:pic>
      <xdr:nvPicPr>
        <xdr:cNvPr id="141" name="Obraz 140">
          <a:extLst>
            <a:ext uri="{FF2B5EF4-FFF2-40B4-BE49-F238E27FC236}">
              <a16:creationId xmlns:a16="http://schemas.microsoft.com/office/drawing/2014/main" id="{B22CD01A-C80D-43F3-A60B-86B8D72EC2AB}"/>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6293924" y="24651807"/>
          <a:ext cx="446455" cy="386088"/>
        </a:xfrm>
        <a:prstGeom prst="rect">
          <a:avLst/>
        </a:prstGeom>
      </xdr:spPr>
    </xdr:pic>
    <xdr:clientData/>
  </xdr:twoCellAnchor>
  <xdr:twoCellAnchor editAs="oneCell">
    <xdr:from>
      <xdr:col>10</xdr:col>
      <xdr:colOff>3810</xdr:colOff>
      <xdr:row>181</xdr:row>
      <xdr:rowOff>44239</xdr:rowOff>
    </xdr:from>
    <xdr:to>
      <xdr:col>22</xdr:col>
      <xdr:colOff>399577</xdr:colOff>
      <xdr:row>183</xdr:row>
      <xdr:rowOff>134367</xdr:rowOff>
    </xdr:to>
    <xdr:pic>
      <xdr:nvPicPr>
        <xdr:cNvPr id="159" name="Obraz 158">
          <a:extLst>
            <a:ext uri="{FF2B5EF4-FFF2-40B4-BE49-F238E27FC236}">
              <a16:creationId xmlns:a16="http://schemas.microsoft.com/office/drawing/2014/main" id="{4720E22A-D62D-4B10-A9D5-46ABC6B425ED}"/>
            </a:ext>
          </a:extLst>
        </xdr:cNvPr>
        <xdr:cNvPicPr>
          <a:picLocks noChangeAspect="1"/>
        </xdr:cNvPicPr>
      </xdr:nvPicPr>
      <xdr:blipFill>
        <a:blip xmlns:r="http://schemas.openxmlformats.org/officeDocument/2006/relationships" r:embed="rId50" cstate="email">
          <a:extLst>
            <a:ext uri="{BEBA8EAE-BF5A-486C-A8C5-ECC9F3942E4B}">
              <a14:imgProps xmlns:a14="http://schemas.microsoft.com/office/drawing/2010/main">
                <a14:imgLayer r:embed="rId51">
                  <a14:imgEffect>
                    <a14:brightnessContrast bright="-40000" contrast="40000"/>
                  </a14:imgEffect>
                </a14:imgLayer>
              </a14:imgProps>
            </a:ext>
            <a:ext uri="{28A0092B-C50C-407E-A947-70E740481C1C}">
              <a14:useLocalDpi xmlns:a14="http://schemas.microsoft.com/office/drawing/2010/main"/>
            </a:ext>
          </a:extLst>
        </a:blip>
        <a:stretch>
          <a:fillRect/>
        </a:stretch>
      </xdr:blipFill>
      <xdr:spPr>
        <a:xfrm>
          <a:off x="598170" y="27445759"/>
          <a:ext cx="868207" cy="440647"/>
        </a:xfrm>
        <a:prstGeom prst="rect">
          <a:avLst/>
        </a:prstGeom>
      </xdr:spPr>
    </xdr:pic>
    <xdr:clientData/>
  </xdr:twoCellAnchor>
  <xdr:twoCellAnchor editAs="oneCell">
    <xdr:from>
      <xdr:col>82</xdr:col>
      <xdr:colOff>73343</xdr:colOff>
      <xdr:row>393</xdr:row>
      <xdr:rowOff>6273</xdr:rowOff>
    </xdr:from>
    <xdr:to>
      <xdr:col>87</xdr:col>
      <xdr:colOff>133491</xdr:colOff>
      <xdr:row>400</xdr:row>
      <xdr:rowOff>202</xdr:rowOff>
    </xdr:to>
    <xdr:pic>
      <xdr:nvPicPr>
        <xdr:cNvPr id="163" name="Obraz 162">
          <a:extLst>
            <a:ext uri="{FF2B5EF4-FFF2-40B4-BE49-F238E27FC236}">
              <a16:creationId xmlns:a16="http://schemas.microsoft.com/office/drawing/2014/main" id="{582683C3-4999-4F39-962F-F0A7AD5B9AE7}"/>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24862156" y="67348023"/>
          <a:ext cx="3146247" cy="1324038"/>
        </a:xfrm>
        <a:prstGeom prst="rect">
          <a:avLst/>
        </a:prstGeom>
      </xdr:spPr>
    </xdr:pic>
    <xdr:clientData/>
  </xdr:twoCellAnchor>
  <xdr:twoCellAnchor editAs="oneCell">
    <xdr:from>
      <xdr:col>81</xdr:col>
      <xdr:colOff>593409</xdr:colOff>
      <xdr:row>402</xdr:row>
      <xdr:rowOff>73342</xdr:rowOff>
    </xdr:from>
    <xdr:to>
      <xdr:col>86</xdr:col>
      <xdr:colOff>172404</xdr:colOff>
      <xdr:row>415</xdr:row>
      <xdr:rowOff>91819</xdr:rowOff>
    </xdr:to>
    <xdr:pic>
      <xdr:nvPicPr>
        <xdr:cNvPr id="164" name="Obraz 163">
          <a:extLst>
            <a:ext uri="{FF2B5EF4-FFF2-40B4-BE49-F238E27FC236}">
              <a16:creationId xmlns:a16="http://schemas.microsoft.com/office/drawing/2014/main" id="{5705C3F8-D12B-411F-B2FE-AFEF6E360DC9}"/>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4763097" y="69129592"/>
          <a:ext cx="2665095" cy="2498787"/>
        </a:xfrm>
        <a:prstGeom prst="rect">
          <a:avLst/>
        </a:prstGeom>
      </xdr:spPr>
    </xdr:pic>
    <xdr:clientData/>
  </xdr:twoCellAnchor>
  <xdr:twoCellAnchor editAs="oneCell">
    <xdr:from>
      <xdr:col>86</xdr:col>
      <xdr:colOff>544628</xdr:colOff>
      <xdr:row>401</xdr:row>
      <xdr:rowOff>58102</xdr:rowOff>
    </xdr:from>
    <xdr:to>
      <xdr:col>90</xdr:col>
      <xdr:colOff>440571</xdr:colOff>
      <xdr:row>417</xdr:row>
      <xdr:rowOff>93749</xdr:rowOff>
    </xdr:to>
    <xdr:pic>
      <xdr:nvPicPr>
        <xdr:cNvPr id="165" name="Obraz 164">
          <a:extLst>
            <a:ext uri="{FF2B5EF4-FFF2-40B4-BE49-F238E27FC236}">
              <a16:creationId xmlns:a16="http://schemas.microsoft.com/office/drawing/2014/main" id="{09F71685-DCD7-478B-A65F-5375035BEF77}"/>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27809941" y="68923852"/>
          <a:ext cx="2368633" cy="3087456"/>
        </a:xfrm>
        <a:prstGeom prst="rect">
          <a:avLst/>
        </a:prstGeom>
      </xdr:spPr>
    </xdr:pic>
    <xdr:clientData/>
  </xdr:twoCellAnchor>
  <xdr:twoCellAnchor editAs="oneCell">
    <xdr:from>
      <xdr:col>82</xdr:col>
      <xdr:colOff>101048</xdr:colOff>
      <xdr:row>417</xdr:row>
      <xdr:rowOff>58102</xdr:rowOff>
    </xdr:from>
    <xdr:to>
      <xdr:col>86</xdr:col>
      <xdr:colOff>168594</xdr:colOff>
      <xdr:row>431</xdr:row>
      <xdr:rowOff>57721</xdr:rowOff>
    </xdr:to>
    <xdr:pic>
      <xdr:nvPicPr>
        <xdr:cNvPr id="166" name="Obraz 165">
          <a:extLst>
            <a:ext uri="{FF2B5EF4-FFF2-40B4-BE49-F238E27FC236}">
              <a16:creationId xmlns:a16="http://schemas.microsoft.com/office/drawing/2014/main" id="{24C281D4-CB79-4BDE-9A83-5916EF96F5C2}"/>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24889861" y="71971852"/>
          <a:ext cx="2536425" cy="2653286"/>
        </a:xfrm>
        <a:prstGeom prst="rect">
          <a:avLst/>
        </a:prstGeom>
      </xdr:spPr>
    </xdr:pic>
    <xdr:clientData/>
  </xdr:twoCellAnchor>
  <xdr:twoCellAnchor editAs="oneCell">
    <xdr:from>
      <xdr:col>81</xdr:col>
      <xdr:colOff>357187</xdr:colOff>
      <xdr:row>347</xdr:row>
      <xdr:rowOff>71438</xdr:rowOff>
    </xdr:from>
    <xdr:to>
      <xdr:col>99</xdr:col>
      <xdr:colOff>155794</xdr:colOff>
      <xdr:row>379</xdr:row>
      <xdr:rowOff>55437</xdr:rowOff>
    </xdr:to>
    <xdr:pic>
      <xdr:nvPicPr>
        <xdr:cNvPr id="167" name="Obraz 166">
          <a:extLst>
            <a:ext uri="{FF2B5EF4-FFF2-40B4-BE49-F238E27FC236}">
              <a16:creationId xmlns:a16="http://schemas.microsoft.com/office/drawing/2014/main" id="{A1BAD30A-544F-411C-AD02-083F64E269B4}"/>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24526875" y="58650188"/>
          <a:ext cx="10942857" cy="6083809"/>
        </a:xfrm>
        <a:prstGeom prst="rect">
          <a:avLst/>
        </a:prstGeom>
      </xdr:spPr>
    </xdr:pic>
    <xdr:clientData/>
  </xdr:twoCellAnchor>
  <xdr:twoCellAnchor editAs="oneCell">
    <xdr:from>
      <xdr:col>62</xdr:col>
      <xdr:colOff>190499</xdr:colOff>
      <xdr:row>344</xdr:row>
      <xdr:rowOff>69533</xdr:rowOff>
    </xdr:from>
    <xdr:to>
      <xdr:col>80</xdr:col>
      <xdr:colOff>320955</xdr:colOff>
      <xdr:row>377</xdr:row>
      <xdr:rowOff>20003</xdr:rowOff>
    </xdr:to>
    <xdr:pic>
      <xdr:nvPicPr>
        <xdr:cNvPr id="168" name="Obraz 167">
          <a:extLst>
            <a:ext uri="{FF2B5EF4-FFF2-40B4-BE49-F238E27FC236}">
              <a16:creationId xmlns:a16="http://schemas.microsoft.com/office/drawing/2014/main" id="{63D3AC6B-98E6-4D22-AD9D-659BE68F9F49}"/>
            </a:ext>
          </a:extLst>
        </xdr:cNvPr>
        <xdr:cNvPicPr>
          <a:picLocks noChangeAspect="1"/>
        </xdr:cNvPicPr>
      </xdr:nvPicPr>
      <xdr:blipFill>
        <a:blip xmlns:r="http://schemas.openxmlformats.org/officeDocument/2006/relationships" r:embed="rId57"/>
        <a:stretch>
          <a:fillRect/>
        </a:stretch>
      </xdr:blipFill>
      <xdr:spPr>
        <a:xfrm>
          <a:off x="12596812" y="58076783"/>
          <a:ext cx="11278515" cy="6240779"/>
        </a:xfrm>
        <a:prstGeom prst="rect">
          <a:avLst/>
        </a:prstGeom>
      </xdr:spPr>
    </xdr:pic>
    <xdr:clientData/>
  </xdr:twoCellAnchor>
  <xdr:twoCellAnchor editAs="oneCell">
    <xdr:from>
      <xdr:col>62</xdr:col>
      <xdr:colOff>317181</xdr:colOff>
      <xdr:row>377</xdr:row>
      <xdr:rowOff>20003</xdr:rowOff>
    </xdr:from>
    <xdr:to>
      <xdr:col>80</xdr:col>
      <xdr:colOff>478154</xdr:colOff>
      <xdr:row>421</xdr:row>
      <xdr:rowOff>93602</xdr:rowOff>
    </xdr:to>
    <xdr:pic>
      <xdr:nvPicPr>
        <xdr:cNvPr id="169" name="Obraz 168">
          <a:extLst>
            <a:ext uri="{FF2B5EF4-FFF2-40B4-BE49-F238E27FC236}">
              <a16:creationId xmlns:a16="http://schemas.microsoft.com/office/drawing/2014/main" id="{1213B37E-926B-4900-81B7-9C685429B442}"/>
            </a:ext>
          </a:extLst>
        </xdr:cNvPr>
        <xdr:cNvPicPr>
          <a:picLocks noChangeAspect="1"/>
        </xdr:cNvPicPr>
      </xdr:nvPicPr>
      <xdr:blipFill>
        <a:blip xmlns:r="http://schemas.openxmlformats.org/officeDocument/2006/relationships" r:embed="rId58"/>
        <a:stretch>
          <a:fillRect/>
        </a:stretch>
      </xdr:blipFill>
      <xdr:spPr>
        <a:xfrm>
          <a:off x="12723494" y="64313753"/>
          <a:ext cx="11301412" cy="8468934"/>
        </a:xfrm>
        <a:prstGeom prst="rect">
          <a:avLst/>
        </a:prstGeom>
      </xdr:spPr>
    </xdr:pic>
    <xdr:clientData/>
  </xdr:twoCellAnchor>
  <xdr:twoCellAnchor editAs="oneCell">
    <xdr:from>
      <xdr:col>22</xdr:col>
      <xdr:colOff>561328</xdr:colOff>
      <xdr:row>139</xdr:row>
      <xdr:rowOff>136996</xdr:rowOff>
    </xdr:from>
    <xdr:to>
      <xdr:col>23</xdr:col>
      <xdr:colOff>398217</xdr:colOff>
      <xdr:row>143</xdr:row>
      <xdr:rowOff>16236</xdr:rowOff>
    </xdr:to>
    <xdr:pic>
      <xdr:nvPicPr>
        <xdr:cNvPr id="178" name="Obraz 177">
          <a:extLst>
            <a:ext uri="{FF2B5EF4-FFF2-40B4-BE49-F238E27FC236}">
              <a16:creationId xmlns:a16="http://schemas.microsoft.com/office/drawing/2014/main" id="{9184D654-495E-4F7A-BA77-4B0D30210E50}"/>
            </a:ext>
          </a:extLst>
        </xdr:cNvPr>
        <xdr:cNvPicPr>
          <a:picLocks noChangeAspect="1"/>
        </xdr:cNvPicPr>
      </xdr:nvPicPr>
      <xdr:blipFill rotWithShape="1">
        <a:blip xmlns:r="http://schemas.openxmlformats.org/officeDocument/2006/relationships" r:embed="rId59" cstate="email">
          <a:extLst>
            <a:ext uri="{28A0092B-C50C-407E-A947-70E740481C1C}">
              <a14:useLocalDpi xmlns:a14="http://schemas.microsoft.com/office/drawing/2010/main"/>
            </a:ext>
          </a:extLst>
        </a:blip>
        <a:srcRect/>
        <a:stretch/>
      </xdr:blipFill>
      <xdr:spPr>
        <a:xfrm>
          <a:off x="1525034" y="20005025"/>
          <a:ext cx="457247" cy="596417"/>
        </a:xfrm>
        <a:prstGeom prst="rect">
          <a:avLst/>
        </a:prstGeom>
      </xdr:spPr>
    </xdr:pic>
    <xdr:clientData/>
  </xdr:twoCellAnchor>
  <xdr:twoCellAnchor editAs="oneCell">
    <xdr:from>
      <xdr:col>23</xdr:col>
      <xdr:colOff>581514</xdr:colOff>
      <xdr:row>139</xdr:row>
      <xdr:rowOff>132562</xdr:rowOff>
    </xdr:from>
    <xdr:to>
      <xdr:col>26</xdr:col>
      <xdr:colOff>56026</xdr:colOff>
      <xdr:row>143</xdr:row>
      <xdr:rowOff>15280</xdr:rowOff>
    </xdr:to>
    <xdr:pic>
      <xdr:nvPicPr>
        <xdr:cNvPr id="180" name="Obraz 179">
          <a:extLst>
            <a:ext uri="{FF2B5EF4-FFF2-40B4-BE49-F238E27FC236}">
              <a16:creationId xmlns:a16="http://schemas.microsoft.com/office/drawing/2014/main" id="{62DF9013-9A39-49D5-B824-8873D7BBC341}"/>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2257914" y="20439862"/>
          <a:ext cx="859446" cy="610429"/>
        </a:xfrm>
        <a:prstGeom prst="rect">
          <a:avLst/>
        </a:prstGeom>
      </xdr:spPr>
    </xdr:pic>
    <xdr:clientData/>
  </xdr:twoCellAnchor>
  <xdr:twoCellAnchor>
    <xdr:from>
      <xdr:col>27</xdr:col>
      <xdr:colOff>241932</xdr:colOff>
      <xdr:row>139</xdr:row>
      <xdr:rowOff>168339</xdr:rowOff>
    </xdr:from>
    <xdr:to>
      <xdr:col>27</xdr:col>
      <xdr:colOff>571499</xdr:colOff>
      <xdr:row>140</xdr:row>
      <xdr:rowOff>169428</xdr:rowOff>
    </xdr:to>
    <xdr:sp macro="" textlink="">
      <xdr:nvSpPr>
        <xdr:cNvPr id="182" name="Trójkąt prostokątny 181">
          <a:extLst>
            <a:ext uri="{FF2B5EF4-FFF2-40B4-BE49-F238E27FC236}">
              <a16:creationId xmlns:a16="http://schemas.microsoft.com/office/drawing/2014/main" id="{3817BE24-EA82-426B-B7E6-33209A6A73FA}"/>
            </a:ext>
          </a:extLst>
        </xdr:cNvPr>
        <xdr:cNvSpPr/>
      </xdr:nvSpPr>
      <xdr:spPr>
        <a:xfrm rot="10800000">
          <a:off x="3910418" y="20530068"/>
          <a:ext cx="329567" cy="180703"/>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243023</xdr:colOff>
      <xdr:row>139</xdr:row>
      <xdr:rowOff>174956</xdr:rowOff>
    </xdr:from>
    <xdr:to>
      <xdr:col>27</xdr:col>
      <xdr:colOff>579142</xdr:colOff>
      <xdr:row>141</xdr:row>
      <xdr:rowOff>1329</xdr:rowOff>
    </xdr:to>
    <xdr:sp macro="" textlink="">
      <xdr:nvSpPr>
        <xdr:cNvPr id="183" name="Trójkąt prostokątny 182">
          <a:extLst>
            <a:ext uri="{FF2B5EF4-FFF2-40B4-BE49-F238E27FC236}">
              <a16:creationId xmlns:a16="http://schemas.microsoft.com/office/drawing/2014/main" id="{8859EACA-73F5-4F95-A4FC-951C18D8E76C}"/>
            </a:ext>
          </a:extLst>
        </xdr:cNvPr>
        <xdr:cNvSpPr/>
      </xdr:nvSpPr>
      <xdr:spPr>
        <a:xfrm rot="16200000">
          <a:off x="3986768" y="20461426"/>
          <a:ext cx="185601" cy="336119"/>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235655</xdr:colOff>
      <xdr:row>141</xdr:row>
      <xdr:rowOff>1349</xdr:rowOff>
    </xdr:from>
    <xdr:to>
      <xdr:col>27</xdr:col>
      <xdr:colOff>579165</xdr:colOff>
      <xdr:row>142</xdr:row>
      <xdr:rowOff>2439</xdr:rowOff>
    </xdr:to>
    <xdr:sp macro="" textlink="">
      <xdr:nvSpPr>
        <xdr:cNvPr id="184" name="Trójkąt prostokątny 183">
          <a:extLst>
            <a:ext uri="{FF2B5EF4-FFF2-40B4-BE49-F238E27FC236}">
              <a16:creationId xmlns:a16="http://schemas.microsoft.com/office/drawing/2014/main" id="{3EEC1653-09BB-4DA5-A51E-60C47DB8AC40}"/>
            </a:ext>
          </a:extLst>
        </xdr:cNvPr>
        <xdr:cNvSpPr/>
      </xdr:nvSpPr>
      <xdr:spPr>
        <a:xfrm rot="10800000">
          <a:off x="3904141" y="20722306"/>
          <a:ext cx="343510" cy="180704"/>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259992</xdr:colOff>
      <xdr:row>141</xdr:row>
      <xdr:rowOff>3291</xdr:rowOff>
    </xdr:from>
    <xdr:to>
      <xdr:col>27</xdr:col>
      <xdr:colOff>561290</xdr:colOff>
      <xdr:row>142</xdr:row>
      <xdr:rowOff>1761</xdr:rowOff>
    </xdr:to>
    <xdr:sp macro="" textlink="">
      <xdr:nvSpPr>
        <xdr:cNvPr id="185" name="Trójkąt prostokątny 184">
          <a:extLst>
            <a:ext uri="{FF2B5EF4-FFF2-40B4-BE49-F238E27FC236}">
              <a16:creationId xmlns:a16="http://schemas.microsoft.com/office/drawing/2014/main" id="{E6B8B3A8-F95F-4525-8C04-88ABCB4210E1}"/>
            </a:ext>
          </a:extLst>
        </xdr:cNvPr>
        <xdr:cNvSpPr/>
      </xdr:nvSpPr>
      <xdr:spPr>
        <a:xfrm rot="16200000">
          <a:off x="3990085" y="20662641"/>
          <a:ext cx="178084" cy="301298"/>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254024</xdr:colOff>
      <xdr:row>141</xdr:row>
      <xdr:rowOff>174865</xdr:rowOff>
    </xdr:from>
    <xdr:to>
      <xdr:col>27</xdr:col>
      <xdr:colOff>583953</xdr:colOff>
      <xdr:row>143</xdr:row>
      <xdr:rowOff>2703</xdr:rowOff>
    </xdr:to>
    <xdr:sp macro="" textlink="">
      <xdr:nvSpPr>
        <xdr:cNvPr id="186" name="Trójkąt prostokątny 185">
          <a:extLst>
            <a:ext uri="{FF2B5EF4-FFF2-40B4-BE49-F238E27FC236}">
              <a16:creationId xmlns:a16="http://schemas.microsoft.com/office/drawing/2014/main" id="{01210542-4349-4B0D-AD9B-AD80A8B71136}"/>
            </a:ext>
          </a:extLst>
        </xdr:cNvPr>
        <xdr:cNvSpPr/>
      </xdr:nvSpPr>
      <xdr:spPr>
        <a:xfrm rot="10800000">
          <a:off x="3922510" y="20895822"/>
          <a:ext cx="329929" cy="187067"/>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243160</xdr:colOff>
      <xdr:row>142</xdr:row>
      <xdr:rowOff>19634</xdr:rowOff>
    </xdr:from>
    <xdr:to>
      <xdr:col>27</xdr:col>
      <xdr:colOff>586715</xdr:colOff>
      <xdr:row>143</xdr:row>
      <xdr:rowOff>16199</xdr:rowOff>
    </xdr:to>
    <xdr:sp macro="" textlink="">
      <xdr:nvSpPr>
        <xdr:cNvPr id="187" name="Trójkąt prostokątny 186">
          <a:extLst>
            <a:ext uri="{FF2B5EF4-FFF2-40B4-BE49-F238E27FC236}">
              <a16:creationId xmlns:a16="http://schemas.microsoft.com/office/drawing/2014/main" id="{BFE2CAA7-C1A9-4A91-B156-905B23967D04}"/>
            </a:ext>
          </a:extLst>
        </xdr:cNvPr>
        <xdr:cNvSpPr/>
      </xdr:nvSpPr>
      <xdr:spPr>
        <a:xfrm rot="16200000">
          <a:off x="3995334" y="20836517"/>
          <a:ext cx="176180" cy="343555"/>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544285</xdr:colOff>
      <xdr:row>139</xdr:row>
      <xdr:rowOff>136071</xdr:rowOff>
    </xdr:from>
    <xdr:to>
      <xdr:col>28</xdr:col>
      <xdr:colOff>54428</xdr:colOff>
      <xdr:row>143</xdr:row>
      <xdr:rowOff>32657</xdr:rowOff>
    </xdr:to>
    <xdr:sp macro="" textlink="">
      <xdr:nvSpPr>
        <xdr:cNvPr id="188" name="Prostokąt 187">
          <a:extLst>
            <a:ext uri="{FF2B5EF4-FFF2-40B4-BE49-F238E27FC236}">
              <a16:creationId xmlns:a16="http://schemas.microsoft.com/office/drawing/2014/main" id="{7A6D8971-F7E8-47AB-89C3-CDA6366CF52D}"/>
            </a:ext>
          </a:extLst>
        </xdr:cNvPr>
        <xdr:cNvSpPr/>
      </xdr:nvSpPr>
      <xdr:spPr>
        <a:xfrm>
          <a:off x="4212771" y="20497800"/>
          <a:ext cx="272143" cy="61504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28</xdr:col>
      <xdr:colOff>362112</xdr:colOff>
      <xdr:row>120</xdr:row>
      <xdr:rowOff>111610</xdr:rowOff>
    </xdr:from>
    <xdr:to>
      <xdr:col>29</xdr:col>
      <xdr:colOff>112512</xdr:colOff>
      <xdr:row>122</xdr:row>
      <xdr:rowOff>54988</xdr:rowOff>
    </xdr:to>
    <xdr:pic>
      <xdr:nvPicPr>
        <xdr:cNvPr id="196" name="Obraz 195">
          <a:extLst>
            <a:ext uri="{FF2B5EF4-FFF2-40B4-BE49-F238E27FC236}">
              <a16:creationId xmlns:a16="http://schemas.microsoft.com/office/drawing/2014/main" id="{BD917172-B48B-4282-8F54-3486309F487E}"/>
            </a:ext>
          </a:extLst>
        </xdr:cNvPr>
        <xdr:cNvPicPr>
          <a:picLocks noChangeAspect="1"/>
        </xdr:cNvPicPr>
      </xdr:nvPicPr>
      <xdr:blipFill rotWithShape="1">
        <a:blip xmlns:r="http://schemas.openxmlformats.org/officeDocument/2006/relationships" r:embed="rId61" cstate="email">
          <a:extLst>
            <a:ext uri="{28A0092B-C50C-407E-A947-70E740481C1C}">
              <a14:useLocalDpi xmlns:a14="http://schemas.microsoft.com/office/drawing/2010/main"/>
            </a:ext>
          </a:extLst>
        </a:blip>
        <a:srcRect/>
        <a:stretch/>
      </xdr:blipFill>
      <xdr:spPr>
        <a:xfrm>
          <a:off x="4781712" y="17149930"/>
          <a:ext cx="360000" cy="362478"/>
        </a:xfrm>
        <a:prstGeom prst="ellipse">
          <a:avLst/>
        </a:prstGeom>
      </xdr:spPr>
    </xdr:pic>
    <xdr:clientData/>
  </xdr:twoCellAnchor>
  <xdr:twoCellAnchor editAs="oneCell">
    <xdr:from>
      <xdr:col>32</xdr:col>
      <xdr:colOff>475292</xdr:colOff>
      <xdr:row>120</xdr:row>
      <xdr:rowOff>115869</xdr:rowOff>
    </xdr:from>
    <xdr:to>
      <xdr:col>33</xdr:col>
      <xdr:colOff>225692</xdr:colOff>
      <xdr:row>122</xdr:row>
      <xdr:rowOff>56769</xdr:rowOff>
    </xdr:to>
    <xdr:pic>
      <xdr:nvPicPr>
        <xdr:cNvPr id="241" name="Obraz 240">
          <a:extLst>
            <a:ext uri="{FF2B5EF4-FFF2-40B4-BE49-F238E27FC236}">
              <a16:creationId xmlns:a16="http://schemas.microsoft.com/office/drawing/2014/main" id="{796A30B1-80F7-44B1-AF87-956C43F458FF}"/>
            </a:ext>
          </a:extLst>
        </xdr:cNvPr>
        <xdr:cNvPicPr>
          <a:picLocks/>
        </xdr:cNvPicPr>
      </xdr:nvPicPr>
      <xdr:blipFill rotWithShape="1">
        <a:blip xmlns:r="http://schemas.openxmlformats.org/officeDocument/2006/relationships" r:embed="rId62" cstate="email">
          <a:extLst>
            <a:ext uri="{28A0092B-C50C-407E-A947-70E740481C1C}">
              <a14:useLocalDpi xmlns:a14="http://schemas.microsoft.com/office/drawing/2010/main"/>
            </a:ext>
          </a:extLst>
        </a:blip>
        <a:srcRect/>
        <a:stretch/>
      </xdr:blipFill>
      <xdr:spPr>
        <a:xfrm>
          <a:off x="6609392" y="17154189"/>
          <a:ext cx="360000" cy="360000"/>
        </a:xfrm>
        <a:prstGeom prst="ellipse">
          <a:avLst/>
        </a:prstGeom>
      </xdr:spPr>
    </xdr:pic>
    <xdr:clientData/>
  </xdr:twoCellAnchor>
  <xdr:twoCellAnchor editAs="oneCell">
    <xdr:from>
      <xdr:col>6</xdr:col>
      <xdr:colOff>22411</xdr:colOff>
      <xdr:row>129</xdr:row>
      <xdr:rowOff>89647</xdr:rowOff>
    </xdr:from>
    <xdr:to>
      <xdr:col>22</xdr:col>
      <xdr:colOff>15551</xdr:colOff>
      <xdr:row>134</xdr:row>
      <xdr:rowOff>130662</xdr:rowOff>
    </xdr:to>
    <xdr:pic>
      <xdr:nvPicPr>
        <xdr:cNvPr id="243" name="Grafika 242" descr="Pudełko kontur">
          <a:extLst>
            <a:ext uri="{FF2B5EF4-FFF2-40B4-BE49-F238E27FC236}">
              <a16:creationId xmlns:a16="http://schemas.microsoft.com/office/drawing/2014/main" id="{F86D49C1-642A-4B53-AC64-CBC8B083DCFD}"/>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 uri="{96DAC541-7B7A-43D3-8B79-37D633B846F1}">
              <asvg:svgBlip xmlns:asvg="http://schemas.microsoft.com/office/drawing/2016/SVG/main" r:embed="rId64"/>
            </a:ext>
          </a:extLst>
        </a:blip>
        <a:stretch>
          <a:fillRect/>
        </a:stretch>
      </xdr:blipFill>
      <xdr:spPr>
        <a:xfrm>
          <a:off x="448235" y="18579353"/>
          <a:ext cx="525307" cy="530487"/>
        </a:xfrm>
        <a:prstGeom prst="rect">
          <a:avLst/>
        </a:prstGeom>
      </xdr:spPr>
    </xdr:pic>
    <xdr:clientData/>
  </xdr:twoCellAnchor>
  <xdr:twoCellAnchor editAs="oneCell">
    <xdr:from>
      <xdr:col>36</xdr:col>
      <xdr:colOff>639205</xdr:colOff>
      <xdr:row>153</xdr:row>
      <xdr:rowOff>30086</xdr:rowOff>
    </xdr:from>
    <xdr:to>
      <xdr:col>37</xdr:col>
      <xdr:colOff>398193</xdr:colOff>
      <xdr:row>155</xdr:row>
      <xdr:rowOff>174068</xdr:rowOff>
    </xdr:to>
    <xdr:pic>
      <xdr:nvPicPr>
        <xdr:cNvPr id="245" name="Google Shape;1277;p272">
          <a:extLst>
            <a:ext uri="{FF2B5EF4-FFF2-40B4-BE49-F238E27FC236}">
              <a16:creationId xmlns:a16="http://schemas.microsoft.com/office/drawing/2014/main" id="{ED5607CF-D456-4CEB-B578-22EE43508AA5}"/>
            </a:ext>
          </a:extLst>
        </xdr:cNvPr>
        <xdr:cNvPicPr preferRelativeResize="0">
          <a:picLocks noChangeAspect="1"/>
        </xdr:cNvPicPr>
      </xdr:nvPicPr>
      <xdr:blipFill>
        <a:blip xmlns:r="http://schemas.openxmlformats.org/officeDocument/2006/relationships" r:embed="rId65" cstate="email">
          <a:alphaModFix/>
          <a:extLst>
            <a:ext uri="{28A0092B-C50C-407E-A947-70E740481C1C}">
              <a14:useLocalDpi xmlns:a14="http://schemas.microsoft.com/office/drawing/2010/main"/>
            </a:ext>
          </a:extLst>
        </a:blip>
        <a:stretch>
          <a:fillRect/>
        </a:stretch>
      </xdr:blipFill>
      <xdr:spPr>
        <a:xfrm>
          <a:off x="9389067" y="22798120"/>
          <a:ext cx="444263" cy="521370"/>
        </a:xfrm>
        <a:prstGeom prst="rect">
          <a:avLst/>
        </a:prstGeom>
        <a:noFill/>
        <a:ln>
          <a:noFill/>
        </a:ln>
      </xdr:spPr>
    </xdr:pic>
    <xdr:clientData/>
  </xdr:twoCellAnchor>
  <xdr:twoCellAnchor editAs="oneCell">
    <xdr:from>
      <xdr:col>36</xdr:col>
      <xdr:colOff>555759</xdr:colOff>
      <xdr:row>158</xdr:row>
      <xdr:rowOff>80493</xdr:rowOff>
    </xdr:from>
    <xdr:to>
      <xdr:col>37</xdr:col>
      <xdr:colOff>384213</xdr:colOff>
      <xdr:row>160</xdr:row>
      <xdr:rowOff>95732</xdr:rowOff>
    </xdr:to>
    <xdr:pic>
      <xdr:nvPicPr>
        <xdr:cNvPr id="246" name="Obraz 245">
          <a:extLst>
            <a:ext uri="{FF2B5EF4-FFF2-40B4-BE49-F238E27FC236}">
              <a16:creationId xmlns:a16="http://schemas.microsoft.com/office/drawing/2014/main" id="{6CD0B07B-0545-4E02-B6F5-614EF7FEDEB2}"/>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9223509" y="23599916"/>
          <a:ext cx="495204" cy="372060"/>
        </a:xfrm>
        <a:prstGeom prst="rect">
          <a:avLst/>
        </a:prstGeom>
      </xdr:spPr>
    </xdr:pic>
    <xdr:clientData/>
  </xdr:twoCellAnchor>
  <xdr:twoCellAnchor>
    <xdr:from>
      <xdr:col>35</xdr:col>
      <xdr:colOff>133350</xdr:colOff>
      <xdr:row>159</xdr:row>
      <xdr:rowOff>9586</xdr:rowOff>
    </xdr:from>
    <xdr:to>
      <xdr:col>36</xdr:col>
      <xdr:colOff>287327</xdr:colOff>
      <xdr:row>159</xdr:row>
      <xdr:rowOff>9586</xdr:rowOff>
    </xdr:to>
    <xdr:cxnSp macro="">
      <xdr:nvCxnSpPr>
        <xdr:cNvPr id="261" name="Łącznik prosty 260">
          <a:extLst>
            <a:ext uri="{FF2B5EF4-FFF2-40B4-BE49-F238E27FC236}">
              <a16:creationId xmlns:a16="http://schemas.microsoft.com/office/drawing/2014/main" id="{CCD567D4-2477-4CE5-B33C-F1323185C0D2}"/>
            </a:ext>
          </a:extLst>
        </xdr:cNvPr>
        <xdr:cNvCxnSpPr/>
      </xdr:nvCxnSpPr>
      <xdr:spPr>
        <a:xfrm>
          <a:off x="8192965" y="23712182"/>
          <a:ext cx="762112" cy="0"/>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36</xdr:col>
      <xdr:colOff>284014</xdr:colOff>
      <xdr:row>157</xdr:row>
      <xdr:rowOff>65349</xdr:rowOff>
    </xdr:from>
    <xdr:to>
      <xdr:col>36</xdr:col>
      <xdr:colOff>593112</xdr:colOff>
      <xdr:row>159</xdr:row>
      <xdr:rowOff>131180</xdr:rowOff>
    </xdr:to>
    <xdr:pic>
      <xdr:nvPicPr>
        <xdr:cNvPr id="264" name="Obraz 263" descr="Viessmann Vitocal 200-S Pompa ciepła powietrze/woda o mocy 7,5 kW,  przepływowy podgrzewacz c.w.u.,">
          <a:extLst>
            <a:ext uri="{FF2B5EF4-FFF2-40B4-BE49-F238E27FC236}">
              <a16:creationId xmlns:a16="http://schemas.microsoft.com/office/drawing/2014/main" id="{7A153B1A-B988-4660-9D71-5CA8FCB13129}"/>
            </a:ext>
          </a:extLst>
        </xdr:cNvPr>
        <xdr:cNvPicPr>
          <a:picLocks noChangeAspect="1" noChangeArrowheads="1"/>
        </xdr:cNvPicPr>
      </xdr:nvPicPr>
      <xdr:blipFill rotWithShape="1">
        <a:blip xmlns:r="http://schemas.openxmlformats.org/officeDocument/2006/relationships" r:embed="rId67" cstate="email">
          <a:extLst>
            <a:ext uri="{28A0092B-C50C-407E-A947-70E740481C1C}">
              <a14:useLocalDpi xmlns:a14="http://schemas.microsoft.com/office/drawing/2010/main"/>
            </a:ext>
          </a:extLst>
        </a:blip>
        <a:srcRect/>
        <a:stretch/>
      </xdr:blipFill>
      <xdr:spPr bwMode="auto">
        <a:xfrm>
          <a:off x="8951764" y="23401599"/>
          <a:ext cx="309098" cy="4397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36</xdr:col>
      <xdr:colOff>610914</xdr:colOff>
      <xdr:row>157</xdr:row>
      <xdr:rowOff>172642</xdr:rowOff>
    </xdr:from>
    <xdr:to>
      <xdr:col>37</xdr:col>
      <xdr:colOff>554181</xdr:colOff>
      <xdr:row>157</xdr:row>
      <xdr:rowOff>172642</xdr:rowOff>
    </xdr:to>
    <xdr:cxnSp macro="">
      <xdr:nvCxnSpPr>
        <xdr:cNvPr id="269" name="Łącznik prosty 268">
          <a:extLst>
            <a:ext uri="{FF2B5EF4-FFF2-40B4-BE49-F238E27FC236}">
              <a16:creationId xmlns:a16="http://schemas.microsoft.com/office/drawing/2014/main" id="{AC55DCFA-DA03-4E77-AE17-6A382039370B}"/>
            </a:ext>
          </a:extLst>
        </xdr:cNvPr>
        <xdr:cNvCxnSpPr/>
      </xdr:nvCxnSpPr>
      <xdr:spPr>
        <a:xfrm>
          <a:off x="9278664" y="23508892"/>
          <a:ext cx="610017" cy="0"/>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38</xdr:col>
      <xdr:colOff>528452</xdr:colOff>
      <xdr:row>158</xdr:row>
      <xdr:rowOff>70274</xdr:rowOff>
    </xdr:from>
    <xdr:to>
      <xdr:col>39</xdr:col>
      <xdr:colOff>95925</xdr:colOff>
      <xdr:row>160</xdr:row>
      <xdr:rowOff>155294</xdr:rowOff>
    </xdr:to>
    <xdr:pic>
      <xdr:nvPicPr>
        <xdr:cNvPr id="272" name="Obraz 271" descr="Aplikacja ViCare | Viessmann">
          <a:extLst>
            <a:ext uri="{FF2B5EF4-FFF2-40B4-BE49-F238E27FC236}">
              <a16:creationId xmlns:a16="http://schemas.microsoft.com/office/drawing/2014/main" id="{3F2CCD3F-5589-4C75-BDC0-F4CE98F39867}"/>
            </a:ext>
          </a:extLst>
        </xdr:cNvPr>
        <xdr:cNvPicPr>
          <a:picLocks noChangeAspect="1" noChangeArrowheads="1"/>
        </xdr:cNvPicPr>
      </xdr:nvPicPr>
      <xdr:blipFill rotWithShape="1">
        <a:blip xmlns:r="http://schemas.openxmlformats.org/officeDocument/2006/relationships" r:embed="rId68" cstate="email">
          <a:extLst>
            <a:ext uri="{28A0092B-C50C-407E-A947-70E740481C1C}">
              <a14:useLocalDpi xmlns:a14="http://schemas.microsoft.com/office/drawing/2010/main"/>
            </a:ext>
          </a:extLst>
        </a:blip>
        <a:srcRect/>
        <a:stretch/>
      </xdr:blipFill>
      <xdr:spPr bwMode="auto">
        <a:xfrm>
          <a:off x="10486407" y="23449819"/>
          <a:ext cx="238033" cy="4487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39</xdr:col>
      <xdr:colOff>23899</xdr:colOff>
      <xdr:row>158</xdr:row>
      <xdr:rowOff>122528</xdr:rowOff>
    </xdr:from>
    <xdr:to>
      <xdr:col>43</xdr:col>
      <xdr:colOff>16280</xdr:colOff>
      <xdr:row>159</xdr:row>
      <xdr:rowOff>171290</xdr:rowOff>
    </xdr:to>
    <xdr:pic>
      <xdr:nvPicPr>
        <xdr:cNvPr id="197" name="Obraz 196" descr="Aplikacja ViCare w App Store">
          <a:extLst>
            <a:ext uri="{FF2B5EF4-FFF2-40B4-BE49-F238E27FC236}">
              <a16:creationId xmlns:a16="http://schemas.microsoft.com/office/drawing/2014/main" id="{56692204-C401-4A74-BAE2-33132419FD89}"/>
            </a:ext>
          </a:extLst>
        </xdr:cNvPr>
        <xdr:cNvPicPr>
          <a:picLocks noChangeAspect="1" noChangeArrowheads="1"/>
        </xdr:cNvPicPr>
      </xdr:nvPicPr>
      <xdr:blipFill rotWithShape="1">
        <a:blip xmlns:r="http://schemas.openxmlformats.org/officeDocument/2006/relationships" r:embed="rId69" cstate="email">
          <a:extLst>
            <a:ext uri="{28A0092B-C50C-407E-A947-70E740481C1C}">
              <a14:useLocalDpi xmlns:a14="http://schemas.microsoft.com/office/drawing/2010/main"/>
            </a:ext>
          </a:extLst>
        </a:blip>
        <a:srcRect l="32191" t="13856" r="32151" b="13748"/>
        <a:stretch/>
      </xdr:blipFill>
      <xdr:spPr bwMode="auto">
        <a:xfrm>
          <a:off x="10648604" y="23502073"/>
          <a:ext cx="232064" cy="2401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39</xdr:col>
      <xdr:colOff>69322</xdr:colOff>
      <xdr:row>152</xdr:row>
      <xdr:rowOff>118990</xdr:rowOff>
    </xdr:from>
    <xdr:to>
      <xdr:col>44</xdr:col>
      <xdr:colOff>618</xdr:colOff>
      <xdr:row>153</xdr:row>
      <xdr:rowOff>155999</xdr:rowOff>
    </xdr:to>
    <xdr:pic>
      <xdr:nvPicPr>
        <xdr:cNvPr id="273" name="Obraz 272" descr="Aplikacja ViCare w App Store">
          <a:extLst>
            <a:ext uri="{FF2B5EF4-FFF2-40B4-BE49-F238E27FC236}">
              <a16:creationId xmlns:a16="http://schemas.microsoft.com/office/drawing/2014/main" id="{7F0B0AE3-AC8F-4BAB-98DD-3083A55CFE88}"/>
            </a:ext>
          </a:extLst>
        </xdr:cNvPr>
        <xdr:cNvPicPr>
          <a:picLocks noChangeAspect="1" noChangeArrowheads="1"/>
        </xdr:cNvPicPr>
      </xdr:nvPicPr>
      <xdr:blipFill rotWithShape="1">
        <a:blip xmlns:r="http://schemas.openxmlformats.org/officeDocument/2006/relationships" r:embed="rId70" cstate="email">
          <a:extLst>
            <a:ext uri="{28A0092B-C50C-407E-A947-70E740481C1C}">
              <a14:useLocalDpi xmlns:a14="http://schemas.microsoft.com/office/drawing/2010/main"/>
            </a:ext>
          </a:extLst>
        </a:blip>
        <a:srcRect l="32191" t="13856" r="32151" b="13748"/>
        <a:stretch/>
      </xdr:blipFill>
      <xdr:spPr bwMode="auto">
        <a:xfrm>
          <a:off x="10694027" y="22407490"/>
          <a:ext cx="216427" cy="2188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574243</xdr:colOff>
      <xdr:row>157</xdr:row>
      <xdr:rowOff>52559</xdr:rowOff>
    </xdr:from>
    <xdr:to>
      <xdr:col>38</xdr:col>
      <xdr:colOff>131500</xdr:colOff>
      <xdr:row>158</xdr:row>
      <xdr:rowOff>135835</xdr:rowOff>
    </xdr:to>
    <xdr:pic>
      <xdr:nvPicPr>
        <xdr:cNvPr id="283" name="Obraz 282">
          <a:extLst>
            <a:ext uri="{FF2B5EF4-FFF2-40B4-BE49-F238E27FC236}">
              <a16:creationId xmlns:a16="http://schemas.microsoft.com/office/drawing/2014/main" id="{F6B75361-072C-40C3-A515-8D05F6983EB1}"/>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9908743" y="23388809"/>
          <a:ext cx="224007" cy="258829"/>
        </a:xfrm>
        <a:prstGeom prst="rect">
          <a:avLst/>
        </a:prstGeom>
      </xdr:spPr>
    </xdr:pic>
    <xdr:clientData/>
  </xdr:twoCellAnchor>
  <xdr:twoCellAnchor editAs="oneCell">
    <xdr:from>
      <xdr:col>38</xdr:col>
      <xdr:colOff>97074</xdr:colOff>
      <xdr:row>157</xdr:row>
      <xdr:rowOff>48616</xdr:rowOff>
    </xdr:from>
    <xdr:to>
      <xdr:col>38</xdr:col>
      <xdr:colOff>358331</xdr:colOff>
      <xdr:row>158</xdr:row>
      <xdr:rowOff>134884</xdr:rowOff>
    </xdr:to>
    <xdr:pic>
      <xdr:nvPicPr>
        <xdr:cNvPr id="282" name="Grafika 281" descr="Bezprzewodowe kontur">
          <a:extLst>
            <a:ext uri="{FF2B5EF4-FFF2-40B4-BE49-F238E27FC236}">
              <a16:creationId xmlns:a16="http://schemas.microsoft.com/office/drawing/2014/main" id="{7E84F288-BB3B-4889-A609-349581586B7B}"/>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 uri="{96DAC541-7B7A-43D3-8B79-37D633B846F1}">
              <asvg:svgBlip xmlns:asvg="http://schemas.microsoft.com/office/drawing/2016/SVG/main" r:embed="rId73"/>
            </a:ext>
          </a:extLst>
        </a:blip>
        <a:stretch>
          <a:fillRect/>
        </a:stretch>
      </xdr:blipFill>
      <xdr:spPr>
        <a:xfrm rot="8188822">
          <a:off x="10098324" y="23384866"/>
          <a:ext cx="261257" cy="261821"/>
        </a:xfrm>
        <a:prstGeom prst="rect">
          <a:avLst/>
        </a:prstGeom>
      </xdr:spPr>
    </xdr:pic>
    <xdr:clientData/>
  </xdr:twoCellAnchor>
  <xdr:twoCellAnchor editAs="oneCell">
    <xdr:from>
      <xdr:col>36</xdr:col>
      <xdr:colOff>290140</xdr:colOff>
      <xdr:row>152</xdr:row>
      <xdr:rowOff>2546</xdr:rowOff>
    </xdr:from>
    <xdr:to>
      <xdr:col>36</xdr:col>
      <xdr:colOff>630306</xdr:colOff>
      <xdr:row>154</xdr:row>
      <xdr:rowOff>113232</xdr:rowOff>
    </xdr:to>
    <xdr:pic>
      <xdr:nvPicPr>
        <xdr:cNvPr id="285" name="Obraz 284">
          <a:extLst>
            <a:ext uri="{FF2B5EF4-FFF2-40B4-BE49-F238E27FC236}">
              <a16:creationId xmlns:a16="http://schemas.microsoft.com/office/drawing/2014/main" id="{D3BFD05C-FC73-48C3-B408-644B7D12C913}"/>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9102836" y="22324176"/>
          <a:ext cx="324926" cy="475122"/>
        </a:xfrm>
        <a:prstGeom prst="rect">
          <a:avLst/>
        </a:prstGeom>
      </xdr:spPr>
    </xdr:pic>
    <xdr:clientData/>
  </xdr:twoCellAnchor>
  <xdr:twoCellAnchor editAs="oneCell">
    <xdr:from>
      <xdr:col>37</xdr:col>
      <xdr:colOff>18113</xdr:colOff>
      <xdr:row>151</xdr:row>
      <xdr:rowOff>127624</xdr:rowOff>
    </xdr:from>
    <xdr:to>
      <xdr:col>37</xdr:col>
      <xdr:colOff>248889</xdr:colOff>
      <xdr:row>152</xdr:row>
      <xdr:rowOff>172305</xdr:rowOff>
    </xdr:to>
    <xdr:pic>
      <xdr:nvPicPr>
        <xdr:cNvPr id="284" name="Grafika 283" descr="Bezprzewodowe kontur">
          <a:extLst>
            <a:ext uri="{FF2B5EF4-FFF2-40B4-BE49-F238E27FC236}">
              <a16:creationId xmlns:a16="http://schemas.microsoft.com/office/drawing/2014/main" id="{AB34B878-A616-43B2-B1E8-6325C8020F8D}"/>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 uri="{96DAC541-7B7A-43D3-8B79-37D633B846F1}">
              <asvg:svgBlip xmlns:asvg="http://schemas.microsoft.com/office/drawing/2016/SVG/main" r:embed="rId73"/>
            </a:ext>
          </a:extLst>
        </a:blip>
        <a:stretch>
          <a:fillRect/>
        </a:stretch>
      </xdr:blipFill>
      <xdr:spPr>
        <a:xfrm rot="8188822">
          <a:off x="9309318" y="22234283"/>
          <a:ext cx="234586" cy="222712"/>
        </a:xfrm>
        <a:prstGeom prst="rect">
          <a:avLst/>
        </a:prstGeom>
      </xdr:spPr>
    </xdr:pic>
    <xdr:clientData/>
  </xdr:twoCellAnchor>
  <xdr:twoCellAnchor editAs="oneCell">
    <xdr:from>
      <xdr:col>33</xdr:col>
      <xdr:colOff>164765</xdr:colOff>
      <xdr:row>151</xdr:row>
      <xdr:rowOff>36853</xdr:rowOff>
    </xdr:from>
    <xdr:to>
      <xdr:col>33</xdr:col>
      <xdr:colOff>473523</xdr:colOff>
      <xdr:row>153</xdr:row>
      <xdr:rowOff>170359</xdr:rowOff>
    </xdr:to>
    <xdr:pic>
      <xdr:nvPicPr>
        <xdr:cNvPr id="295" name="Obraz 294">
          <a:extLst>
            <a:ext uri="{FF2B5EF4-FFF2-40B4-BE49-F238E27FC236}">
              <a16:creationId xmlns:a16="http://schemas.microsoft.com/office/drawing/2014/main" id="{4BE61867-19CB-4BB9-A596-66E00594D2C8}"/>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6930799" y="22437025"/>
          <a:ext cx="304948" cy="514704"/>
        </a:xfrm>
        <a:prstGeom prst="rect">
          <a:avLst/>
        </a:prstGeom>
      </xdr:spPr>
    </xdr:pic>
    <xdr:clientData/>
  </xdr:twoCellAnchor>
  <xdr:twoCellAnchor editAs="oneCell">
    <xdr:from>
      <xdr:col>33</xdr:col>
      <xdr:colOff>138980</xdr:colOff>
      <xdr:row>154</xdr:row>
      <xdr:rowOff>19018</xdr:rowOff>
    </xdr:from>
    <xdr:to>
      <xdr:col>33</xdr:col>
      <xdr:colOff>475800</xdr:colOff>
      <xdr:row>156</xdr:row>
      <xdr:rowOff>55519</xdr:rowOff>
    </xdr:to>
    <xdr:pic>
      <xdr:nvPicPr>
        <xdr:cNvPr id="299" name="Obraz 298">
          <a:extLst>
            <a:ext uri="{FF2B5EF4-FFF2-40B4-BE49-F238E27FC236}">
              <a16:creationId xmlns:a16="http://schemas.microsoft.com/office/drawing/2014/main" id="{A6E9C587-9CEE-41DC-9727-1C8E4A988DE7}"/>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6905014" y="22970984"/>
          <a:ext cx="333010" cy="408172"/>
        </a:xfrm>
        <a:prstGeom prst="rect">
          <a:avLst/>
        </a:prstGeom>
      </xdr:spPr>
    </xdr:pic>
    <xdr:clientData/>
  </xdr:twoCellAnchor>
  <xdr:twoCellAnchor>
    <xdr:from>
      <xdr:col>33</xdr:col>
      <xdr:colOff>550001</xdr:colOff>
      <xdr:row>152</xdr:row>
      <xdr:rowOff>136071</xdr:rowOff>
    </xdr:from>
    <xdr:to>
      <xdr:col>36</xdr:col>
      <xdr:colOff>242454</xdr:colOff>
      <xdr:row>152</xdr:row>
      <xdr:rowOff>136071</xdr:rowOff>
    </xdr:to>
    <xdr:cxnSp macro="">
      <xdr:nvCxnSpPr>
        <xdr:cNvPr id="303" name="Łącznik prosty 302">
          <a:extLst>
            <a:ext uri="{FF2B5EF4-FFF2-40B4-BE49-F238E27FC236}">
              <a16:creationId xmlns:a16="http://schemas.microsoft.com/office/drawing/2014/main" id="{2E3FDA2E-F265-4B60-9D00-69A597BB07A8}"/>
            </a:ext>
          </a:extLst>
        </xdr:cNvPr>
        <xdr:cNvCxnSpPr/>
      </xdr:nvCxnSpPr>
      <xdr:spPr>
        <a:xfrm>
          <a:off x="7200183" y="22424571"/>
          <a:ext cx="1666726" cy="0"/>
        </a:xfrm>
        <a:prstGeom prst="line">
          <a:avLst/>
        </a:prstGeom>
        <a:ln>
          <a:solidFill>
            <a:srgbClr val="EF4423"/>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492673</xdr:colOff>
      <xdr:row>154</xdr:row>
      <xdr:rowOff>172944</xdr:rowOff>
    </xdr:from>
    <xdr:to>
      <xdr:col>34</xdr:col>
      <xdr:colOff>472966</xdr:colOff>
      <xdr:row>154</xdr:row>
      <xdr:rowOff>172944</xdr:rowOff>
    </xdr:to>
    <xdr:cxnSp macro="">
      <xdr:nvCxnSpPr>
        <xdr:cNvPr id="306" name="Łącznik prosty 305">
          <a:extLst>
            <a:ext uri="{FF2B5EF4-FFF2-40B4-BE49-F238E27FC236}">
              <a16:creationId xmlns:a16="http://schemas.microsoft.com/office/drawing/2014/main" id="{FB86DA36-2332-4623-AC3F-3ED02B865F21}"/>
            </a:ext>
          </a:extLst>
        </xdr:cNvPr>
        <xdr:cNvCxnSpPr/>
      </xdr:nvCxnSpPr>
      <xdr:spPr>
        <a:xfrm>
          <a:off x="7258707" y="23124910"/>
          <a:ext cx="742293" cy="0"/>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34</xdr:col>
      <xdr:colOff>475177</xdr:colOff>
      <xdr:row>152</xdr:row>
      <xdr:rowOff>3314</xdr:rowOff>
    </xdr:from>
    <xdr:to>
      <xdr:col>35</xdr:col>
      <xdr:colOff>323449</xdr:colOff>
      <xdr:row>155</xdr:row>
      <xdr:rowOff>171967</xdr:rowOff>
    </xdr:to>
    <xdr:pic>
      <xdr:nvPicPr>
        <xdr:cNvPr id="286" name="Obraz 285">
          <a:extLst>
            <a:ext uri="{FF2B5EF4-FFF2-40B4-BE49-F238E27FC236}">
              <a16:creationId xmlns:a16="http://schemas.microsoft.com/office/drawing/2014/main" id="{3A554836-A89A-47C0-885C-1F2F960B2E8B}"/>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7859853" y="22022873"/>
          <a:ext cx="468630" cy="698916"/>
        </a:xfrm>
        <a:prstGeom prst="rect">
          <a:avLst/>
        </a:prstGeom>
        <a:effectLst>
          <a:outerShdw blurRad="63500" sx="102000" sy="102000" algn="ctr" rotWithShape="0">
            <a:prstClr val="black">
              <a:alpha val="40000"/>
            </a:prstClr>
          </a:outerShdw>
        </a:effectLst>
      </xdr:spPr>
    </xdr:pic>
    <xdr:clientData/>
  </xdr:twoCellAnchor>
  <xdr:twoCellAnchor editAs="oneCell">
    <xdr:from>
      <xdr:col>35</xdr:col>
      <xdr:colOff>309217</xdr:colOff>
      <xdr:row>151</xdr:row>
      <xdr:rowOff>68774</xdr:rowOff>
    </xdr:from>
    <xdr:to>
      <xdr:col>35</xdr:col>
      <xdr:colOff>551754</xdr:colOff>
      <xdr:row>152</xdr:row>
      <xdr:rowOff>94782</xdr:rowOff>
    </xdr:to>
    <xdr:pic>
      <xdr:nvPicPr>
        <xdr:cNvPr id="317" name="Grafika 316" descr="Bezprzewodowe kontur">
          <a:extLst>
            <a:ext uri="{FF2B5EF4-FFF2-40B4-BE49-F238E27FC236}">
              <a16:creationId xmlns:a16="http://schemas.microsoft.com/office/drawing/2014/main" id="{62EB3BBE-464F-4B76-A0DF-90897FB3BC06}"/>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 uri="{96DAC541-7B7A-43D3-8B79-37D633B846F1}">
              <asvg:svgBlip xmlns:asvg="http://schemas.microsoft.com/office/drawing/2016/SVG/main" r:embed="rId73"/>
            </a:ext>
          </a:extLst>
        </a:blip>
        <a:stretch>
          <a:fillRect/>
        </a:stretch>
      </xdr:blipFill>
      <xdr:spPr>
        <a:xfrm rot="8188822">
          <a:off x="8509000" y="22208187"/>
          <a:ext cx="242537" cy="215845"/>
        </a:xfrm>
        <a:prstGeom prst="rect">
          <a:avLst/>
        </a:prstGeom>
      </xdr:spPr>
    </xdr:pic>
    <xdr:clientData/>
  </xdr:twoCellAnchor>
  <xdr:twoCellAnchor>
    <xdr:from>
      <xdr:col>35</xdr:col>
      <xdr:colOff>331434</xdr:colOff>
      <xdr:row>153</xdr:row>
      <xdr:rowOff>136928</xdr:rowOff>
    </xdr:from>
    <xdr:to>
      <xdr:col>36</xdr:col>
      <xdr:colOff>244359</xdr:colOff>
      <xdr:row>153</xdr:row>
      <xdr:rowOff>136928</xdr:rowOff>
    </xdr:to>
    <xdr:cxnSp macro="">
      <xdr:nvCxnSpPr>
        <xdr:cNvPr id="325" name="Łącznik prosty 324">
          <a:extLst>
            <a:ext uri="{FF2B5EF4-FFF2-40B4-BE49-F238E27FC236}">
              <a16:creationId xmlns:a16="http://schemas.microsoft.com/office/drawing/2014/main" id="{D6EE47C7-207D-408B-9C10-72F7820EC170}"/>
            </a:ext>
          </a:extLst>
        </xdr:cNvPr>
        <xdr:cNvCxnSpPr/>
      </xdr:nvCxnSpPr>
      <xdr:spPr>
        <a:xfrm>
          <a:off x="8349752" y="22607269"/>
          <a:ext cx="519062" cy="0"/>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28</xdr:col>
      <xdr:colOff>239027</xdr:colOff>
      <xdr:row>180</xdr:row>
      <xdr:rowOff>79614</xdr:rowOff>
    </xdr:from>
    <xdr:ext cx="170704" cy="159929"/>
    <xdr:pic macro="[0]!kanalDN63_add_">
      <xdr:nvPicPr>
        <xdr:cNvPr id="335" name="Grafika 334" descr="Odtwórz z wypełnieniem pełnym">
          <a:extLst>
            <a:ext uri="{FF2B5EF4-FFF2-40B4-BE49-F238E27FC236}">
              <a16:creationId xmlns:a16="http://schemas.microsoft.com/office/drawing/2014/main" id="{7CB8CEE4-867D-4D36-AA27-5B24B756BE19}"/>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 uri="{96DAC541-7B7A-43D3-8B79-37D633B846F1}">
              <asvg:svgBlip xmlns:asvg="http://schemas.microsoft.com/office/drawing/2016/SVG/main" r:embed="rId33"/>
            </a:ext>
          </a:extLst>
        </a:blip>
        <a:stretch>
          <a:fillRect/>
        </a:stretch>
      </xdr:blipFill>
      <xdr:spPr>
        <a:xfrm rot="16200000">
          <a:off x="4654489" y="27020452"/>
          <a:ext cx="159929" cy="170704"/>
        </a:xfrm>
        <a:prstGeom prst="rect">
          <a:avLst/>
        </a:prstGeom>
      </xdr:spPr>
    </xdr:pic>
    <xdr:clientData/>
  </xdr:oneCellAnchor>
  <xdr:oneCellAnchor>
    <xdr:from>
      <xdr:col>28</xdr:col>
      <xdr:colOff>235979</xdr:colOff>
      <xdr:row>182</xdr:row>
      <xdr:rowOff>133023</xdr:rowOff>
    </xdr:from>
    <xdr:ext cx="161179" cy="148202"/>
    <xdr:pic macro="[0]!kanalDN63_err">
      <xdr:nvPicPr>
        <xdr:cNvPr id="336" name="Grafika 335" descr="Odtwórz z wypełnieniem pełnym">
          <a:extLst>
            <a:ext uri="{FF2B5EF4-FFF2-40B4-BE49-F238E27FC236}">
              <a16:creationId xmlns:a16="http://schemas.microsoft.com/office/drawing/2014/main" id="{7FD1A4A8-2DC2-46AF-A63A-C7776E629AB4}"/>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 uri="{96DAC541-7B7A-43D3-8B79-37D633B846F1}">
              <asvg:svgBlip xmlns:asvg="http://schemas.microsoft.com/office/drawing/2016/SVG/main" r:embed="rId35"/>
            </a:ext>
          </a:extLst>
        </a:blip>
        <a:stretch>
          <a:fillRect/>
        </a:stretch>
      </xdr:blipFill>
      <xdr:spPr>
        <a:xfrm rot="5400000">
          <a:off x="4652543" y="27425184"/>
          <a:ext cx="148202" cy="161179"/>
        </a:xfrm>
        <a:prstGeom prst="rect">
          <a:avLst/>
        </a:prstGeom>
      </xdr:spPr>
    </xdr:pic>
    <xdr:clientData/>
  </xdr:oneCellAnchor>
  <xdr:oneCellAnchor>
    <xdr:from>
      <xdr:col>37</xdr:col>
      <xdr:colOff>256172</xdr:colOff>
      <xdr:row>189</xdr:row>
      <xdr:rowOff>73900</xdr:rowOff>
    </xdr:from>
    <xdr:ext cx="170704" cy="159929"/>
    <xdr:pic macro="[0]!kolano90_add_">
      <xdr:nvPicPr>
        <xdr:cNvPr id="337" name="Grafika 336" descr="Odtwórz z wypełnieniem pełnym">
          <a:extLst>
            <a:ext uri="{FF2B5EF4-FFF2-40B4-BE49-F238E27FC236}">
              <a16:creationId xmlns:a16="http://schemas.microsoft.com/office/drawing/2014/main" id="{4C9EAD2C-C03C-4958-BCCC-559365DCE11F}"/>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 uri="{96DAC541-7B7A-43D3-8B79-37D633B846F1}">
              <asvg:svgBlip xmlns:asvg="http://schemas.microsoft.com/office/drawing/2016/SVG/main" r:embed="rId33"/>
            </a:ext>
          </a:extLst>
        </a:blip>
        <a:stretch>
          <a:fillRect/>
        </a:stretch>
      </xdr:blipFill>
      <xdr:spPr>
        <a:xfrm rot="16200000">
          <a:off x="9643684" y="27014738"/>
          <a:ext cx="159929" cy="170704"/>
        </a:xfrm>
        <a:prstGeom prst="rect">
          <a:avLst/>
        </a:prstGeom>
      </xdr:spPr>
    </xdr:pic>
    <xdr:clientData/>
  </xdr:oneCellAnchor>
  <xdr:oneCellAnchor>
    <xdr:from>
      <xdr:col>37</xdr:col>
      <xdr:colOff>270269</xdr:colOff>
      <xdr:row>191</xdr:row>
      <xdr:rowOff>136836</xdr:rowOff>
    </xdr:from>
    <xdr:ext cx="161179" cy="148202"/>
    <xdr:pic macro="[0]!kolano90_err">
      <xdr:nvPicPr>
        <xdr:cNvPr id="338" name="Grafika 337" descr="Odtwórz z wypełnieniem pełnym">
          <a:extLst>
            <a:ext uri="{FF2B5EF4-FFF2-40B4-BE49-F238E27FC236}">
              <a16:creationId xmlns:a16="http://schemas.microsoft.com/office/drawing/2014/main" id="{32BEBD32-9C5C-4280-B4AC-9A8099942C25}"/>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 uri="{96DAC541-7B7A-43D3-8B79-37D633B846F1}">
              <asvg:svgBlip xmlns:asvg="http://schemas.microsoft.com/office/drawing/2016/SVG/main" r:embed="rId35"/>
            </a:ext>
          </a:extLst>
        </a:blip>
        <a:stretch>
          <a:fillRect/>
        </a:stretch>
      </xdr:blipFill>
      <xdr:spPr>
        <a:xfrm rot="5400000">
          <a:off x="9658883" y="27428997"/>
          <a:ext cx="148202" cy="161179"/>
        </a:xfrm>
        <a:prstGeom prst="rect">
          <a:avLst/>
        </a:prstGeom>
      </xdr:spPr>
    </xdr:pic>
    <xdr:clientData/>
  </xdr:oneCellAnchor>
  <xdr:twoCellAnchor>
    <xdr:from>
      <xdr:col>38</xdr:col>
      <xdr:colOff>0</xdr:colOff>
      <xdr:row>191</xdr:row>
      <xdr:rowOff>114300</xdr:rowOff>
    </xdr:from>
    <xdr:to>
      <xdr:col>38</xdr:col>
      <xdr:colOff>409575</xdr:colOff>
      <xdr:row>192</xdr:row>
      <xdr:rowOff>102234</xdr:rowOff>
    </xdr:to>
    <xdr:sp macro="[0]!kolano90_auto" textlink="">
      <xdr:nvSpPr>
        <xdr:cNvPr id="340" name="pole tekstowe 339">
          <a:extLst>
            <a:ext uri="{FF2B5EF4-FFF2-40B4-BE49-F238E27FC236}">
              <a16:creationId xmlns:a16="http://schemas.microsoft.com/office/drawing/2014/main" id="{6FCD0C1E-DE01-4758-83C2-7D2F43F00173}"/>
            </a:ext>
          </a:extLst>
        </xdr:cNvPr>
        <xdr:cNvSpPr txBox="1"/>
      </xdr:nvSpPr>
      <xdr:spPr>
        <a:xfrm>
          <a:off x="10048875" y="27412950"/>
          <a:ext cx="409575" cy="1593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i="1">
              <a:solidFill>
                <a:schemeClr val="accent2"/>
              </a:solidFill>
              <a:latin typeface="Roboto Condensed" panose="02000000000000000000" pitchFamily="2" charset="0"/>
              <a:ea typeface="Roboto Condensed" panose="02000000000000000000" pitchFamily="2" charset="0"/>
            </a:rPr>
            <a:t>Auto</a:t>
          </a:r>
          <a:endParaRPr lang="en-US" sz="1000" i="1">
            <a:solidFill>
              <a:schemeClr val="accent2"/>
            </a:solidFill>
            <a:latin typeface="Roboto Condensed" panose="02000000000000000000" pitchFamily="2" charset="0"/>
            <a:ea typeface="Roboto Condensed" panose="02000000000000000000" pitchFamily="2" charset="0"/>
          </a:endParaRPr>
        </a:p>
      </xdr:txBody>
    </xdr:sp>
    <xdr:clientData/>
  </xdr:twoCellAnchor>
  <xdr:twoCellAnchor>
    <xdr:from>
      <xdr:col>38</xdr:col>
      <xdr:colOff>0</xdr:colOff>
      <xdr:row>167</xdr:row>
      <xdr:rowOff>114300</xdr:rowOff>
    </xdr:from>
    <xdr:to>
      <xdr:col>38</xdr:col>
      <xdr:colOff>409575</xdr:colOff>
      <xdr:row>168</xdr:row>
      <xdr:rowOff>102234</xdr:rowOff>
    </xdr:to>
    <xdr:sp macro="[0]!usztywniajacy_auto" textlink="">
      <xdr:nvSpPr>
        <xdr:cNvPr id="341" name="pole tekstowe 340">
          <a:extLst>
            <a:ext uri="{FF2B5EF4-FFF2-40B4-BE49-F238E27FC236}">
              <a16:creationId xmlns:a16="http://schemas.microsoft.com/office/drawing/2014/main" id="{2579F270-A40B-411D-81AC-ACA56EAA43C5}"/>
            </a:ext>
          </a:extLst>
        </xdr:cNvPr>
        <xdr:cNvSpPr txBox="1"/>
      </xdr:nvSpPr>
      <xdr:spPr>
        <a:xfrm>
          <a:off x="10048875" y="27412950"/>
          <a:ext cx="407670" cy="1555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i="1">
              <a:solidFill>
                <a:schemeClr val="accent2"/>
              </a:solidFill>
              <a:latin typeface="Roboto Condensed" panose="02000000000000000000" pitchFamily="2" charset="0"/>
              <a:ea typeface="Roboto Condensed" panose="02000000000000000000" pitchFamily="2" charset="0"/>
            </a:rPr>
            <a:t>Auto</a:t>
          </a:r>
          <a:endParaRPr lang="en-US" sz="1000" i="1">
            <a:solidFill>
              <a:schemeClr val="accent2"/>
            </a:solidFill>
            <a:latin typeface="Roboto Condensed" panose="02000000000000000000" pitchFamily="2" charset="0"/>
            <a:ea typeface="Roboto Condensed" panose="02000000000000000000" pitchFamily="2" charset="0"/>
          </a:endParaRPr>
        </a:p>
      </xdr:txBody>
    </xdr:sp>
    <xdr:clientData/>
  </xdr:twoCellAnchor>
  <xdr:twoCellAnchor>
    <xdr:from>
      <xdr:col>29</xdr:col>
      <xdr:colOff>0</xdr:colOff>
      <xdr:row>182</xdr:row>
      <xdr:rowOff>114300</xdr:rowOff>
    </xdr:from>
    <xdr:to>
      <xdr:col>29</xdr:col>
      <xdr:colOff>409575</xdr:colOff>
      <xdr:row>183</xdr:row>
      <xdr:rowOff>102234</xdr:rowOff>
    </xdr:to>
    <xdr:sp macro="[0]!kanalDN63_auto" textlink="">
      <xdr:nvSpPr>
        <xdr:cNvPr id="342" name="pole tekstowe 341">
          <a:extLst>
            <a:ext uri="{FF2B5EF4-FFF2-40B4-BE49-F238E27FC236}">
              <a16:creationId xmlns:a16="http://schemas.microsoft.com/office/drawing/2014/main" id="{B96254F4-7C22-47B7-8284-56501A805EF7}"/>
            </a:ext>
          </a:extLst>
        </xdr:cNvPr>
        <xdr:cNvSpPr txBox="1"/>
      </xdr:nvSpPr>
      <xdr:spPr>
        <a:xfrm>
          <a:off x="10048875" y="27412950"/>
          <a:ext cx="407670" cy="1555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i="1">
              <a:solidFill>
                <a:schemeClr val="accent2"/>
              </a:solidFill>
              <a:latin typeface="Roboto Condensed" panose="02000000000000000000" pitchFamily="2" charset="0"/>
              <a:ea typeface="Roboto Condensed" panose="02000000000000000000" pitchFamily="2" charset="0"/>
            </a:rPr>
            <a:t>Auto</a:t>
          </a:r>
          <a:endParaRPr lang="en-US" sz="1000" i="1">
            <a:solidFill>
              <a:schemeClr val="accent2"/>
            </a:solidFill>
            <a:latin typeface="Roboto Condensed" panose="02000000000000000000" pitchFamily="2" charset="0"/>
            <a:ea typeface="Roboto Condensed" panose="02000000000000000000" pitchFamily="2" charset="0"/>
          </a:endParaRPr>
        </a:p>
      </xdr:txBody>
    </xdr:sp>
    <xdr:clientData/>
  </xdr:twoCellAnchor>
  <xdr:oneCellAnchor>
    <xdr:from>
      <xdr:col>28</xdr:col>
      <xdr:colOff>235218</xdr:colOff>
      <xdr:row>189</xdr:row>
      <xdr:rowOff>73899</xdr:rowOff>
    </xdr:from>
    <xdr:ext cx="170704" cy="159929"/>
    <xdr:pic macro="[0]!kanal200_add_">
      <xdr:nvPicPr>
        <xdr:cNvPr id="343" name="Grafika 342" descr="Odtwórz z wypełnieniem pełnym">
          <a:extLst>
            <a:ext uri="{FF2B5EF4-FFF2-40B4-BE49-F238E27FC236}">
              <a16:creationId xmlns:a16="http://schemas.microsoft.com/office/drawing/2014/main" id="{455ED969-695F-4549-B9C7-4FE9C1DE366E}"/>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 uri="{96DAC541-7B7A-43D3-8B79-37D633B846F1}">
              <asvg:svgBlip xmlns:asvg="http://schemas.microsoft.com/office/drawing/2016/SVG/main" r:embed="rId33"/>
            </a:ext>
          </a:extLst>
        </a:blip>
        <a:stretch>
          <a:fillRect/>
        </a:stretch>
      </xdr:blipFill>
      <xdr:spPr>
        <a:xfrm rot="16200000">
          <a:off x="4650680" y="27881512"/>
          <a:ext cx="159929" cy="170704"/>
        </a:xfrm>
        <a:prstGeom prst="rect">
          <a:avLst/>
        </a:prstGeom>
      </xdr:spPr>
    </xdr:pic>
    <xdr:clientData/>
  </xdr:oneCellAnchor>
  <xdr:oneCellAnchor>
    <xdr:from>
      <xdr:col>28</xdr:col>
      <xdr:colOff>237884</xdr:colOff>
      <xdr:row>191</xdr:row>
      <xdr:rowOff>142548</xdr:rowOff>
    </xdr:from>
    <xdr:ext cx="161179" cy="148202"/>
    <xdr:pic macro="[0]!kanal200_err">
      <xdr:nvPicPr>
        <xdr:cNvPr id="344" name="Grafika 343" descr="Odtwórz z wypełnieniem pełnym">
          <a:extLst>
            <a:ext uri="{FF2B5EF4-FFF2-40B4-BE49-F238E27FC236}">
              <a16:creationId xmlns:a16="http://schemas.microsoft.com/office/drawing/2014/main" id="{DEA0C8C7-0F97-4AB5-A8AB-161428B97405}"/>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 uri="{96DAC541-7B7A-43D3-8B79-37D633B846F1}">
              <asvg:svgBlip xmlns:asvg="http://schemas.microsoft.com/office/drawing/2016/SVG/main" r:embed="rId35"/>
            </a:ext>
          </a:extLst>
        </a:blip>
        <a:stretch>
          <a:fillRect/>
        </a:stretch>
      </xdr:blipFill>
      <xdr:spPr>
        <a:xfrm rot="5400000">
          <a:off x="4654448" y="28301484"/>
          <a:ext cx="148202" cy="161179"/>
        </a:xfrm>
        <a:prstGeom prst="rect">
          <a:avLst/>
        </a:prstGeom>
      </xdr:spPr>
    </xdr:pic>
    <xdr:clientData/>
  </xdr:oneCellAnchor>
  <xdr:twoCellAnchor>
    <xdr:from>
      <xdr:col>28</xdr:col>
      <xdr:colOff>607695</xdr:colOff>
      <xdr:row>191</xdr:row>
      <xdr:rowOff>123825</xdr:rowOff>
    </xdr:from>
    <xdr:to>
      <xdr:col>29</xdr:col>
      <xdr:colOff>401955</xdr:colOff>
      <xdr:row>192</xdr:row>
      <xdr:rowOff>104139</xdr:rowOff>
    </xdr:to>
    <xdr:sp macro="[0]!kanal200_auto" textlink="">
      <xdr:nvSpPr>
        <xdr:cNvPr id="345" name="pole tekstowe 344">
          <a:extLst>
            <a:ext uri="{FF2B5EF4-FFF2-40B4-BE49-F238E27FC236}">
              <a16:creationId xmlns:a16="http://schemas.microsoft.com/office/drawing/2014/main" id="{592A38C0-B00C-44C8-99DF-BB8A3A1906C6}"/>
            </a:ext>
          </a:extLst>
        </xdr:cNvPr>
        <xdr:cNvSpPr txBox="1"/>
      </xdr:nvSpPr>
      <xdr:spPr>
        <a:xfrm>
          <a:off x="5017770" y="28289250"/>
          <a:ext cx="403860" cy="1517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i="1">
              <a:solidFill>
                <a:schemeClr val="accent2"/>
              </a:solidFill>
              <a:latin typeface="Roboto Condensed" panose="02000000000000000000" pitchFamily="2" charset="0"/>
              <a:ea typeface="Roboto Condensed" panose="02000000000000000000" pitchFamily="2" charset="0"/>
            </a:rPr>
            <a:t>Auto</a:t>
          </a:r>
          <a:endParaRPr lang="en-US" sz="1000" i="1">
            <a:solidFill>
              <a:schemeClr val="accent2"/>
            </a:solidFill>
            <a:latin typeface="Roboto Condensed" panose="02000000000000000000" pitchFamily="2" charset="0"/>
            <a:ea typeface="Roboto Condensed" panose="02000000000000000000" pitchFamily="2" charset="0"/>
          </a:endParaRPr>
        </a:p>
      </xdr:txBody>
    </xdr:sp>
    <xdr:clientData/>
  </xdr:twoCellAnchor>
  <xdr:twoCellAnchor editAs="oneCell">
    <xdr:from>
      <xdr:col>6</xdr:col>
      <xdr:colOff>30480</xdr:colOff>
      <xdr:row>185</xdr:row>
      <xdr:rowOff>129540</xdr:rowOff>
    </xdr:from>
    <xdr:to>
      <xdr:col>21</xdr:col>
      <xdr:colOff>3389</xdr:colOff>
      <xdr:row>189</xdr:row>
      <xdr:rowOff>1043</xdr:rowOff>
    </xdr:to>
    <xdr:pic>
      <xdr:nvPicPr>
        <xdr:cNvPr id="346" name="Grafika 345" descr="Trasa (ścieżka między dwiema pinezkami) kontur">
          <a:extLst>
            <a:ext uri="{FF2B5EF4-FFF2-40B4-BE49-F238E27FC236}">
              <a16:creationId xmlns:a16="http://schemas.microsoft.com/office/drawing/2014/main" id="{45643B6C-9FE2-4EF8-9581-27D2BCD455FD}"/>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 uri="{96DAC541-7B7A-43D3-8B79-37D633B846F1}">
              <asvg:svgBlip xmlns:asvg="http://schemas.microsoft.com/office/drawing/2016/SVG/main" r:embed="rId30"/>
            </a:ext>
          </a:extLst>
        </a:blip>
        <a:stretch>
          <a:fillRect/>
        </a:stretch>
      </xdr:blipFill>
      <xdr:spPr>
        <a:xfrm>
          <a:off x="472440" y="28232100"/>
          <a:ext cx="540945" cy="553493"/>
        </a:xfrm>
        <a:prstGeom prst="rect">
          <a:avLst/>
        </a:prstGeom>
      </xdr:spPr>
    </xdr:pic>
    <xdr:clientData/>
  </xdr:twoCellAnchor>
  <xdr:twoCellAnchor editAs="oneCell">
    <xdr:from>
      <xdr:col>31</xdr:col>
      <xdr:colOff>60961</xdr:colOff>
      <xdr:row>213</xdr:row>
      <xdr:rowOff>144780</xdr:rowOff>
    </xdr:from>
    <xdr:to>
      <xdr:col>32</xdr:col>
      <xdr:colOff>510541</xdr:colOff>
      <xdr:row>217</xdr:row>
      <xdr:rowOff>92721</xdr:rowOff>
    </xdr:to>
    <xdr:pic>
      <xdr:nvPicPr>
        <xdr:cNvPr id="331" name="Obraz 330">
          <a:extLst>
            <a:ext uri="{FF2B5EF4-FFF2-40B4-BE49-F238E27FC236}">
              <a16:creationId xmlns:a16="http://schemas.microsoft.com/office/drawing/2014/main" id="{6BBC5BBB-A723-4ED4-B9C2-0273BC592CCD}"/>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6080761" y="32423100"/>
          <a:ext cx="563880" cy="687081"/>
        </a:xfrm>
        <a:prstGeom prst="rect">
          <a:avLst/>
        </a:prstGeom>
      </xdr:spPr>
    </xdr:pic>
    <xdr:clientData/>
  </xdr:twoCellAnchor>
  <xdr:oneCellAnchor>
    <xdr:from>
      <xdr:col>28</xdr:col>
      <xdr:colOff>228600</xdr:colOff>
      <xdr:row>213</xdr:row>
      <xdr:rowOff>91441</xdr:rowOff>
    </xdr:from>
    <xdr:ext cx="170704" cy="159929"/>
    <xdr:pic macro="[0]!kolano45_add_">
      <xdr:nvPicPr>
        <xdr:cNvPr id="348" name="Grafika 347" descr="Odtwórz z wypełnieniem pełnym">
          <a:extLst>
            <a:ext uri="{FF2B5EF4-FFF2-40B4-BE49-F238E27FC236}">
              <a16:creationId xmlns:a16="http://schemas.microsoft.com/office/drawing/2014/main" id="{5DD66318-A975-4876-B3E4-45F9B8138C6E}"/>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 uri="{96DAC541-7B7A-43D3-8B79-37D633B846F1}">
              <asvg:svgBlip xmlns:asvg="http://schemas.microsoft.com/office/drawing/2016/SVG/main" r:embed="rId33"/>
            </a:ext>
          </a:extLst>
        </a:blip>
        <a:stretch>
          <a:fillRect/>
        </a:stretch>
      </xdr:blipFill>
      <xdr:spPr>
        <a:xfrm rot="16200000">
          <a:off x="4653587" y="32364374"/>
          <a:ext cx="159929" cy="170704"/>
        </a:xfrm>
        <a:prstGeom prst="rect">
          <a:avLst/>
        </a:prstGeom>
      </xdr:spPr>
    </xdr:pic>
    <xdr:clientData/>
  </xdr:oneCellAnchor>
  <xdr:oneCellAnchor>
    <xdr:from>
      <xdr:col>28</xdr:col>
      <xdr:colOff>231266</xdr:colOff>
      <xdr:row>215</xdr:row>
      <xdr:rowOff>106750</xdr:rowOff>
    </xdr:from>
    <xdr:ext cx="161179" cy="148202"/>
    <xdr:pic macro="[0]!kolano45_err">
      <xdr:nvPicPr>
        <xdr:cNvPr id="349" name="Grafika 348" descr="Odtwórz z wypełnieniem pełnym">
          <a:extLst>
            <a:ext uri="{FF2B5EF4-FFF2-40B4-BE49-F238E27FC236}">
              <a16:creationId xmlns:a16="http://schemas.microsoft.com/office/drawing/2014/main" id="{A84FB93A-31AD-4BEC-AF4D-919B94388825}"/>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 uri="{96DAC541-7B7A-43D3-8B79-37D633B846F1}">
              <asvg:svgBlip xmlns:asvg="http://schemas.microsoft.com/office/drawing/2016/SVG/main" r:embed="rId35"/>
            </a:ext>
          </a:extLst>
        </a:blip>
        <a:stretch>
          <a:fillRect/>
        </a:stretch>
      </xdr:blipFill>
      <xdr:spPr>
        <a:xfrm rot="5400000">
          <a:off x="4657355" y="32744341"/>
          <a:ext cx="148202" cy="161179"/>
        </a:xfrm>
        <a:prstGeom prst="rect">
          <a:avLst/>
        </a:prstGeom>
      </xdr:spPr>
    </xdr:pic>
    <xdr:clientData/>
  </xdr:oneCellAnchor>
  <xdr:oneCellAnchor>
    <xdr:from>
      <xdr:col>37</xdr:col>
      <xdr:colOff>259080</xdr:colOff>
      <xdr:row>213</xdr:row>
      <xdr:rowOff>99062</xdr:rowOff>
    </xdr:from>
    <xdr:ext cx="170704" cy="159929"/>
    <xdr:pic macro="[0]!trojnik_add_">
      <xdr:nvPicPr>
        <xdr:cNvPr id="350" name="Grafika 349" descr="Odtwórz z wypełnieniem pełnym">
          <a:extLst>
            <a:ext uri="{FF2B5EF4-FFF2-40B4-BE49-F238E27FC236}">
              <a16:creationId xmlns:a16="http://schemas.microsoft.com/office/drawing/2014/main" id="{A555DAC7-8A8C-40B9-BE12-0431307B21F2}"/>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 uri="{96DAC541-7B7A-43D3-8B79-37D633B846F1}">
              <asvg:svgBlip xmlns:asvg="http://schemas.microsoft.com/office/drawing/2016/SVG/main" r:embed="rId33"/>
            </a:ext>
          </a:extLst>
        </a:blip>
        <a:stretch>
          <a:fillRect/>
        </a:stretch>
      </xdr:blipFill>
      <xdr:spPr>
        <a:xfrm rot="16200000">
          <a:off x="9659927" y="32371995"/>
          <a:ext cx="159929" cy="170704"/>
        </a:xfrm>
        <a:prstGeom prst="rect">
          <a:avLst/>
        </a:prstGeom>
      </xdr:spPr>
    </xdr:pic>
    <xdr:clientData/>
  </xdr:oneCellAnchor>
  <xdr:oneCellAnchor>
    <xdr:from>
      <xdr:col>37</xdr:col>
      <xdr:colOff>261746</xdr:colOff>
      <xdr:row>215</xdr:row>
      <xdr:rowOff>114371</xdr:rowOff>
    </xdr:from>
    <xdr:ext cx="161179" cy="148202"/>
    <xdr:pic macro="[0]!trojnik_err">
      <xdr:nvPicPr>
        <xdr:cNvPr id="351" name="Grafika 350" descr="Odtwórz z wypełnieniem pełnym">
          <a:extLst>
            <a:ext uri="{FF2B5EF4-FFF2-40B4-BE49-F238E27FC236}">
              <a16:creationId xmlns:a16="http://schemas.microsoft.com/office/drawing/2014/main" id="{B1EFAB49-1243-4CA6-AF05-A3E68CEF20E6}"/>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 uri="{96DAC541-7B7A-43D3-8B79-37D633B846F1}">
              <asvg:svgBlip xmlns:asvg="http://schemas.microsoft.com/office/drawing/2016/SVG/main" r:embed="rId35"/>
            </a:ext>
          </a:extLst>
        </a:blip>
        <a:stretch>
          <a:fillRect/>
        </a:stretch>
      </xdr:blipFill>
      <xdr:spPr>
        <a:xfrm rot="5400000">
          <a:off x="9663695" y="32751962"/>
          <a:ext cx="148202" cy="161179"/>
        </a:xfrm>
        <a:prstGeom prst="rect">
          <a:avLst/>
        </a:prstGeom>
      </xdr:spPr>
    </xdr:pic>
    <xdr:clientData/>
  </xdr:oneCellAnchor>
  <xdr:oneCellAnchor>
    <xdr:from>
      <xdr:col>37</xdr:col>
      <xdr:colOff>259080</xdr:colOff>
      <xdr:row>208</xdr:row>
      <xdr:rowOff>68583</xdr:rowOff>
    </xdr:from>
    <xdr:ext cx="170704" cy="159929"/>
    <xdr:pic macro="[0]!lacznik_add_">
      <xdr:nvPicPr>
        <xdr:cNvPr id="352" name="Grafika 351" descr="Odtwórz z wypełnieniem pełnym">
          <a:extLst>
            <a:ext uri="{FF2B5EF4-FFF2-40B4-BE49-F238E27FC236}">
              <a16:creationId xmlns:a16="http://schemas.microsoft.com/office/drawing/2014/main" id="{F83A6999-B230-44CC-AFD3-AF04645EF29F}"/>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 uri="{96DAC541-7B7A-43D3-8B79-37D633B846F1}">
              <asvg:svgBlip xmlns:asvg="http://schemas.microsoft.com/office/drawing/2016/SVG/main" r:embed="rId33"/>
            </a:ext>
          </a:extLst>
        </a:blip>
        <a:stretch>
          <a:fillRect/>
        </a:stretch>
      </xdr:blipFill>
      <xdr:spPr>
        <a:xfrm rot="16200000">
          <a:off x="9659927" y="31457596"/>
          <a:ext cx="159929" cy="170704"/>
        </a:xfrm>
        <a:prstGeom prst="rect">
          <a:avLst/>
        </a:prstGeom>
      </xdr:spPr>
    </xdr:pic>
    <xdr:clientData/>
  </xdr:oneCellAnchor>
  <xdr:oneCellAnchor>
    <xdr:from>
      <xdr:col>37</xdr:col>
      <xdr:colOff>261746</xdr:colOff>
      <xdr:row>210</xdr:row>
      <xdr:rowOff>121992</xdr:rowOff>
    </xdr:from>
    <xdr:ext cx="161179" cy="148202"/>
    <xdr:pic macro="[0]!lacznik_err">
      <xdr:nvPicPr>
        <xdr:cNvPr id="353" name="Grafika 352" descr="Odtwórz z wypełnieniem pełnym">
          <a:extLst>
            <a:ext uri="{FF2B5EF4-FFF2-40B4-BE49-F238E27FC236}">
              <a16:creationId xmlns:a16="http://schemas.microsoft.com/office/drawing/2014/main" id="{DEE8A6F2-A3A7-45B2-B129-0544D4B0788E}"/>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 uri="{96DAC541-7B7A-43D3-8B79-37D633B846F1}">
              <asvg:svgBlip xmlns:asvg="http://schemas.microsoft.com/office/drawing/2016/SVG/main" r:embed="rId35"/>
            </a:ext>
          </a:extLst>
        </a:blip>
        <a:stretch>
          <a:fillRect/>
        </a:stretch>
      </xdr:blipFill>
      <xdr:spPr>
        <a:xfrm rot="5400000">
          <a:off x="9663695" y="31868043"/>
          <a:ext cx="148202" cy="161179"/>
        </a:xfrm>
        <a:prstGeom prst="rect">
          <a:avLst/>
        </a:prstGeom>
      </xdr:spPr>
    </xdr:pic>
    <xdr:clientData/>
  </xdr:oneCellAnchor>
  <xdr:oneCellAnchor>
    <xdr:from>
      <xdr:col>28</xdr:col>
      <xdr:colOff>228600</xdr:colOff>
      <xdr:row>223</xdr:row>
      <xdr:rowOff>91444</xdr:rowOff>
    </xdr:from>
    <xdr:ext cx="170704" cy="159929"/>
    <xdr:pic macro="[0]!uchwyt_add_">
      <xdr:nvPicPr>
        <xdr:cNvPr id="354" name="Grafika 353" descr="Odtwórz z wypełnieniem pełnym">
          <a:extLst>
            <a:ext uri="{FF2B5EF4-FFF2-40B4-BE49-F238E27FC236}">
              <a16:creationId xmlns:a16="http://schemas.microsoft.com/office/drawing/2014/main" id="{B3935322-0020-4005-AC88-69438663911B}"/>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 uri="{96DAC541-7B7A-43D3-8B79-37D633B846F1}">
              <asvg:svgBlip xmlns:asvg="http://schemas.microsoft.com/office/drawing/2016/SVG/main" r:embed="rId33"/>
            </a:ext>
          </a:extLst>
        </a:blip>
        <a:stretch>
          <a:fillRect/>
        </a:stretch>
      </xdr:blipFill>
      <xdr:spPr>
        <a:xfrm rot="16200000">
          <a:off x="4653587" y="34193177"/>
          <a:ext cx="159929" cy="170704"/>
        </a:xfrm>
        <a:prstGeom prst="rect">
          <a:avLst/>
        </a:prstGeom>
      </xdr:spPr>
    </xdr:pic>
    <xdr:clientData/>
  </xdr:oneCellAnchor>
  <xdr:oneCellAnchor>
    <xdr:from>
      <xdr:col>28</xdr:col>
      <xdr:colOff>231266</xdr:colOff>
      <xdr:row>225</xdr:row>
      <xdr:rowOff>121993</xdr:rowOff>
    </xdr:from>
    <xdr:ext cx="161179" cy="148202"/>
    <xdr:pic macro="[0]!uchwyt_err">
      <xdr:nvPicPr>
        <xdr:cNvPr id="355" name="Grafika 354" descr="Odtwórz z wypełnieniem pełnym">
          <a:extLst>
            <a:ext uri="{FF2B5EF4-FFF2-40B4-BE49-F238E27FC236}">
              <a16:creationId xmlns:a16="http://schemas.microsoft.com/office/drawing/2014/main" id="{26811E77-571C-4832-9134-FDE7EA09AACB}"/>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 uri="{96DAC541-7B7A-43D3-8B79-37D633B846F1}">
              <asvg:svgBlip xmlns:asvg="http://schemas.microsoft.com/office/drawing/2016/SVG/main" r:embed="rId35"/>
            </a:ext>
          </a:extLst>
        </a:blip>
        <a:stretch>
          <a:fillRect/>
        </a:stretch>
      </xdr:blipFill>
      <xdr:spPr>
        <a:xfrm rot="5400000">
          <a:off x="4657355" y="34588384"/>
          <a:ext cx="148202" cy="161179"/>
        </a:xfrm>
        <a:prstGeom prst="rect">
          <a:avLst/>
        </a:prstGeom>
      </xdr:spPr>
    </xdr:pic>
    <xdr:clientData/>
  </xdr:oneCellAnchor>
  <xdr:oneCellAnchor>
    <xdr:from>
      <xdr:col>28</xdr:col>
      <xdr:colOff>228600</xdr:colOff>
      <xdr:row>218</xdr:row>
      <xdr:rowOff>83825</xdr:rowOff>
    </xdr:from>
    <xdr:ext cx="170704" cy="159929"/>
    <xdr:pic macro="[0]!mufa200_add_">
      <xdr:nvPicPr>
        <xdr:cNvPr id="356" name="Grafika 355" descr="Odtwórz z wypełnieniem pełnym">
          <a:extLst>
            <a:ext uri="{FF2B5EF4-FFF2-40B4-BE49-F238E27FC236}">
              <a16:creationId xmlns:a16="http://schemas.microsoft.com/office/drawing/2014/main" id="{55618660-B42C-433C-8968-214D2A068713}"/>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 uri="{96DAC541-7B7A-43D3-8B79-37D633B846F1}">
              <asvg:svgBlip xmlns:asvg="http://schemas.microsoft.com/office/drawing/2016/SVG/main" r:embed="rId33"/>
            </a:ext>
          </a:extLst>
        </a:blip>
        <a:stretch>
          <a:fillRect/>
        </a:stretch>
      </xdr:blipFill>
      <xdr:spPr>
        <a:xfrm rot="16200000">
          <a:off x="4653587" y="33271158"/>
          <a:ext cx="159929" cy="170704"/>
        </a:xfrm>
        <a:prstGeom prst="rect">
          <a:avLst/>
        </a:prstGeom>
      </xdr:spPr>
    </xdr:pic>
    <xdr:clientData/>
  </xdr:oneCellAnchor>
  <xdr:oneCellAnchor>
    <xdr:from>
      <xdr:col>28</xdr:col>
      <xdr:colOff>231266</xdr:colOff>
      <xdr:row>220</xdr:row>
      <xdr:rowOff>114374</xdr:rowOff>
    </xdr:from>
    <xdr:ext cx="161179" cy="148202"/>
    <xdr:pic macro="[0]!mufa200_err">
      <xdr:nvPicPr>
        <xdr:cNvPr id="357" name="Grafika 356" descr="Odtwórz z wypełnieniem pełnym">
          <a:extLst>
            <a:ext uri="{FF2B5EF4-FFF2-40B4-BE49-F238E27FC236}">
              <a16:creationId xmlns:a16="http://schemas.microsoft.com/office/drawing/2014/main" id="{F56CC074-CD7D-4312-87AE-AB5E1CF3E19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 uri="{96DAC541-7B7A-43D3-8B79-37D633B846F1}">
              <asvg:svgBlip xmlns:asvg="http://schemas.microsoft.com/office/drawing/2016/SVG/main" r:embed="rId35"/>
            </a:ext>
          </a:extLst>
        </a:blip>
        <a:stretch>
          <a:fillRect/>
        </a:stretch>
      </xdr:blipFill>
      <xdr:spPr>
        <a:xfrm rot="5400000">
          <a:off x="4657355" y="33666365"/>
          <a:ext cx="148202" cy="161179"/>
        </a:xfrm>
        <a:prstGeom prst="rect">
          <a:avLst/>
        </a:prstGeom>
      </xdr:spPr>
    </xdr:pic>
    <xdr:clientData/>
  </xdr:oneCellAnchor>
  <xdr:oneCellAnchor>
    <xdr:from>
      <xdr:col>37</xdr:col>
      <xdr:colOff>259080</xdr:colOff>
      <xdr:row>218</xdr:row>
      <xdr:rowOff>106686</xdr:rowOff>
    </xdr:from>
    <xdr:ext cx="170704" cy="159929"/>
    <xdr:pic macro="[0]!przedluzka_add_">
      <xdr:nvPicPr>
        <xdr:cNvPr id="358" name="Grafika 357" descr="Odtwórz z wypełnieniem pełnym">
          <a:extLst>
            <a:ext uri="{FF2B5EF4-FFF2-40B4-BE49-F238E27FC236}">
              <a16:creationId xmlns:a16="http://schemas.microsoft.com/office/drawing/2014/main" id="{6B4133F3-EDD7-4FDD-8C91-63431E488A2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 uri="{96DAC541-7B7A-43D3-8B79-37D633B846F1}">
              <asvg:svgBlip xmlns:asvg="http://schemas.microsoft.com/office/drawing/2016/SVG/main" r:embed="rId33"/>
            </a:ext>
          </a:extLst>
        </a:blip>
        <a:stretch>
          <a:fillRect/>
        </a:stretch>
      </xdr:blipFill>
      <xdr:spPr>
        <a:xfrm rot="16200000">
          <a:off x="9659927" y="33294019"/>
          <a:ext cx="159929" cy="170704"/>
        </a:xfrm>
        <a:prstGeom prst="rect">
          <a:avLst/>
        </a:prstGeom>
      </xdr:spPr>
    </xdr:pic>
    <xdr:clientData/>
  </xdr:oneCellAnchor>
  <xdr:oneCellAnchor>
    <xdr:from>
      <xdr:col>37</xdr:col>
      <xdr:colOff>261746</xdr:colOff>
      <xdr:row>220</xdr:row>
      <xdr:rowOff>121995</xdr:rowOff>
    </xdr:from>
    <xdr:ext cx="161179" cy="148202"/>
    <xdr:pic macro="[0]!przedluzka_err">
      <xdr:nvPicPr>
        <xdr:cNvPr id="359" name="Grafika 358" descr="Odtwórz z wypełnieniem pełnym">
          <a:extLst>
            <a:ext uri="{FF2B5EF4-FFF2-40B4-BE49-F238E27FC236}">
              <a16:creationId xmlns:a16="http://schemas.microsoft.com/office/drawing/2014/main" id="{B54A7D86-6280-402E-A207-B5CBDF067977}"/>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 uri="{96DAC541-7B7A-43D3-8B79-37D633B846F1}">
              <asvg:svgBlip xmlns:asvg="http://schemas.microsoft.com/office/drawing/2016/SVG/main" r:embed="rId35"/>
            </a:ext>
          </a:extLst>
        </a:blip>
        <a:stretch>
          <a:fillRect/>
        </a:stretch>
      </xdr:blipFill>
      <xdr:spPr>
        <a:xfrm rot="5400000">
          <a:off x="9663695" y="33673986"/>
          <a:ext cx="148202" cy="161179"/>
        </a:xfrm>
        <a:prstGeom prst="rect">
          <a:avLst/>
        </a:prstGeom>
      </xdr:spPr>
    </xdr:pic>
    <xdr:clientData/>
  </xdr:oneCellAnchor>
  <xdr:oneCellAnchor>
    <xdr:from>
      <xdr:col>37</xdr:col>
      <xdr:colOff>259080</xdr:colOff>
      <xdr:row>223</xdr:row>
      <xdr:rowOff>99067</xdr:rowOff>
    </xdr:from>
    <xdr:ext cx="170704" cy="159929"/>
    <xdr:pic macro="[0]!tlumik_add_">
      <xdr:nvPicPr>
        <xdr:cNvPr id="360" name="Grafika 359" descr="Odtwórz z wypełnieniem pełnym">
          <a:extLst>
            <a:ext uri="{FF2B5EF4-FFF2-40B4-BE49-F238E27FC236}">
              <a16:creationId xmlns:a16="http://schemas.microsoft.com/office/drawing/2014/main" id="{030EF952-CA39-44E3-B64B-30255CCC8065}"/>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 uri="{96DAC541-7B7A-43D3-8B79-37D633B846F1}">
              <asvg:svgBlip xmlns:asvg="http://schemas.microsoft.com/office/drawing/2016/SVG/main" r:embed="rId33"/>
            </a:ext>
          </a:extLst>
        </a:blip>
        <a:stretch>
          <a:fillRect/>
        </a:stretch>
      </xdr:blipFill>
      <xdr:spPr>
        <a:xfrm rot="16200000">
          <a:off x="9659927" y="34200800"/>
          <a:ext cx="159929" cy="170704"/>
        </a:xfrm>
        <a:prstGeom prst="rect">
          <a:avLst/>
        </a:prstGeom>
      </xdr:spPr>
    </xdr:pic>
    <xdr:clientData/>
  </xdr:oneCellAnchor>
  <xdr:oneCellAnchor>
    <xdr:from>
      <xdr:col>37</xdr:col>
      <xdr:colOff>261746</xdr:colOff>
      <xdr:row>225</xdr:row>
      <xdr:rowOff>114376</xdr:rowOff>
    </xdr:from>
    <xdr:ext cx="161179" cy="148202"/>
    <xdr:pic macro="[0]!tlumik_err">
      <xdr:nvPicPr>
        <xdr:cNvPr id="361" name="Grafika 360" descr="Odtwórz z wypełnieniem pełnym">
          <a:extLst>
            <a:ext uri="{FF2B5EF4-FFF2-40B4-BE49-F238E27FC236}">
              <a16:creationId xmlns:a16="http://schemas.microsoft.com/office/drawing/2014/main" id="{3935A113-E829-4601-8667-F27E94B7F782}"/>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 uri="{96DAC541-7B7A-43D3-8B79-37D633B846F1}">
              <asvg:svgBlip xmlns:asvg="http://schemas.microsoft.com/office/drawing/2016/SVG/main" r:embed="rId35"/>
            </a:ext>
          </a:extLst>
        </a:blip>
        <a:stretch>
          <a:fillRect/>
        </a:stretch>
      </xdr:blipFill>
      <xdr:spPr>
        <a:xfrm rot="5400000">
          <a:off x="9663695" y="34580767"/>
          <a:ext cx="148202" cy="161179"/>
        </a:xfrm>
        <a:prstGeom prst="rect">
          <a:avLst/>
        </a:prstGeom>
      </xdr:spPr>
    </xdr:pic>
    <xdr:clientData/>
  </xdr:oneCellAnchor>
  <xdr:oneCellAnchor>
    <xdr:from>
      <xdr:col>28</xdr:col>
      <xdr:colOff>228601</xdr:colOff>
      <xdr:row>208</xdr:row>
      <xdr:rowOff>76201</xdr:rowOff>
    </xdr:from>
    <xdr:ext cx="170704" cy="159929"/>
    <xdr:pic macro="[0]!noz_add_">
      <xdr:nvPicPr>
        <xdr:cNvPr id="362" name="Grafika 361" descr="Odtwórz z wypełnieniem pełnym">
          <a:extLst>
            <a:ext uri="{FF2B5EF4-FFF2-40B4-BE49-F238E27FC236}">
              <a16:creationId xmlns:a16="http://schemas.microsoft.com/office/drawing/2014/main" id="{1A14F37B-4E2D-49B5-BB38-FA15FA6065EE}"/>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 uri="{96DAC541-7B7A-43D3-8B79-37D633B846F1}">
              <asvg:svgBlip xmlns:asvg="http://schemas.microsoft.com/office/drawing/2016/SVG/main" r:embed="rId33"/>
            </a:ext>
          </a:extLst>
        </a:blip>
        <a:stretch>
          <a:fillRect/>
        </a:stretch>
      </xdr:blipFill>
      <xdr:spPr>
        <a:xfrm rot="16200000">
          <a:off x="4653588" y="31465214"/>
          <a:ext cx="159929" cy="170704"/>
        </a:xfrm>
        <a:prstGeom prst="rect">
          <a:avLst/>
        </a:prstGeom>
      </xdr:spPr>
    </xdr:pic>
    <xdr:clientData/>
  </xdr:oneCellAnchor>
  <xdr:oneCellAnchor>
    <xdr:from>
      <xdr:col>28</xdr:col>
      <xdr:colOff>231266</xdr:colOff>
      <xdr:row>210</xdr:row>
      <xdr:rowOff>144851</xdr:rowOff>
    </xdr:from>
    <xdr:ext cx="161179" cy="148202"/>
    <xdr:pic macro="[0]!noz_err">
      <xdr:nvPicPr>
        <xdr:cNvPr id="363" name="Grafika 362" descr="Odtwórz z wypełnieniem pełnym">
          <a:extLst>
            <a:ext uri="{FF2B5EF4-FFF2-40B4-BE49-F238E27FC236}">
              <a16:creationId xmlns:a16="http://schemas.microsoft.com/office/drawing/2014/main" id="{112D2D54-D31F-4A68-BE67-CFC5AFBC7FDB}"/>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 uri="{96DAC541-7B7A-43D3-8B79-37D633B846F1}">
              <asvg:svgBlip xmlns:asvg="http://schemas.microsoft.com/office/drawing/2016/SVG/main" r:embed="rId35"/>
            </a:ext>
          </a:extLst>
        </a:blip>
        <a:stretch>
          <a:fillRect/>
        </a:stretch>
      </xdr:blipFill>
      <xdr:spPr>
        <a:xfrm rot="5400000">
          <a:off x="4657355" y="31890902"/>
          <a:ext cx="148202" cy="161179"/>
        </a:xfrm>
        <a:prstGeom prst="rect">
          <a:avLst/>
        </a:prstGeom>
      </xdr:spPr>
    </xdr:pic>
    <xdr:clientData/>
  </xdr:oneCellAnchor>
  <xdr:twoCellAnchor editAs="oneCell">
    <xdr:from>
      <xdr:col>30</xdr:col>
      <xdr:colOff>352697</xdr:colOff>
      <xdr:row>224</xdr:row>
      <xdr:rowOff>22860</xdr:rowOff>
    </xdr:from>
    <xdr:to>
      <xdr:col>32</xdr:col>
      <xdr:colOff>553267</xdr:colOff>
      <xdr:row>226</xdr:row>
      <xdr:rowOff>133351</xdr:rowOff>
    </xdr:to>
    <xdr:pic>
      <xdr:nvPicPr>
        <xdr:cNvPr id="332" name="Obraz 331">
          <a:extLst>
            <a:ext uri="{FF2B5EF4-FFF2-40B4-BE49-F238E27FC236}">
              <a16:creationId xmlns:a16="http://schemas.microsoft.com/office/drawing/2014/main" id="{35004AED-C2C7-4C1E-9249-5F536294C7F1}"/>
            </a:ext>
          </a:extLst>
        </xdr:cNvPr>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5991497" y="34312860"/>
          <a:ext cx="680630" cy="464821"/>
        </a:xfrm>
        <a:prstGeom prst="rect">
          <a:avLst/>
        </a:prstGeom>
      </xdr:spPr>
    </xdr:pic>
    <xdr:clientData/>
  </xdr:twoCellAnchor>
  <xdr:oneCellAnchor>
    <xdr:from>
      <xdr:col>28</xdr:col>
      <xdr:colOff>239269</xdr:colOff>
      <xdr:row>134</xdr:row>
      <xdr:rowOff>167640</xdr:rowOff>
    </xdr:from>
    <xdr:ext cx="170704" cy="159929"/>
    <xdr:pic macro="[0]!R_centrala_add_">
      <xdr:nvPicPr>
        <xdr:cNvPr id="365" name="Grafika 364" descr="Odtwórz z wypełnieniem pełnym">
          <a:extLst>
            <a:ext uri="{FF2B5EF4-FFF2-40B4-BE49-F238E27FC236}">
              <a16:creationId xmlns:a16="http://schemas.microsoft.com/office/drawing/2014/main" id="{4BEF34D9-5263-4355-82E0-9D91A3FD9D8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 uri="{96DAC541-7B7A-43D3-8B79-37D633B846F1}">
              <asvg:svgBlip xmlns:asvg="http://schemas.microsoft.com/office/drawing/2016/SVG/main" r:embed="rId33"/>
            </a:ext>
          </a:extLst>
        </a:blip>
        <a:stretch>
          <a:fillRect/>
        </a:stretch>
      </xdr:blipFill>
      <xdr:spPr>
        <a:xfrm rot="16200000">
          <a:off x="4664256" y="19440853"/>
          <a:ext cx="159929" cy="170704"/>
        </a:xfrm>
        <a:prstGeom prst="rect">
          <a:avLst/>
        </a:prstGeom>
      </xdr:spPr>
    </xdr:pic>
    <xdr:clientData/>
  </xdr:oneCellAnchor>
  <xdr:oneCellAnchor>
    <xdr:from>
      <xdr:col>28</xdr:col>
      <xdr:colOff>236221</xdr:colOff>
      <xdr:row>137</xdr:row>
      <xdr:rowOff>36264</xdr:rowOff>
    </xdr:from>
    <xdr:ext cx="161179" cy="148202"/>
    <xdr:pic macro="[0]!R_centrala_err">
      <xdr:nvPicPr>
        <xdr:cNvPr id="366" name="Grafika 365" descr="Odtwórz z wypełnieniem pełnym">
          <a:extLst>
            <a:ext uri="{FF2B5EF4-FFF2-40B4-BE49-F238E27FC236}">
              <a16:creationId xmlns:a16="http://schemas.microsoft.com/office/drawing/2014/main" id="{07591F88-52DB-4BED-82C7-C8A60F6E79C1}"/>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 uri="{96DAC541-7B7A-43D3-8B79-37D633B846F1}">
              <asvg:svgBlip xmlns:asvg="http://schemas.microsoft.com/office/drawing/2016/SVG/main" r:embed="rId35"/>
            </a:ext>
          </a:extLst>
        </a:blip>
        <a:stretch>
          <a:fillRect/>
        </a:stretch>
      </xdr:blipFill>
      <xdr:spPr>
        <a:xfrm rot="5400000">
          <a:off x="4662310" y="19857015"/>
          <a:ext cx="148202" cy="161179"/>
        </a:xfrm>
        <a:prstGeom prst="rect">
          <a:avLst/>
        </a:prstGeom>
      </xdr:spPr>
    </xdr:pic>
    <xdr:clientData/>
  </xdr:oneCellAnchor>
  <xdr:twoCellAnchor editAs="oneCell">
    <xdr:from>
      <xdr:col>22</xdr:col>
      <xdr:colOff>3810</xdr:colOff>
      <xdr:row>123</xdr:row>
      <xdr:rowOff>171450</xdr:rowOff>
    </xdr:from>
    <xdr:to>
      <xdr:col>22</xdr:col>
      <xdr:colOff>249805</xdr:colOff>
      <xdr:row>125</xdr:row>
      <xdr:rowOff>0</xdr:rowOff>
    </xdr:to>
    <xdr:pic>
      <xdr:nvPicPr>
        <xdr:cNvPr id="5" name="Grafika 4" descr="Powrót z wypełnieniem pełnym">
          <a:extLst>
            <a:ext uri="{FF2B5EF4-FFF2-40B4-BE49-F238E27FC236}">
              <a16:creationId xmlns:a16="http://schemas.microsoft.com/office/drawing/2014/main" id="{3C2E761F-BCAE-4D5B-B8AD-AF53FCB47A6E}"/>
            </a:ext>
          </a:extLst>
        </xdr:cNvPr>
        <xdr:cNvPicPr>
          <a:picLocks noChangeAspect="1"/>
        </xdr:cNvPicPr>
      </xdr:nvPicPr>
      <xdr:blipFill rotWithShape="1">
        <a:blip xmlns:r="http://schemas.openxmlformats.org/officeDocument/2006/relationships" r:embed="rId80">
          <a:extLst>
            <a:ext uri="{28A0092B-C50C-407E-A947-70E740481C1C}">
              <a14:useLocalDpi xmlns:a14="http://schemas.microsoft.com/office/drawing/2010/main" val="0"/>
            </a:ext>
            <a:ext uri="{96DAC541-7B7A-43D3-8B79-37D633B846F1}">
              <asvg:svgBlip xmlns:asvg="http://schemas.microsoft.com/office/drawing/2016/SVG/main" r:embed="rId81"/>
            </a:ext>
          </a:extLst>
        </a:blip>
        <a:srcRect l="49167" b="48333"/>
        <a:stretch/>
      </xdr:blipFill>
      <xdr:spPr>
        <a:xfrm rot="5400000">
          <a:off x="1057400" y="17809720"/>
          <a:ext cx="247650" cy="251710"/>
        </a:xfrm>
        <a:prstGeom prst="rect">
          <a:avLst/>
        </a:prstGeom>
      </xdr:spPr>
    </xdr:pic>
    <xdr:clientData/>
  </xdr:twoCellAnchor>
  <xdr:twoCellAnchor editAs="oneCell">
    <xdr:from>
      <xdr:col>39</xdr:col>
      <xdr:colOff>3810</xdr:colOff>
      <xdr:row>123</xdr:row>
      <xdr:rowOff>171450</xdr:rowOff>
    </xdr:from>
    <xdr:to>
      <xdr:col>42</xdr:col>
      <xdr:colOff>34540</xdr:colOff>
      <xdr:row>125</xdr:row>
      <xdr:rowOff>0</xdr:rowOff>
    </xdr:to>
    <xdr:pic>
      <xdr:nvPicPr>
        <xdr:cNvPr id="118" name="Grafika 117" descr="Powrót z wypełnieniem pełnym">
          <a:extLst>
            <a:ext uri="{FF2B5EF4-FFF2-40B4-BE49-F238E27FC236}">
              <a16:creationId xmlns:a16="http://schemas.microsoft.com/office/drawing/2014/main" id="{FBB7C0B2-FC8E-4B0B-A0EF-FFF67424D083}"/>
            </a:ext>
          </a:extLst>
        </xdr:cNvPr>
        <xdr:cNvPicPr>
          <a:picLocks noChangeAspect="1"/>
        </xdr:cNvPicPr>
      </xdr:nvPicPr>
      <xdr:blipFill rotWithShape="1">
        <a:blip xmlns:r="http://schemas.openxmlformats.org/officeDocument/2006/relationships" r:embed="rId80">
          <a:extLst>
            <a:ext uri="{28A0092B-C50C-407E-A947-70E740481C1C}">
              <a14:useLocalDpi xmlns:a14="http://schemas.microsoft.com/office/drawing/2010/main" val="0"/>
            </a:ext>
            <a:ext uri="{96DAC541-7B7A-43D3-8B79-37D633B846F1}">
              <asvg:svgBlip xmlns:asvg="http://schemas.microsoft.com/office/drawing/2016/SVG/main" r:embed="rId81"/>
            </a:ext>
          </a:extLst>
        </a:blip>
        <a:srcRect l="49167" b="48333"/>
        <a:stretch/>
      </xdr:blipFill>
      <xdr:spPr>
        <a:xfrm rot="5400000">
          <a:off x="10742420" y="17809720"/>
          <a:ext cx="247650" cy="251710"/>
        </a:xfrm>
        <a:prstGeom prst="rect">
          <a:avLst/>
        </a:prstGeom>
      </xdr:spPr>
    </xdr:pic>
    <xdr:clientData/>
  </xdr:twoCellAnchor>
  <xdr:twoCellAnchor>
    <xdr:from>
      <xdr:col>38</xdr:col>
      <xdr:colOff>0</xdr:colOff>
      <xdr:row>215</xdr:row>
      <xdr:rowOff>76200</xdr:rowOff>
    </xdr:from>
    <xdr:to>
      <xdr:col>38</xdr:col>
      <xdr:colOff>400050</xdr:colOff>
      <xdr:row>216</xdr:row>
      <xdr:rowOff>39369</xdr:rowOff>
    </xdr:to>
    <xdr:sp macro="[0]!trojnik_auto" textlink="">
      <xdr:nvSpPr>
        <xdr:cNvPr id="117" name="pole tekstowe 116">
          <a:extLst>
            <a:ext uri="{FF2B5EF4-FFF2-40B4-BE49-F238E27FC236}">
              <a16:creationId xmlns:a16="http://schemas.microsoft.com/office/drawing/2014/main" id="{5BFD9197-4FAB-4CAD-BAE0-AC285233FDA5}"/>
            </a:ext>
          </a:extLst>
        </xdr:cNvPr>
        <xdr:cNvSpPr txBox="1"/>
      </xdr:nvSpPr>
      <xdr:spPr>
        <a:xfrm>
          <a:off x="10048875" y="32394525"/>
          <a:ext cx="400050" cy="1441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i="1">
              <a:solidFill>
                <a:schemeClr val="accent2"/>
              </a:solidFill>
              <a:latin typeface="Roboto Condensed" panose="02000000000000000000" pitchFamily="2" charset="0"/>
              <a:ea typeface="Roboto Condensed" panose="02000000000000000000" pitchFamily="2" charset="0"/>
            </a:rPr>
            <a:t>Auto</a:t>
          </a:r>
          <a:endParaRPr lang="en-US" sz="1000" i="1">
            <a:solidFill>
              <a:schemeClr val="accent2"/>
            </a:solidFill>
            <a:latin typeface="Roboto Condensed" panose="02000000000000000000" pitchFamily="2" charset="0"/>
            <a:ea typeface="Roboto Condensed" panose="02000000000000000000" pitchFamily="2" charset="0"/>
          </a:endParaRPr>
        </a:p>
      </xdr:txBody>
    </xdr:sp>
    <xdr:clientData/>
  </xdr:twoCellAnchor>
  <xdr:oneCellAnchor>
    <xdr:from>
      <xdr:col>38</xdr:col>
      <xdr:colOff>230506</xdr:colOff>
      <xdr:row>233</xdr:row>
      <xdr:rowOff>38100</xdr:rowOff>
    </xdr:from>
    <xdr:ext cx="170704" cy="159929"/>
    <xdr:pic macro="[1]!R_system_add_">
      <xdr:nvPicPr>
        <xdr:cNvPr id="11" name="Grafika 10" descr="Odtwórz z wypełnieniem pełnym">
          <a:extLst>
            <a:ext uri="{FF2B5EF4-FFF2-40B4-BE49-F238E27FC236}">
              <a16:creationId xmlns:a16="http://schemas.microsoft.com/office/drawing/2014/main" id="{0CAE456D-4D19-4E73-BF3E-611FD92DD64B}"/>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 uri="{96DAC541-7B7A-43D3-8B79-37D633B846F1}">
              <asvg:svgBlip xmlns:asvg="http://schemas.microsoft.com/office/drawing/2016/SVG/main" r:embed="rId33"/>
            </a:ext>
          </a:extLst>
        </a:blip>
        <a:stretch>
          <a:fillRect/>
        </a:stretch>
      </xdr:blipFill>
      <xdr:spPr>
        <a:xfrm rot="16200000">
          <a:off x="10275243" y="35084713"/>
          <a:ext cx="159929" cy="170704"/>
        </a:xfrm>
        <a:prstGeom prst="rect">
          <a:avLst/>
        </a:prstGeom>
      </xdr:spPr>
    </xdr:pic>
    <xdr:clientData/>
  </xdr:oneCellAnchor>
  <xdr:oneCellAnchor>
    <xdr:from>
      <xdr:col>38</xdr:col>
      <xdr:colOff>235077</xdr:colOff>
      <xdr:row>234</xdr:row>
      <xdr:rowOff>247720</xdr:rowOff>
    </xdr:from>
    <xdr:ext cx="161179" cy="148202"/>
    <xdr:pic macro="[1]!R_system_err">
      <xdr:nvPicPr>
        <xdr:cNvPr id="12" name="Grafika 11" descr="Odtwórz z wypełnieniem pełnym">
          <a:extLst>
            <a:ext uri="{FF2B5EF4-FFF2-40B4-BE49-F238E27FC236}">
              <a16:creationId xmlns:a16="http://schemas.microsoft.com/office/drawing/2014/main" id="{C4BBC75B-48F9-4379-BC8B-B329C886BC51}"/>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 uri="{96DAC541-7B7A-43D3-8B79-37D633B846F1}">
              <asvg:svgBlip xmlns:asvg="http://schemas.microsoft.com/office/drawing/2016/SVG/main" r:embed="rId35"/>
            </a:ext>
          </a:extLst>
        </a:blip>
        <a:stretch>
          <a:fillRect/>
        </a:stretch>
      </xdr:blipFill>
      <xdr:spPr>
        <a:xfrm rot="5400000">
          <a:off x="10280916" y="35474206"/>
          <a:ext cx="148202" cy="161179"/>
        </a:xfrm>
        <a:prstGeom prst="rect">
          <a:avLst/>
        </a:prstGeom>
      </xdr:spPr>
    </xdr:pic>
    <xdr:clientData/>
  </xdr:oneCellAnchor>
  <xdr:twoCellAnchor>
    <xdr:from>
      <xdr:col>35</xdr:col>
      <xdr:colOff>216915</xdr:colOff>
      <xdr:row>161</xdr:row>
      <xdr:rowOff>17191</xdr:rowOff>
    </xdr:from>
    <xdr:to>
      <xdr:col>37</xdr:col>
      <xdr:colOff>534578</xdr:colOff>
      <xdr:row>161</xdr:row>
      <xdr:rowOff>17191</xdr:rowOff>
    </xdr:to>
    <xdr:cxnSp macro="">
      <xdr:nvCxnSpPr>
        <xdr:cNvPr id="18" name="Łącznik prosty 17">
          <a:extLst>
            <a:ext uri="{FF2B5EF4-FFF2-40B4-BE49-F238E27FC236}">
              <a16:creationId xmlns:a16="http://schemas.microsoft.com/office/drawing/2014/main" id="{078FB428-F64C-4B42-9204-0CB81C3A469E}"/>
            </a:ext>
          </a:extLst>
        </xdr:cNvPr>
        <xdr:cNvCxnSpPr/>
      </xdr:nvCxnSpPr>
      <xdr:spPr>
        <a:xfrm>
          <a:off x="8276530" y="24086133"/>
          <a:ext cx="1592548" cy="0"/>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38</xdr:col>
      <xdr:colOff>224155</xdr:colOff>
      <xdr:row>160</xdr:row>
      <xdr:rowOff>45858</xdr:rowOff>
    </xdr:from>
    <xdr:to>
      <xdr:col>38</xdr:col>
      <xdr:colOff>438117</xdr:colOff>
      <xdr:row>161</xdr:row>
      <xdr:rowOff>56626</xdr:rowOff>
    </xdr:to>
    <xdr:pic>
      <xdr:nvPicPr>
        <xdr:cNvPr id="21" name="Grafika 20" descr="Bezprzewodowe kontur">
          <a:extLst>
            <a:ext uri="{FF2B5EF4-FFF2-40B4-BE49-F238E27FC236}">
              <a16:creationId xmlns:a16="http://schemas.microsoft.com/office/drawing/2014/main" id="{1542EA9F-E7AC-4B07-9E63-154D19B8845F}"/>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 uri="{96DAC541-7B7A-43D3-8B79-37D633B846F1}">
              <asvg:svgBlip xmlns:asvg="http://schemas.microsoft.com/office/drawing/2016/SVG/main" r:embed="rId73"/>
            </a:ext>
          </a:extLst>
        </a:blip>
        <a:stretch>
          <a:fillRect/>
        </a:stretch>
      </xdr:blipFill>
      <xdr:spPr>
        <a:xfrm rot="8188822">
          <a:off x="10225405" y="23931627"/>
          <a:ext cx="225392" cy="209181"/>
        </a:xfrm>
        <a:prstGeom prst="rect">
          <a:avLst/>
        </a:prstGeom>
      </xdr:spPr>
    </xdr:pic>
    <xdr:clientData/>
  </xdr:twoCellAnchor>
  <xdr:twoCellAnchor editAs="oneCell">
    <xdr:from>
      <xdr:col>37</xdr:col>
      <xdr:colOff>498525</xdr:colOff>
      <xdr:row>160</xdr:row>
      <xdr:rowOff>92510</xdr:rowOff>
    </xdr:from>
    <xdr:to>
      <xdr:col>38</xdr:col>
      <xdr:colOff>207792</xdr:colOff>
      <xdr:row>162</xdr:row>
      <xdr:rowOff>92905</xdr:rowOff>
    </xdr:to>
    <xdr:pic>
      <xdr:nvPicPr>
        <xdr:cNvPr id="15" name="Obraz 14">
          <a:extLst>
            <a:ext uri="{FF2B5EF4-FFF2-40B4-BE49-F238E27FC236}">
              <a16:creationId xmlns:a16="http://schemas.microsoft.com/office/drawing/2014/main" id="{43F25309-B50E-9179-61B1-154891A7E845}"/>
            </a:ext>
          </a:extLst>
        </xdr:cNvPr>
        <xdr:cNvPicPr>
          <a:picLocks noChangeAspect="1"/>
        </xdr:cNvPicPr>
      </xdr:nvPicPr>
      <xdr:blipFill>
        <a:blip xmlns:r="http://schemas.openxmlformats.org/officeDocument/2006/relationships" r:embed="rId82"/>
        <a:stretch>
          <a:fillRect/>
        </a:stretch>
      </xdr:blipFill>
      <xdr:spPr>
        <a:xfrm>
          <a:off x="9833025" y="23978279"/>
          <a:ext cx="391257" cy="366741"/>
        </a:xfrm>
        <a:prstGeom prst="rect">
          <a:avLst/>
        </a:prstGeom>
      </xdr:spPr>
    </xdr:pic>
    <xdr:clientData/>
  </xdr:twoCellAnchor>
  <xdr:twoCellAnchor>
    <xdr:from>
      <xdr:col>33</xdr:col>
      <xdr:colOff>445544</xdr:colOff>
      <xdr:row>160</xdr:row>
      <xdr:rowOff>76939</xdr:rowOff>
    </xdr:from>
    <xdr:to>
      <xdr:col>34</xdr:col>
      <xdr:colOff>392466</xdr:colOff>
      <xdr:row>160</xdr:row>
      <xdr:rowOff>76939</xdr:rowOff>
    </xdr:to>
    <xdr:cxnSp macro="">
      <xdr:nvCxnSpPr>
        <xdr:cNvPr id="24" name="Łącznik prosty 23">
          <a:extLst>
            <a:ext uri="{FF2B5EF4-FFF2-40B4-BE49-F238E27FC236}">
              <a16:creationId xmlns:a16="http://schemas.microsoft.com/office/drawing/2014/main" id="{22B063A7-4320-4196-A10E-A23FC7489DA5}"/>
            </a:ext>
          </a:extLst>
        </xdr:cNvPr>
        <xdr:cNvCxnSpPr/>
      </xdr:nvCxnSpPr>
      <xdr:spPr>
        <a:xfrm>
          <a:off x="7135025" y="23962708"/>
          <a:ext cx="708922" cy="0"/>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33</xdr:col>
      <xdr:colOff>16558</xdr:colOff>
      <xdr:row>159</xdr:row>
      <xdr:rowOff>95251</xdr:rowOff>
    </xdr:from>
    <xdr:to>
      <xdr:col>33</xdr:col>
      <xdr:colOff>436392</xdr:colOff>
      <xdr:row>161</xdr:row>
      <xdr:rowOff>60910</xdr:rowOff>
    </xdr:to>
    <xdr:pic>
      <xdr:nvPicPr>
        <xdr:cNvPr id="25" name="Obraz 24">
          <a:extLst>
            <a:ext uri="{FF2B5EF4-FFF2-40B4-BE49-F238E27FC236}">
              <a16:creationId xmlns:a16="http://schemas.microsoft.com/office/drawing/2014/main" id="{37CE054E-D830-4F6A-9F2A-23919FDEE487}"/>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6706039" y="23797847"/>
          <a:ext cx="433169" cy="339625"/>
        </a:xfrm>
        <a:prstGeom prst="rect">
          <a:avLst/>
        </a:prstGeom>
        <a:effectLst/>
      </xdr:spPr>
    </xdr:pic>
    <xdr:clientData/>
  </xdr:twoCellAnchor>
  <xdr:twoCellAnchor editAs="oneCell">
    <xdr:from>
      <xdr:col>34</xdr:col>
      <xdr:colOff>247650</xdr:colOff>
      <xdr:row>158</xdr:row>
      <xdr:rowOff>85725</xdr:rowOff>
    </xdr:from>
    <xdr:to>
      <xdr:col>35</xdr:col>
      <xdr:colOff>281940</xdr:colOff>
      <xdr:row>161</xdr:row>
      <xdr:rowOff>132917</xdr:rowOff>
    </xdr:to>
    <xdr:pic>
      <xdr:nvPicPr>
        <xdr:cNvPr id="115" name="Obraz 114">
          <a:extLst>
            <a:ext uri="{FF2B5EF4-FFF2-40B4-BE49-F238E27FC236}">
              <a16:creationId xmlns:a16="http://schemas.microsoft.com/office/drawing/2014/main" id="{DAEE69F5-93EB-4350-B7E4-86437F780B1B}"/>
            </a:ext>
          </a:extLst>
        </xdr:cNvPr>
        <xdr:cNvPicPr>
          <a:picLocks noChangeAspect="1"/>
        </xdr:cNvPicPr>
      </xdr:nvPicPr>
      <xdr:blipFill>
        <a:blip xmlns:r="http://schemas.openxmlformats.org/officeDocument/2006/relationships" r:embed="rId84"/>
        <a:stretch>
          <a:fillRect/>
        </a:stretch>
      </xdr:blipFill>
      <xdr:spPr>
        <a:xfrm>
          <a:off x="7743825" y="23631525"/>
          <a:ext cx="636270" cy="603452"/>
        </a:xfrm>
        <a:prstGeom prst="rect">
          <a:avLst/>
        </a:prstGeom>
        <a:effectLst>
          <a:outerShdw blurRad="63500" sx="102000" sy="102000" algn="ctr" rotWithShape="0">
            <a:prstClr val="black">
              <a:alpha val="40000"/>
            </a:prstClr>
          </a:outerShdw>
        </a:effectLst>
      </xdr:spPr>
    </xdr:pic>
    <xdr:clientData/>
  </xdr:twoCellAnchor>
  <xdr:twoCellAnchor editAs="oneCell">
    <xdr:from>
      <xdr:col>33</xdr:col>
      <xdr:colOff>205154</xdr:colOff>
      <xdr:row>157</xdr:row>
      <xdr:rowOff>161192</xdr:rowOff>
    </xdr:from>
    <xdr:to>
      <xdr:col>33</xdr:col>
      <xdr:colOff>401871</xdr:colOff>
      <xdr:row>159</xdr:row>
      <xdr:rowOff>3406</xdr:rowOff>
    </xdr:to>
    <xdr:pic>
      <xdr:nvPicPr>
        <xdr:cNvPr id="26" name="Obraz 25">
          <a:extLst>
            <a:ext uri="{FF2B5EF4-FFF2-40B4-BE49-F238E27FC236}">
              <a16:creationId xmlns:a16="http://schemas.microsoft.com/office/drawing/2014/main" id="{75B47D98-B412-4662-9298-02C38C463090}"/>
            </a:ext>
          </a:extLst>
        </xdr:cNvPr>
        <xdr:cNvPicPr>
          <a:picLocks noChangeAspect="1"/>
        </xdr:cNvPicPr>
      </xdr:nvPicPr>
      <xdr:blipFill>
        <a:blip xmlns:r="http://schemas.openxmlformats.org/officeDocument/2006/relationships" r:embed="rId85" cstate="email">
          <a:extLst>
            <a:ext uri="{BEBA8EAE-BF5A-486C-A8C5-ECC9F3942E4B}">
              <a14:imgProps xmlns:a14="http://schemas.microsoft.com/office/drawing/2010/main">
                <a14:imgLayer r:embed="rId86">
                  <a14:imgEffect>
                    <a14:saturation sat="0"/>
                  </a14:imgEffect>
                </a14:imgLayer>
              </a14:imgProps>
            </a:ext>
            <a:ext uri="{28A0092B-C50C-407E-A947-70E740481C1C}">
              <a14:useLocalDpi xmlns:a14="http://schemas.microsoft.com/office/drawing/2010/main"/>
            </a:ext>
          </a:extLst>
        </a:blip>
        <a:stretch>
          <a:fillRect/>
        </a:stretch>
      </xdr:blipFill>
      <xdr:spPr>
        <a:xfrm>
          <a:off x="6894635" y="23497442"/>
          <a:ext cx="192907" cy="2085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2</xdr:row>
      <xdr:rowOff>89647</xdr:rowOff>
    </xdr:from>
    <xdr:to>
      <xdr:col>23</xdr:col>
      <xdr:colOff>98364</xdr:colOff>
      <xdr:row>4</xdr:row>
      <xdr:rowOff>58494</xdr:rowOff>
    </xdr:to>
    <xdr:pic>
      <xdr:nvPicPr>
        <xdr:cNvPr id="2" name="Obraz 1" descr="Znalezione obrazy dla zapytania logo viessmann">
          <a:extLst>
            <a:ext uri="{FF2B5EF4-FFF2-40B4-BE49-F238E27FC236}">
              <a16:creationId xmlns:a16="http://schemas.microsoft.com/office/drawing/2014/main" id="{3BDE520E-1CC7-43AC-BBAA-8C27B6D5B898}"/>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259080" y="341107"/>
          <a:ext cx="1500444" cy="3346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34</xdr:col>
      <xdr:colOff>414514</xdr:colOff>
      <xdr:row>2</xdr:row>
      <xdr:rowOff>12521</xdr:rowOff>
    </xdr:from>
    <xdr:to>
      <xdr:col>35</xdr:col>
      <xdr:colOff>134283</xdr:colOff>
      <xdr:row>3</xdr:row>
      <xdr:rowOff>169074</xdr:rowOff>
    </xdr:to>
    <xdr:pic>
      <xdr:nvPicPr>
        <xdr:cNvPr id="3" name="Grafika 2" descr="Kalendarz dzienny kontur">
          <a:extLst>
            <a:ext uri="{FF2B5EF4-FFF2-40B4-BE49-F238E27FC236}">
              <a16:creationId xmlns:a16="http://schemas.microsoft.com/office/drawing/2014/main" id="{24BB78AE-A20D-4869-BCD0-7AA92A8A5A4F}"/>
            </a:ext>
          </a:extLst>
        </xdr:cNvPr>
        <xdr:cNvPicPr>
          <a:picLocks/>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7826696" y="480112"/>
          <a:ext cx="329715" cy="334584"/>
        </a:xfrm>
        <a:prstGeom prst="rect">
          <a:avLst/>
        </a:prstGeom>
      </xdr:spPr>
    </xdr:pic>
    <xdr:clientData/>
  </xdr:twoCellAnchor>
  <xdr:twoCellAnchor editAs="oneCell">
    <xdr:from>
      <xdr:col>29</xdr:col>
      <xdr:colOff>256222</xdr:colOff>
      <xdr:row>119</xdr:row>
      <xdr:rowOff>91946</xdr:rowOff>
    </xdr:from>
    <xdr:to>
      <xdr:col>32</xdr:col>
      <xdr:colOff>384758</xdr:colOff>
      <xdr:row>125</xdr:row>
      <xdr:rowOff>137107</xdr:rowOff>
    </xdr:to>
    <xdr:pic>
      <xdr:nvPicPr>
        <xdr:cNvPr id="10" name="Obraz 9">
          <a:extLst>
            <a:ext uri="{FF2B5EF4-FFF2-40B4-BE49-F238E27FC236}">
              <a16:creationId xmlns:a16="http://schemas.microsoft.com/office/drawing/2014/main" id="{5C4476EF-DC70-4F44-B2A3-631837D366F6}"/>
            </a:ext>
          </a:extLst>
        </xdr:cNvPr>
        <xdr:cNvPicPr>
          <a:picLocks noChangeAspect="1"/>
        </xdr:cNvPicPr>
      </xdr:nvPicPr>
      <xdr:blipFill>
        <a:blip xmlns:r="http://schemas.openxmlformats.org/officeDocument/2006/relationships" r:embed="rId4" cstate="email">
          <a:extLst>
            <a:ext uri="{BEBA8EAE-BF5A-486C-A8C5-ECC9F3942E4B}">
              <a14:imgProps xmlns:a14="http://schemas.microsoft.com/office/drawing/2010/main">
                <a14:imgLayer r:embed="rId5">
                  <a14:imgEffect>
                    <a14:brightnessContrast bright="-40000" contrast="20000"/>
                  </a14:imgEffect>
                </a14:imgLayer>
              </a14:imgProps>
            </a:ext>
            <a:ext uri="{28A0092B-C50C-407E-A947-70E740481C1C}">
              <a14:useLocalDpi xmlns:a14="http://schemas.microsoft.com/office/drawing/2010/main"/>
            </a:ext>
          </a:extLst>
        </a:blip>
        <a:stretch>
          <a:fillRect/>
        </a:stretch>
      </xdr:blipFill>
      <xdr:spPr>
        <a:xfrm>
          <a:off x="5200563" y="16864605"/>
          <a:ext cx="1228240" cy="1268864"/>
        </a:xfrm>
        <a:prstGeom prst="rect">
          <a:avLst/>
        </a:prstGeom>
      </xdr:spPr>
    </xdr:pic>
    <xdr:clientData/>
  </xdr:twoCellAnchor>
  <xdr:twoCellAnchor editAs="oneCell">
    <xdr:from>
      <xdr:col>35</xdr:col>
      <xdr:colOff>30523</xdr:colOff>
      <xdr:row>14</xdr:row>
      <xdr:rowOff>163873</xdr:rowOff>
    </xdr:from>
    <xdr:to>
      <xdr:col>35</xdr:col>
      <xdr:colOff>398143</xdr:colOff>
      <xdr:row>16</xdr:row>
      <xdr:rowOff>169542</xdr:rowOff>
    </xdr:to>
    <xdr:pic>
      <xdr:nvPicPr>
        <xdr:cNvPr id="11" name="Grafika 10" descr="Rozwidlenie drogi kontur">
          <a:extLst>
            <a:ext uri="{FF2B5EF4-FFF2-40B4-BE49-F238E27FC236}">
              <a16:creationId xmlns:a16="http://schemas.microsoft.com/office/drawing/2014/main" id="{63686B06-3243-4CEE-9CBC-13FEE148F0F3}"/>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 uri="{96DAC541-7B7A-43D3-8B79-37D633B846F1}">
              <asvg:svgBlip xmlns:asvg="http://schemas.microsoft.com/office/drawing/2016/SVG/main" r:embed="rId7"/>
            </a:ext>
          </a:extLst>
        </a:blip>
        <a:stretch>
          <a:fillRect/>
        </a:stretch>
      </xdr:blipFill>
      <xdr:spPr>
        <a:xfrm rot="10800000">
          <a:off x="8145823" y="2609893"/>
          <a:ext cx="367620" cy="371430"/>
        </a:xfrm>
        <a:prstGeom prst="rect">
          <a:avLst/>
        </a:prstGeom>
      </xdr:spPr>
    </xdr:pic>
    <xdr:clientData/>
  </xdr:twoCellAnchor>
  <xdr:twoCellAnchor editAs="oneCell">
    <xdr:from>
      <xdr:col>29</xdr:col>
      <xdr:colOff>1950</xdr:colOff>
      <xdr:row>15</xdr:row>
      <xdr:rowOff>16651</xdr:rowOff>
    </xdr:from>
    <xdr:to>
      <xdr:col>29</xdr:col>
      <xdr:colOff>358140</xdr:colOff>
      <xdr:row>17</xdr:row>
      <xdr:rowOff>18511</xdr:rowOff>
    </xdr:to>
    <xdr:pic>
      <xdr:nvPicPr>
        <xdr:cNvPr id="12" name="Grafika 11" descr="Połączenie kontur">
          <a:extLst>
            <a:ext uri="{FF2B5EF4-FFF2-40B4-BE49-F238E27FC236}">
              <a16:creationId xmlns:a16="http://schemas.microsoft.com/office/drawing/2014/main" id="{6698FED8-8B69-4834-B885-5DF2DDDD82F5}"/>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 uri="{96DAC541-7B7A-43D3-8B79-37D633B846F1}">
              <asvg:svgBlip xmlns:asvg="http://schemas.microsoft.com/office/drawing/2016/SVG/main" r:embed="rId9"/>
            </a:ext>
          </a:extLst>
        </a:blip>
        <a:stretch>
          <a:fillRect/>
        </a:stretch>
      </xdr:blipFill>
      <xdr:spPr>
        <a:xfrm rot="5400000">
          <a:off x="5025435" y="2651266"/>
          <a:ext cx="367620" cy="356190"/>
        </a:xfrm>
        <a:prstGeom prst="rect">
          <a:avLst/>
        </a:prstGeom>
      </xdr:spPr>
    </xdr:pic>
    <xdr:clientData/>
  </xdr:twoCellAnchor>
  <xdr:twoCellAnchor editAs="oneCell">
    <xdr:from>
      <xdr:col>26</xdr:col>
      <xdr:colOff>308530</xdr:colOff>
      <xdr:row>140</xdr:row>
      <xdr:rowOff>21263</xdr:rowOff>
    </xdr:from>
    <xdr:to>
      <xdr:col>26</xdr:col>
      <xdr:colOff>477922</xdr:colOff>
      <xdr:row>140</xdr:row>
      <xdr:rowOff>170618</xdr:rowOff>
    </xdr:to>
    <xdr:pic>
      <xdr:nvPicPr>
        <xdr:cNvPr id="18" name="Obraz 17">
          <a:extLst>
            <a:ext uri="{FF2B5EF4-FFF2-40B4-BE49-F238E27FC236}">
              <a16:creationId xmlns:a16="http://schemas.microsoft.com/office/drawing/2014/main" id="{978DFC22-6F15-4ECC-9270-B70A4B529D26}"/>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3356530" y="20397143"/>
          <a:ext cx="169392" cy="149355"/>
        </a:xfrm>
        <a:prstGeom prst="rect">
          <a:avLst/>
        </a:prstGeom>
      </xdr:spPr>
    </xdr:pic>
    <xdr:clientData/>
  </xdr:twoCellAnchor>
  <xdr:twoCellAnchor editAs="oneCell">
    <xdr:from>
      <xdr:col>26</xdr:col>
      <xdr:colOff>305898</xdr:colOff>
      <xdr:row>141</xdr:row>
      <xdr:rowOff>19562</xdr:rowOff>
    </xdr:from>
    <xdr:to>
      <xdr:col>26</xdr:col>
      <xdr:colOff>473823</xdr:colOff>
      <xdr:row>141</xdr:row>
      <xdr:rowOff>170342</xdr:rowOff>
    </xdr:to>
    <xdr:pic>
      <xdr:nvPicPr>
        <xdr:cNvPr id="19" name="Obraz 18">
          <a:extLst>
            <a:ext uri="{FF2B5EF4-FFF2-40B4-BE49-F238E27FC236}">
              <a16:creationId xmlns:a16="http://schemas.microsoft.com/office/drawing/2014/main" id="{9B4216DD-8F46-478E-B5CC-5F3D39B2CCF8}"/>
            </a:ext>
          </a:extLst>
        </xdr:cNvPr>
        <xdr:cNvPicPr>
          <a:picLocks/>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3353898" y="20578322"/>
          <a:ext cx="167925" cy="150780"/>
        </a:xfrm>
        <a:prstGeom prst="rect">
          <a:avLst/>
        </a:prstGeom>
      </xdr:spPr>
    </xdr:pic>
    <xdr:clientData/>
  </xdr:twoCellAnchor>
  <xdr:twoCellAnchor editAs="oneCell">
    <xdr:from>
      <xdr:col>26</xdr:col>
      <xdr:colOff>244150</xdr:colOff>
      <xdr:row>142</xdr:row>
      <xdr:rowOff>22988</xdr:rowOff>
    </xdr:from>
    <xdr:to>
      <xdr:col>26</xdr:col>
      <xdr:colOff>515446</xdr:colOff>
      <xdr:row>143</xdr:row>
      <xdr:rowOff>262</xdr:rowOff>
    </xdr:to>
    <xdr:pic>
      <xdr:nvPicPr>
        <xdr:cNvPr id="20" name="Obraz 19">
          <a:extLst>
            <a:ext uri="{FF2B5EF4-FFF2-40B4-BE49-F238E27FC236}">
              <a16:creationId xmlns:a16="http://schemas.microsoft.com/office/drawing/2014/main" id="{21644476-EC38-4F78-8855-B8F249907939}"/>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3292150" y="20764628"/>
          <a:ext cx="271296" cy="160154"/>
        </a:xfrm>
        <a:prstGeom prst="rect">
          <a:avLst/>
        </a:prstGeom>
      </xdr:spPr>
    </xdr:pic>
    <xdr:clientData/>
  </xdr:twoCellAnchor>
  <xdr:twoCellAnchor editAs="oneCell">
    <xdr:from>
      <xdr:col>8</xdr:col>
      <xdr:colOff>11206</xdr:colOff>
      <xdr:row>147</xdr:row>
      <xdr:rowOff>174917</xdr:rowOff>
    </xdr:from>
    <xdr:to>
      <xdr:col>21</xdr:col>
      <xdr:colOff>22225</xdr:colOff>
      <xdr:row>151</xdr:row>
      <xdr:rowOff>1148</xdr:rowOff>
    </xdr:to>
    <xdr:pic>
      <xdr:nvPicPr>
        <xdr:cNvPr id="21" name="Grafika 20" descr="Gest dwukrotnego naciśnięcia kontur">
          <a:extLst>
            <a:ext uri="{FF2B5EF4-FFF2-40B4-BE49-F238E27FC236}">
              <a16:creationId xmlns:a16="http://schemas.microsoft.com/office/drawing/2014/main" id="{5F4A6F0D-5E4D-48F2-98A0-B18548D16B08}"/>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 uri="{96DAC541-7B7A-43D3-8B79-37D633B846F1}">
              <asvg:svgBlip xmlns:asvg="http://schemas.microsoft.com/office/drawing/2016/SVG/main" r:embed="rId14"/>
            </a:ext>
          </a:extLst>
        </a:blip>
        <a:stretch>
          <a:fillRect/>
        </a:stretch>
      </xdr:blipFill>
      <xdr:spPr>
        <a:xfrm>
          <a:off x="529366" y="21830957"/>
          <a:ext cx="506319" cy="470120"/>
        </a:xfrm>
        <a:prstGeom prst="rect">
          <a:avLst/>
        </a:prstGeom>
      </xdr:spPr>
    </xdr:pic>
    <xdr:clientData/>
  </xdr:twoCellAnchor>
  <xdr:twoCellAnchor editAs="oneCell">
    <xdr:from>
      <xdr:col>6</xdr:col>
      <xdr:colOff>19895</xdr:colOff>
      <xdr:row>161</xdr:row>
      <xdr:rowOff>561</xdr:rowOff>
    </xdr:from>
    <xdr:to>
      <xdr:col>20</xdr:col>
      <xdr:colOff>21725</xdr:colOff>
      <xdr:row>164</xdr:row>
      <xdr:rowOff>20654</xdr:rowOff>
    </xdr:to>
    <xdr:pic>
      <xdr:nvPicPr>
        <xdr:cNvPr id="23" name="Grafika 22" descr="Trasa (ścieżka między dwiema pinezkami) kontur">
          <a:extLst>
            <a:ext uri="{FF2B5EF4-FFF2-40B4-BE49-F238E27FC236}">
              <a16:creationId xmlns:a16="http://schemas.microsoft.com/office/drawing/2014/main" id="{AB2353AF-4517-493F-99A8-5D958C3D2241}"/>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 uri="{96DAC541-7B7A-43D3-8B79-37D633B846F1}">
              <asvg:svgBlip xmlns:asvg="http://schemas.microsoft.com/office/drawing/2016/SVG/main" r:embed="rId16"/>
            </a:ext>
          </a:extLst>
        </a:blip>
        <a:stretch>
          <a:fillRect/>
        </a:stretch>
      </xdr:blipFill>
      <xdr:spPr>
        <a:xfrm>
          <a:off x="461855" y="24079761"/>
          <a:ext cx="540945" cy="553493"/>
        </a:xfrm>
        <a:prstGeom prst="rect">
          <a:avLst/>
        </a:prstGeom>
      </xdr:spPr>
    </xdr:pic>
    <xdr:clientData/>
  </xdr:twoCellAnchor>
  <xdr:oneCellAnchor>
    <xdr:from>
      <xdr:col>37</xdr:col>
      <xdr:colOff>267602</xdr:colOff>
      <xdr:row>165</xdr:row>
      <xdr:rowOff>70087</xdr:rowOff>
    </xdr:from>
    <xdr:ext cx="170704" cy="159929"/>
    <xdr:pic macro="[0]!kanalDN75_add_">
      <xdr:nvPicPr>
        <xdr:cNvPr id="25" name="Grafika 24" descr="Odtwórz z wypełnieniem pełnym">
          <a:extLst>
            <a:ext uri="{FF2B5EF4-FFF2-40B4-BE49-F238E27FC236}">
              <a16:creationId xmlns:a16="http://schemas.microsoft.com/office/drawing/2014/main" id="{38C4853D-0231-4562-A3A4-E59027B74C08}"/>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 uri="{96DAC541-7B7A-43D3-8B79-37D633B846F1}">
              <asvg:svgBlip xmlns:asvg="http://schemas.microsoft.com/office/drawing/2016/SVG/main" r:embed="rId18"/>
            </a:ext>
          </a:extLst>
        </a:blip>
        <a:stretch>
          <a:fillRect/>
        </a:stretch>
      </xdr:blipFill>
      <xdr:spPr>
        <a:xfrm rot="16200000">
          <a:off x="9668449" y="24738260"/>
          <a:ext cx="159929" cy="170704"/>
        </a:xfrm>
        <a:prstGeom prst="rect">
          <a:avLst/>
        </a:prstGeom>
      </xdr:spPr>
    </xdr:pic>
    <xdr:clientData/>
  </xdr:oneCellAnchor>
  <xdr:oneCellAnchor>
    <xdr:from>
      <xdr:col>37</xdr:col>
      <xdr:colOff>264554</xdr:colOff>
      <xdr:row>167</xdr:row>
      <xdr:rowOff>136831</xdr:rowOff>
    </xdr:from>
    <xdr:ext cx="161179" cy="148202"/>
    <xdr:pic macro="[0]!kanalDN75_err">
      <xdr:nvPicPr>
        <xdr:cNvPr id="26" name="Grafika 25" descr="Odtwórz z wypełnieniem pełnym">
          <a:extLst>
            <a:ext uri="{FF2B5EF4-FFF2-40B4-BE49-F238E27FC236}">
              <a16:creationId xmlns:a16="http://schemas.microsoft.com/office/drawing/2014/main" id="{9EAB5BC1-C70F-4A17-B27B-7EB29F35EEEE}"/>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 uri="{96DAC541-7B7A-43D3-8B79-37D633B846F1}">
              <asvg:svgBlip xmlns:asvg="http://schemas.microsoft.com/office/drawing/2016/SVG/main" r:embed="rId20"/>
            </a:ext>
          </a:extLst>
        </a:blip>
        <a:stretch>
          <a:fillRect/>
        </a:stretch>
      </xdr:blipFill>
      <xdr:spPr>
        <a:xfrm rot="5400000">
          <a:off x="9666503" y="25154422"/>
          <a:ext cx="148202" cy="161179"/>
        </a:xfrm>
        <a:prstGeom prst="rect">
          <a:avLst/>
        </a:prstGeom>
      </xdr:spPr>
    </xdr:pic>
    <xdr:clientData/>
  </xdr:oneCellAnchor>
  <xdr:twoCellAnchor editAs="oneCell">
    <xdr:from>
      <xdr:col>11</xdr:col>
      <xdr:colOff>37114</xdr:colOff>
      <xdr:row>199</xdr:row>
      <xdr:rowOff>166159</xdr:rowOff>
    </xdr:from>
    <xdr:to>
      <xdr:col>22</xdr:col>
      <xdr:colOff>476404</xdr:colOff>
      <xdr:row>203</xdr:row>
      <xdr:rowOff>696</xdr:rowOff>
    </xdr:to>
    <xdr:pic>
      <xdr:nvPicPr>
        <xdr:cNvPr id="28" name="Obraz 27">
          <a:extLst>
            <a:ext uri="{FF2B5EF4-FFF2-40B4-BE49-F238E27FC236}">
              <a16:creationId xmlns:a16="http://schemas.microsoft.com/office/drawing/2014/main" id="{2EBFFE73-FFF6-4753-9C9F-7564CCCF144A}"/>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flipH="1">
          <a:off x="669574" y="29061199"/>
          <a:ext cx="850770" cy="541292"/>
        </a:xfrm>
        <a:prstGeom prst="rect">
          <a:avLst/>
        </a:prstGeom>
      </xdr:spPr>
    </xdr:pic>
    <xdr:clientData/>
  </xdr:twoCellAnchor>
  <xdr:twoCellAnchor editAs="oneCell">
    <xdr:from>
      <xdr:col>31</xdr:col>
      <xdr:colOff>50452</xdr:colOff>
      <xdr:row>199</xdr:row>
      <xdr:rowOff>150294</xdr:rowOff>
    </xdr:from>
    <xdr:to>
      <xdr:col>32</xdr:col>
      <xdr:colOff>494815</xdr:colOff>
      <xdr:row>203</xdr:row>
      <xdr:rowOff>98</xdr:rowOff>
    </xdr:to>
    <xdr:pic>
      <xdr:nvPicPr>
        <xdr:cNvPr id="30" name="Obraz 29">
          <a:extLst>
            <a:ext uri="{FF2B5EF4-FFF2-40B4-BE49-F238E27FC236}">
              <a16:creationId xmlns:a16="http://schemas.microsoft.com/office/drawing/2014/main" id="{1BD5963D-C118-4E02-BFFC-FD9B1AFA512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6070252" y="29045334"/>
          <a:ext cx="558663" cy="577514"/>
        </a:xfrm>
        <a:prstGeom prst="rect">
          <a:avLst/>
        </a:prstGeom>
      </xdr:spPr>
    </xdr:pic>
    <xdr:clientData/>
  </xdr:twoCellAnchor>
  <xdr:twoCellAnchor editAs="oneCell">
    <xdr:from>
      <xdr:col>20</xdr:col>
      <xdr:colOff>14356</xdr:colOff>
      <xdr:row>224</xdr:row>
      <xdr:rowOff>9534</xdr:rowOff>
    </xdr:from>
    <xdr:to>
      <xdr:col>22</xdr:col>
      <xdr:colOff>402421</xdr:colOff>
      <xdr:row>226</xdr:row>
      <xdr:rowOff>96361</xdr:rowOff>
    </xdr:to>
    <xdr:pic>
      <xdr:nvPicPr>
        <xdr:cNvPr id="31" name="Obraz 30">
          <a:extLst>
            <a:ext uri="{FF2B5EF4-FFF2-40B4-BE49-F238E27FC236}">
              <a16:creationId xmlns:a16="http://schemas.microsoft.com/office/drawing/2014/main" id="{52C5B64E-218C-40D0-845B-65E450B7AEDF}"/>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989716" y="32470734"/>
          <a:ext cx="469980" cy="437347"/>
        </a:xfrm>
        <a:prstGeom prst="rect">
          <a:avLst/>
        </a:prstGeom>
      </xdr:spPr>
    </xdr:pic>
    <xdr:clientData/>
  </xdr:twoCellAnchor>
  <xdr:twoCellAnchor editAs="oneCell">
    <xdr:from>
      <xdr:col>19</xdr:col>
      <xdr:colOff>41787</xdr:colOff>
      <xdr:row>229</xdr:row>
      <xdr:rowOff>67480</xdr:rowOff>
    </xdr:from>
    <xdr:to>
      <xdr:col>22</xdr:col>
      <xdr:colOff>439284</xdr:colOff>
      <xdr:row>231</xdr:row>
      <xdr:rowOff>55225</xdr:rowOff>
    </xdr:to>
    <xdr:pic>
      <xdr:nvPicPr>
        <xdr:cNvPr id="32" name="Obraz 31">
          <a:extLst>
            <a:ext uri="{FF2B5EF4-FFF2-40B4-BE49-F238E27FC236}">
              <a16:creationId xmlns:a16="http://schemas.microsoft.com/office/drawing/2014/main" id="{CEBFDDF4-9341-4C77-9ED5-EB3C844BEEBC}"/>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979047" y="33443080"/>
          <a:ext cx="511797" cy="361125"/>
        </a:xfrm>
        <a:prstGeom prst="rect">
          <a:avLst/>
        </a:prstGeom>
      </xdr:spPr>
    </xdr:pic>
    <xdr:clientData/>
  </xdr:twoCellAnchor>
  <xdr:twoCellAnchor editAs="oneCell">
    <xdr:from>
      <xdr:col>31</xdr:col>
      <xdr:colOff>45324</xdr:colOff>
      <xdr:row>205</xdr:row>
      <xdr:rowOff>26310</xdr:rowOff>
    </xdr:from>
    <xdr:to>
      <xdr:col>32</xdr:col>
      <xdr:colOff>477200</xdr:colOff>
      <xdr:row>207</xdr:row>
      <xdr:rowOff>22091</xdr:rowOff>
    </xdr:to>
    <xdr:pic>
      <xdr:nvPicPr>
        <xdr:cNvPr id="33" name="Obraz 32">
          <a:extLst>
            <a:ext uri="{FF2B5EF4-FFF2-40B4-BE49-F238E27FC236}">
              <a16:creationId xmlns:a16="http://schemas.microsoft.com/office/drawing/2014/main" id="{B5BE3D84-E495-4C16-BA9D-D89789F40935}"/>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6065124" y="29988150"/>
          <a:ext cx="546176" cy="353921"/>
        </a:xfrm>
        <a:prstGeom prst="rect">
          <a:avLst/>
        </a:prstGeom>
      </xdr:spPr>
    </xdr:pic>
    <xdr:clientData/>
  </xdr:twoCellAnchor>
  <xdr:twoCellAnchor editAs="oneCell">
    <xdr:from>
      <xdr:col>9</xdr:col>
      <xdr:colOff>12488</xdr:colOff>
      <xdr:row>204</xdr:row>
      <xdr:rowOff>133708</xdr:rowOff>
    </xdr:from>
    <xdr:to>
      <xdr:col>22</xdr:col>
      <xdr:colOff>478207</xdr:colOff>
      <xdr:row>207</xdr:row>
      <xdr:rowOff>151024</xdr:rowOff>
    </xdr:to>
    <xdr:pic>
      <xdr:nvPicPr>
        <xdr:cNvPr id="34" name="Obraz 33">
          <a:extLst>
            <a:ext uri="{FF2B5EF4-FFF2-40B4-BE49-F238E27FC236}">
              <a16:creationId xmlns:a16="http://schemas.microsoft.com/office/drawing/2014/main" id="{3A087E6E-29D8-4887-A667-FD520BE5507C}"/>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568748" y="29912668"/>
          <a:ext cx="953399" cy="565956"/>
        </a:xfrm>
        <a:prstGeom prst="rect">
          <a:avLst/>
        </a:prstGeom>
      </xdr:spPr>
    </xdr:pic>
    <xdr:clientData/>
  </xdr:twoCellAnchor>
  <xdr:twoCellAnchor editAs="oneCell">
    <xdr:from>
      <xdr:col>7</xdr:col>
      <xdr:colOff>3599</xdr:colOff>
      <xdr:row>215</xdr:row>
      <xdr:rowOff>5504</xdr:rowOff>
    </xdr:from>
    <xdr:to>
      <xdr:col>20</xdr:col>
      <xdr:colOff>19262</xdr:colOff>
      <xdr:row>217</xdr:row>
      <xdr:rowOff>168276</xdr:rowOff>
    </xdr:to>
    <xdr:pic>
      <xdr:nvPicPr>
        <xdr:cNvPr id="37" name="Grafika 36" descr="Komentarz — dodaj kontur">
          <a:extLst>
            <a:ext uri="{FF2B5EF4-FFF2-40B4-BE49-F238E27FC236}">
              <a16:creationId xmlns:a16="http://schemas.microsoft.com/office/drawing/2014/main" id="{3E62AEF2-B0C3-48A0-88CE-71C4A5EB0B7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 uri="{96DAC541-7B7A-43D3-8B79-37D633B846F1}">
              <asvg:svgBlip xmlns:asvg="http://schemas.microsoft.com/office/drawing/2016/SVG/main" r:embed="rId28"/>
            </a:ext>
          </a:extLst>
        </a:blip>
        <a:stretch>
          <a:fillRect/>
        </a:stretch>
      </xdr:blipFill>
      <xdr:spPr>
        <a:xfrm>
          <a:off x="483659" y="30851264"/>
          <a:ext cx="510963" cy="528532"/>
        </a:xfrm>
        <a:prstGeom prst="rect">
          <a:avLst/>
        </a:prstGeom>
      </xdr:spPr>
    </xdr:pic>
    <xdr:clientData/>
  </xdr:twoCellAnchor>
  <xdr:twoCellAnchor editAs="oneCell">
    <xdr:from>
      <xdr:col>22</xdr:col>
      <xdr:colOff>561328</xdr:colOff>
      <xdr:row>139</xdr:row>
      <xdr:rowOff>136996</xdr:rowOff>
    </xdr:from>
    <xdr:to>
      <xdr:col>23</xdr:col>
      <xdr:colOff>398217</xdr:colOff>
      <xdr:row>143</xdr:row>
      <xdr:rowOff>16236</xdr:rowOff>
    </xdr:to>
    <xdr:pic>
      <xdr:nvPicPr>
        <xdr:cNvPr id="48" name="Obraz 47">
          <a:extLst>
            <a:ext uri="{FF2B5EF4-FFF2-40B4-BE49-F238E27FC236}">
              <a16:creationId xmlns:a16="http://schemas.microsoft.com/office/drawing/2014/main" id="{69B4F85D-FA49-4CA9-952B-7B5295DDA96F}"/>
            </a:ext>
          </a:extLst>
        </xdr:cNvPr>
        <xdr:cNvPicPr>
          <a:picLocks noChangeAspect="1"/>
        </xdr:cNvPicPr>
      </xdr:nvPicPr>
      <xdr:blipFill rotWithShape="1">
        <a:blip xmlns:r="http://schemas.openxmlformats.org/officeDocument/2006/relationships" r:embed="rId29" cstate="email">
          <a:extLst>
            <a:ext uri="{28A0092B-C50C-407E-A947-70E740481C1C}">
              <a14:useLocalDpi xmlns:a14="http://schemas.microsoft.com/office/drawing/2010/main"/>
            </a:ext>
          </a:extLst>
        </a:blip>
        <a:srcRect/>
        <a:stretch/>
      </xdr:blipFill>
      <xdr:spPr>
        <a:xfrm>
          <a:off x="1612888" y="20329996"/>
          <a:ext cx="446489" cy="610760"/>
        </a:xfrm>
        <a:prstGeom prst="rect">
          <a:avLst/>
        </a:prstGeom>
      </xdr:spPr>
    </xdr:pic>
    <xdr:clientData/>
  </xdr:twoCellAnchor>
  <xdr:twoCellAnchor editAs="oneCell">
    <xdr:from>
      <xdr:col>23</xdr:col>
      <xdr:colOff>581514</xdr:colOff>
      <xdr:row>139</xdr:row>
      <xdr:rowOff>132562</xdr:rowOff>
    </xdr:from>
    <xdr:to>
      <xdr:col>26</xdr:col>
      <xdr:colOff>56026</xdr:colOff>
      <xdr:row>143</xdr:row>
      <xdr:rowOff>15280</xdr:rowOff>
    </xdr:to>
    <xdr:pic>
      <xdr:nvPicPr>
        <xdr:cNvPr id="49" name="Obraz 48">
          <a:extLst>
            <a:ext uri="{FF2B5EF4-FFF2-40B4-BE49-F238E27FC236}">
              <a16:creationId xmlns:a16="http://schemas.microsoft.com/office/drawing/2014/main" id="{A3696981-E837-4ADB-83CF-5550E5DD76EF}"/>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2242674" y="20325562"/>
          <a:ext cx="861352" cy="614238"/>
        </a:xfrm>
        <a:prstGeom prst="rect">
          <a:avLst/>
        </a:prstGeom>
      </xdr:spPr>
    </xdr:pic>
    <xdr:clientData/>
  </xdr:twoCellAnchor>
  <xdr:twoCellAnchor>
    <xdr:from>
      <xdr:col>27</xdr:col>
      <xdr:colOff>241932</xdr:colOff>
      <xdr:row>139</xdr:row>
      <xdr:rowOff>168339</xdr:rowOff>
    </xdr:from>
    <xdr:to>
      <xdr:col>27</xdr:col>
      <xdr:colOff>571499</xdr:colOff>
      <xdr:row>140</xdr:row>
      <xdr:rowOff>169428</xdr:rowOff>
    </xdr:to>
    <xdr:sp macro="" textlink="">
      <xdr:nvSpPr>
        <xdr:cNvPr id="50" name="Trójkąt prostokątny 49">
          <a:extLst>
            <a:ext uri="{FF2B5EF4-FFF2-40B4-BE49-F238E27FC236}">
              <a16:creationId xmlns:a16="http://schemas.microsoft.com/office/drawing/2014/main" id="{E92FA254-303B-42D7-9955-A852ACFE74FA}"/>
            </a:ext>
          </a:extLst>
        </xdr:cNvPr>
        <xdr:cNvSpPr/>
      </xdr:nvSpPr>
      <xdr:spPr>
        <a:xfrm rot="10800000">
          <a:off x="3899532" y="20361339"/>
          <a:ext cx="329567" cy="183969"/>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243023</xdr:colOff>
      <xdr:row>139</xdr:row>
      <xdr:rowOff>174956</xdr:rowOff>
    </xdr:from>
    <xdr:to>
      <xdr:col>27</xdr:col>
      <xdr:colOff>579142</xdr:colOff>
      <xdr:row>141</xdr:row>
      <xdr:rowOff>1329</xdr:rowOff>
    </xdr:to>
    <xdr:sp macro="" textlink="">
      <xdr:nvSpPr>
        <xdr:cNvPr id="51" name="Trójkąt prostokątny 50">
          <a:extLst>
            <a:ext uri="{FF2B5EF4-FFF2-40B4-BE49-F238E27FC236}">
              <a16:creationId xmlns:a16="http://schemas.microsoft.com/office/drawing/2014/main" id="{C73691AC-4D76-4D6B-9F49-36B499FE60F5}"/>
            </a:ext>
          </a:extLst>
        </xdr:cNvPr>
        <xdr:cNvSpPr/>
      </xdr:nvSpPr>
      <xdr:spPr>
        <a:xfrm rot="16200000">
          <a:off x="3972616" y="20295963"/>
          <a:ext cx="192133" cy="336119"/>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235655</xdr:colOff>
      <xdr:row>141</xdr:row>
      <xdr:rowOff>1349</xdr:rowOff>
    </xdr:from>
    <xdr:to>
      <xdr:col>27</xdr:col>
      <xdr:colOff>579165</xdr:colOff>
      <xdr:row>142</xdr:row>
      <xdr:rowOff>2439</xdr:rowOff>
    </xdr:to>
    <xdr:sp macro="" textlink="">
      <xdr:nvSpPr>
        <xdr:cNvPr id="52" name="Trójkąt prostokątny 51">
          <a:extLst>
            <a:ext uri="{FF2B5EF4-FFF2-40B4-BE49-F238E27FC236}">
              <a16:creationId xmlns:a16="http://schemas.microsoft.com/office/drawing/2014/main" id="{D7F15755-9292-40BC-A450-1E005E100638}"/>
            </a:ext>
          </a:extLst>
        </xdr:cNvPr>
        <xdr:cNvSpPr/>
      </xdr:nvSpPr>
      <xdr:spPr>
        <a:xfrm rot="10800000">
          <a:off x="3893255" y="20560109"/>
          <a:ext cx="343510" cy="183970"/>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259992</xdr:colOff>
      <xdr:row>141</xdr:row>
      <xdr:rowOff>3291</xdr:rowOff>
    </xdr:from>
    <xdr:to>
      <xdr:col>27</xdr:col>
      <xdr:colOff>561290</xdr:colOff>
      <xdr:row>142</xdr:row>
      <xdr:rowOff>1761</xdr:rowOff>
    </xdr:to>
    <xdr:sp macro="" textlink="">
      <xdr:nvSpPr>
        <xdr:cNvPr id="53" name="Trójkąt prostokątny 52">
          <a:extLst>
            <a:ext uri="{FF2B5EF4-FFF2-40B4-BE49-F238E27FC236}">
              <a16:creationId xmlns:a16="http://schemas.microsoft.com/office/drawing/2014/main" id="{7FDF9EA3-1E87-48FA-9688-354B23F59012}"/>
            </a:ext>
          </a:extLst>
        </xdr:cNvPr>
        <xdr:cNvSpPr/>
      </xdr:nvSpPr>
      <xdr:spPr>
        <a:xfrm rot="16200000">
          <a:off x="3977566" y="20502077"/>
          <a:ext cx="181350" cy="301298"/>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254024</xdr:colOff>
      <xdr:row>141</xdr:row>
      <xdr:rowOff>174865</xdr:rowOff>
    </xdr:from>
    <xdr:to>
      <xdr:col>27</xdr:col>
      <xdr:colOff>583953</xdr:colOff>
      <xdr:row>143</xdr:row>
      <xdr:rowOff>2703</xdr:rowOff>
    </xdr:to>
    <xdr:sp macro="" textlink="">
      <xdr:nvSpPr>
        <xdr:cNvPr id="54" name="Trójkąt prostokątny 53">
          <a:extLst>
            <a:ext uri="{FF2B5EF4-FFF2-40B4-BE49-F238E27FC236}">
              <a16:creationId xmlns:a16="http://schemas.microsoft.com/office/drawing/2014/main" id="{45DEBFDB-8053-4233-9A8C-3183D95B87B0}"/>
            </a:ext>
          </a:extLst>
        </xdr:cNvPr>
        <xdr:cNvSpPr/>
      </xdr:nvSpPr>
      <xdr:spPr>
        <a:xfrm rot="10800000">
          <a:off x="3911624" y="20733625"/>
          <a:ext cx="329929" cy="193598"/>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243160</xdr:colOff>
      <xdr:row>142</xdr:row>
      <xdr:rowOff>19634</xdr:rowOff>
    </xdr:from>
    <xdr:to>
      <xdr:col>27</xdr:col>
      <xdr:colOff>586715</xdr:colOff>
      <xdr:row>143</xdr:row>
      <xdr:rowOff>16199</xdr:rowOff>
    </xdr:to>
    <xdr:sp macro="" textlink="">
      <xdr:nvSpPr>
        <xdr:cNvPr id="55" name="Trójkąt prostokątny 54">
          <a:extLst>
            <a:ext uri="{FF2B5EF4-FFF2-40B4-BE49-F238E27FC236}">
              <a16:creationId xmlns:a16="http://schemas.microsoft.com/office/drawing/2014/main" id="{85E5AE8D-3312-4715-BA0F-E1845542F579}"/>
            </a:ext>
          </a:extLst>
        </xdr:cNvPr>
        <xdr:cNvSpPr/>
      </xdr:nvSpPr>
      <xdr:spPr>
        <a:xfrm rot="16200000">
          <a:off x="3982815" y="20679219"/>
          <a:ext cx="179445" cy="343555"/>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544285</xdr:colOff>
      <xdr:row>139</xdr:row>
      <xdr:rowOff>136071</xdr:rowOff>
    </xdr:from>
    <xdr:to>
      <xdr:col>28</xdr:col>
      <xdr:colOff>54428</xdr:colOff>
      <xdr:row>143</xdr:row>
      <xdr:rowOff>32657</xdr:rowOff>
    </xdr:to>
    <xdr:sp macro="" textlink="">
      <xdr:nvSpPr>
        <xdr:cNvPr id="56" name="Prostokąt 55">
          <a:extLst>
            <a:ext uri="{FF2B5EF4-FFF2-40B4-BE49-F238E27FC236}">
              <a16:creationId xmlns:a16="http://schemas.microsoft.com/office/drawing/2014/main" id="{CD7209CB-C39A-4F92-804F-9EDAC71ACCE9}"/>
            </a:ext>
          </a:extLst>
        </xdr:cNvPr>
        <xdr:cNvSpPr/>
      </xdr:nvSpPr>
      <xdr:spPr>
        <a:xfrm>
          <a:off x="4201885" y="20329071"/>
          <a:ext cx="272143" cy="6281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28</xdr:col>
      <xdr:colOff>362112</xdr:colOff>
      <xdr:row>120</xdr:row>
      <xdr:rowOff>111611</xdr:rowOff>
    </xdr:from>
    <xdr:to>
      <xdr:col>29</xdr:col>
      <xdr:colOff>131264</xdr:colOff>
      <xdr:row>122</xdr:row>
      <xdr:rowOff>76201</xdr:rowOff>
    </xdr:to>
    <xdr:pic>
      <xdr:nvPicPr>
        <xdr:cNvPr id="57" name="Obraz 56">
          <a:extLst>
            <a:ext uri="{FF2B5EF4-FFF2-40B4-BE49-F238E27FC236}">
              <a16:creationId xmlns:a16="http://schemas.microsoft.com/office/drawing/2014/main" id="{774EF99E-4D5C-4E4A-B64F-97440CCC1AA2}"/>
            </a:ext>
          </a:extLst>
        </xdr:cNvPr>
        <xdr:cNvPicPr>
          <a:picLocks noChangeAspect="1"/>
        </xdr:cNvPicPr>
      </xdr:nvPicPr>
      <xdr:blipFill rotWithShape="1">
        <a:blip xmlns:r="http://schemas.openxmlformats.org/officeDocument/2006/relationships" r:embed="rId31" cstate="email">
          <a:extLst>
            <a:ext uri="{28A0092B-C50C-407E-A947-70E740481C1C}">
              <a14:useLocalDpi xmlns:a14="http://schemas.microsoft.com/office/drawing/2010/main"/>
            </a:ext>
          </a:extLst>
        </a:blip>
        <a:srcRect/>
        <a:stretch/>
      </xdr:blipFill>
      <xdr:spPr>
        <a:xfrm>
          <a:off x="4781712" y="17149931"/>
          <a:ext cx="382562" cy="383690"/>
        </a:xfrm>
        <a:prstGeom prst="ellipse">
          <a:avLst/>
        </a:prstGeom>
      </xdr:spPr>
    </xdr:pic>
    <xdr:clientData/>
  </xdr:twoCellAnchor>
  <xdr:twoCellAnchor editAs="oneCell">
    <xdr:from>
      <xdr:col>6</xdr:col>
      <xdr:colOff>22411</xdr:colOff>
      <xdr:row>129</xdr:row>
      <xdr:rowOff>89646</xdr:rowOff>
    </xdr:from>
    <xdr:to>
      <xdr:col>22</xdr:col>
      <xdr:colOff>15551</xdr:colOff>
      <xdr:row>134</xdr:row>
      <xdr:rowOff>152401</xdr:rowOff>
    </xdr:to>
    <xdr:pic>
      <xdr:nvPicPr>
        <xdr:cNvPr id="59" name="Grafika 58" descr="Pudełko kontur">
          <a:extLst>
            <a:ext uri="{FF2B5EF4-FFF2-40B4-BE49-F238E27FC236}">
              <a16:creationId xmlns:a16="http://schemas.microsoft.com/office/drawing/2014/main" id="{ABF366B4-47B0-4107-BBBA-D0705D3FA20F}"/>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 uri="{96DAC541-7B7A-43D3-8B79-37D633B846F1}">
              <asvg:svgBlip xmlns:asvg="http://schemas.microsoft.com/office/drawing/2016/SVG/main" r:embed="rId33"/>
            </a:ext>
          </a:extLst>
        </a:blip>
        <a:stretch>
          <a:fillRect/>
        </a:stretch>
      </xdr:blipFill>
      <xdr:spPr>
        <a:xfrm>
          <a:off x="464371" y="18880566"/>
          <a:ext cx="602740" cy="550434"/>
        </a:xfrm>
        <a:prstGeom prst="rect">
          <a:avLst/>
        </a:prstGeom>
      </xdr:spPr>
    </xdr:pic>
    <xdr:clientData/>
  </xdr:twoCellAnchor>
  <xdr:oneCellAnchor>
    <xdr:from>
      <xdr:col>37</xdr:col>
      <xdr:colOff>256172</xdr:colOff>
      <xdr:row>199</xdr:row>
      <xdr:rowOff>73900</xdr:rowOff>
    </xdr:from>
    <xdr:ext cx="170704" cy="159929"/>
    <xdr:pic macro="[0]!kolano90_75i90_add_">
      <xdr:nvPicPr>
        <xdr:cNvPr id="84" name="Grafika 83" descr="Odtwórz z wypełnieniem pełnym">
          <a:extLst>
            <a:ext uri="{FF2B5EF4-FFF2-40B4-BE49-F238E27FC236}">
              <a16:creationId xmlns:a16="http://schemas.microsoft.com/office/drawing/2014/main" id="{8FF35D85-8055-42BE-B289-BB1DFBC5C498}"/>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 uri="{96DAC541-7B7A-43D3-8B79-37D633B846F1}">
              <asvg:svgBlip xmlns:asvg="http://schemas.microsoft.com/office/drawing/2016/SVG/main" r:embed="rId18"/>
            </a:ext>
          </a:extLst>
        </a:blip>
        <a:stretch>
          <a:fillRect/>
        </a:stretch>
      </xdr:blipFill>
      <xdr:spPr>
        <a:xfrm rot="16200000">
          <a:off x="9657019" y="28963553"/>
          <a:ext cx="159929" cy="170704"/>
        </a:xfrm>
        <a:prstGeom prst="rect">
          <a:avLst/>
        </a:prstGeom>
      </xdr:spPr>
    </xdr:pic>
    <xdr:clientData/>
  </xdr:oneCellAnchor>
  <xdr:oneCellAnchor>
    <xdr:from>
      <xdr:col>37</xdr:col>
      <xdr:colOff>270269</xdr:colOff>
      <xdr:row>201</xdr:row>
      <xdr:rowOff>136836</xdr:rowOff>
    </xdr:from>
    <xdr:ext cx="161179" cy="148202"/>
    <xdr:pic macro="[0]!kolano90_75i90_err">
      <xdr:nvPicPr>
        <xdr:cNvPr id="85" name="Grafika 84" descr="Odtwórz z wypełnieniem pełnym">
          <a:extLst>
            <a:ext uri="{FF2B5EF4-FFF2-40B4-BE49-F238E27FC236}">
              <a16:creationId xmlns:a16="http://schemas.microsoft.com/office/drawing/2014/main" id="{5CE94BED-79A2-4D5B-B98F-117CBBBCC52B}"/>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 uri="{96DAC541-7B7A-43D3-8B79-37D633B846F1}">
              <asvg:svgBlip xmlns:asvg="http://schemas.microsoft.com/office/drawing/2016/SVG/main" r:embed="rId20"/>
            </a:ext>
          </a:extLst>
        </a:blip>
        <a:stretch>
          <a:fillRect/>
        </a:stretch>
      </xdr:blipFill>
      <xdr:spPr>
        <a:xfrm rot="5400000">
          <a:off x="9672218" y="29383527"/>
          <a:ext cx="148202" cy="161179"/>
        </a:xfrm>
        <a:prstGeom prst="rect">
          <a:avLst/>
        </a:prstGeom>
      </xdr:spPr>
    </xdr:pic>
    <xdr:clientData/>
  </xdr:oneCellAnchor>
  <xdr:twoCellAnchor>
    <xdr:from>
      <xdr:col>38</xdr:col>
      <xdr:colOff>0</xdr:colOff>
      <xdr:row>201</xdr:row>
      <xdr:rowOff>114300</xdr:rowOff>
    </xdr:from>
    <xdr:to>
      <xdr:col>38</xdr:col>
      <xdr:colOff>409575</xdr:colOff>
      <xdr:row>202</xdr:row>
      <xdr:rowOff>102234</xdr:rowOff>
    </xdr:to>
    <xdr:sp macro="[0]!kolano90_75i90_auto" textlink="">
      <xdr:nvSpPr>
        <xdr:cNvPr id="86" name="pole tekstowe 85">
          <a:extLst>
            <a:ext uri="{FF2B5EF4-FFF2-40B4-BE49-F238E27FC236}">
              <a16:creationId xmlns:a16="http://schemas.microsoft.com/office/drawing/2014/main" id="{1A3F8222-E485-4F69-ABD5-EF5908377E01}"/>
            </a:ext>
          </a:extLst>
        </xdr:cNvPr>
        <xdr:cNvSpPr txBox="1"/>
      </xdr:nvSpPr>
      <xdr:spPr>
        <a:xfrm>
          <a:off x="10066020" y="29367480"/>
          <a:ext cx="409575" cy="16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i="1">
              <a:solidFill>
                <a:schemeClr val="accent2"/>
              </a:solidFill>
              <a:latin typeface="Roboto Condensed" panose="02000000000000000000" pitchFamily="2" charset="0"/>
              <a:ea typeface="Roboto Condensed" panose="02000000000000000000" pitchFamily="2" charset="0"/>
            </a:rPr>
            <a:t>Auto</a:t>
          </a:r>
          <a:endParaRPr lang="en-US" sz="1000" i="1">
            <a:solidFill>
              <a:schemeClr val="accent2"/>
            </a:solidFill>
            <a:latin typeface="Roboto Condensed" panose="02000000000000000000" pitchFamily="2" charset="0"/>
            <a:ea typeface="Roboto Condensed" panose="02000000000000000000" pitchFamily="2" charset="0"/>
          </a:endParaRPr>
        </a:p>
      </xdr:txBody>
    </xdr:sp>
    <xdr:clientData/>
  </xdr:twoCellAnchor>
  <xdr:twoCellAnchor>
    <xdr:from>
      <xdr:col>38</xdr:col>
      <xdr:colOff>0</xdr:colOff>
      <xdr:row>167</xdr:row>
      <xdr:rowOff>114300</xdr:rowOff>
    </xdr:from>
    <xdr:to>
      <xdr:col>38</xdr:col>
      <xdr:colOff>409575</xdr:colOff>
      <xdr:row>168</xdr:row>
      <xdr:rowOff>102234</xdr:rowOff>
    </xdr:to>
    <xdr:sp macro="[0]!kanalDN75_auto" textlink="">
      <xdr:nvSpPr>
        <xdr:cNvPr id="87" name="pole tekstowe 86">
          <a:extLst>
            <a:ext uri="{FF2B5EF4-FFF2-40B4-BE49-F238E27FC236}">
              <a16:creationId xmlns:a16="http://schemas.microsoft.com/office/drawing/2014/main" id="{22B141DB-8DD0-40B1-881C-EAA47D6E754D}"/>
            </a:ext>
          </a:extLst>
        </xdr:cNvPr>
        <xdr:cNvSpPr txBox="1"/>
      </xdr:nvSpPr>
      <xdr:spPr>
        <a:xfrm>
          <a:off x="10066020" y="25138380"/>
          <a:ext cx="409575" cy="16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i="1">
              <a:solidFill>
                <a:schemeClr val="accent2"/>
              </a:solidFill>
              <a:latin typeface="Roboto Condensed" panose="02000000000000000000" pitchFamily="2" charset="0"/>
              <a:ea typeface="Roboto Condensed" panose="02000000000000000000" pitchFamily="2" charset="0"/>
            </a:rPr>
            <a:t>Auto</a:t>
          </a:r>
          <a:endParaRPr lang="en-US" sz="1000" i="1">
            <a:solidFill>
              <a:schemeClr val="accent2"/>
            </a:solidFill>
            <a:latin typeface="Roboto Condensed" panose="02000000000000000000" pitchFamily="2" charset="0"/>
            <a:ea typeface="Roboto Condensed" panose="02000000000000000000" pitchFamily="2" charset="0"/>
          </a:endParaRPr>
        </a:p>
      </xdr:txBody>
    </xdr:sp>
    <xdr:clientData/>
  </xdr:twoCellAnchor>
  <xdr:oneCellAnchor>
    <xdr:from>
      <xdr:col>28</xdr:col>
      <xdr:colOff>235218</xdr:colOff>
      <xdr:row>199</xdr:row>
      <xdr:rowOff>73899</xdr:rowOff>
    </xdr:from>
    <xdr:ext cx="170704" cy="159929"/>
    <xdr:pic macro="[0]!kanal200_75i90_add_">
      <xdr:nvPicPr>
        <xdr:cNvPr id="89" name="Grafika 88" descr="Odtwórz z wypełnieniem pełnym">
          <a:extLst>
            <a:ext uri="{FF2B5EF4-FFF2-40B4-BE49-F238E27FC236}">
              <a16:creationId xmlns:a16="http://schemas.microsoft.com/office/drawing/2014/main" id="{E1846593-6539-4884-9AF2-233DF74C1E03}"/>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 uri="{96DAC541-7B7A-43D3-8B79-37D633B846F1}">
              <asvg:svgBlip xmlns:asvg="http://schemas.microsoft.com/office/drawing/2016/SVG/main" r:embed="rId18"/>
            </a:ext>
          </a:extLst>
        </a:blip>
        <a:stretch>
          <a:fillRect/>
        </a:stretch>
      </xdr:blipFill>
      <xdr:spPr>
        <a:xfrm rot="16200000">
          <a:off x="4660205" y="28963552"/>
          <a:ext cx="159929" cy="170704"/>
        </a:xfrm>
        <a:prstGeom prst="rect">
          <a:avLst/>
        </a:prstGeom>
      </xdr:spPr>
    </xdr:pic>
    <xdr:clientData/>
  </xdr:oneCellAnchor>
  <xdr:oneCellAnchor>
    <xdr:from>
      <xdr:col>28</xdr:col>
      <xdr:colOff>237884</xdr:colOff>
      <xdr:row>201</xdr:row>
      <xdr:rowOff>142548</xdr:rowOff>
    </xdr:from>
    <xdr:ext cx="161179" cy="148202"/>
    <xdr:pic macro="[0]!kanal200_75i90_err">
      <xdr:nvPicPr>
        <xdr:cNvPr id="90" name="Grafika 89" descr="Odtwórz z wypełnieniem pełnym">
          <a:extLst>
            <a:ext uri="{FF2B5EF4-FFF2-40B4-BE49-F238E27FC236}">
              <a16:creationId xmlns:a16="http://schemas.microsoft.com/office/drawing/2014/main" id="{BDF9D983-9636-41A3-911C-DFAD7BEF2905}"/>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 uri="{96DAC541-7B7A-43D3-8B79-37D633B846F1}">
              <asvg:svgBlip xmlns:asvg="http://schemas.microsoft.com/office/drawing/2016/SVG/main" r:embed="rId20"/>
            </a:ext>
          </a:extLst>
        </a:blip>
        <a:stretch>
          <a:fillRect/>
        </a:stretch>
      </xdr:blipFill>
      <xdr:spPr>
        <a:xfrm rot="5400000">
          <a:off x="4663973" y="29389239"/>
          <a:ext cx="148202" cy="161179"/>
        </a:xfrm>
        <a:prstGeom prst="rect">
          <a:avLst/>
        </a:prstGeom>
      </xdr:spPr>
    </xdr:pic>
    <xdr:clientData/>
  </xdr:oneCellAnchor>
  <xdr:twoCellAnchor>
    <xdr:from>
      <xdr:col>28</xdr:col>
      <xdr:colOff>607695</xdr:colOff>
      <xdr:row>201</xdr:row>
      <xdr:rowOff>123825</xdr:rowOff>
    </xdr:from>
    <xdr:to>
      <xdr:col>29</xdr:col>
      <xdr:colOff>401955</xdr:colOff>
      <xdr:row>202</xdr:row>
      <xdr:rowOff>104139</xdr:rowOff>
    </xdr:to>
    <xdr:sp macro="[0]!kanal200_75i90_auto" textlink="">
      <xdr:nvSpPr>
        <xdr:cNvPr id="91" name="pole tekstowe 90">
          <a:extLst>
            <a:ext uri="{FF2B5EF4-FFF2-40B4-BE49-F238E27FC236}">
              <a16:creationId xmlns:a16="http://schemas.microsoft.com/office/drawing/2014/main" id="{2B35D3AA-7F59-4CEB-B462-2E8802F49718}"/>
            </a:ext>
          </a:extLst>
        </xdr:cNvPr>
        <xdr:cNvSpPr txBox="1"/>
      </xdr:nvSpPr>
      <xdr:spPr>
        <a:xfrm>
          <a:off x="5027295" y="29377005"/>
          <a:ext cx="403860" cy="1555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i="1">
              <a:solidFill>
                <a:schemeClr val="accent2"/>
              </a:solidFill>
              <a:latin typeface="Roboto Condensed" panose="02000000000000000000" pitchFamily="2" charset="0"/>
              <a:ea typeface="Roboto Condensed" panose="02000000000000000000" pitchFamily="2" charset="0"/>
            </a:rPr>
            <a:t>Auto</a:t>
          </a:r>
          <a:endParaRPr lang="en-US" sz="1000" i="1">
            <a:solidFill>
              <a:schemeClr val="accent2"/>
            </a:solidFill>
            <a:latin typeface="Roboto Condensed" panose="02000000000000000000" pitchFamily="2" charset="0"/>
            <a:ea typeface="Roboto Condensed" panose="02000000000000000000" pitchFamily="2" charset="0"/>
          </a:endParaRPr>
        </a:p>
      </xdr:txBody>
    </xdr:sp>
    <xdr:clientData/>
  </xdr:twoCellAnchor>
  <xdr:twoCellAnchor editAs="oneCell">
    <xdr:from>
      <xdr:col>6</xdr:col>
      <xdr:colOff>5715</xdr:colOff>
      <xdr:row>195</xdr:row>
      <xdr:rowOff>135255</xdr:rowOff>
    </xdr:from>
    <xdr:to>
      <xdr:col>20</xdr:col>
      <xdr:colOff>16724</xdr:colOff>
      <xdr:row>198</xdr:row>
      <xdr:rowOff>132488</xdr:rowOff>
    </xdr:to>
    <xdr:pic>
      <xdr:nvPicPr>
        <xdr:cNvPr id="92" name="Grafika 91" descr="Trasa (ścieżka między dwiema pinezkami) kontur">
          <a:extLst>
            <a:ext uri="{FF2B5EF4-FFF2-40B4-BE49-F238E27FC236}">
              <a16:creationId xmlns:a16="http://schemas.microsoft.com/office/drawing/2014/main" id="{AADE4C18-D8CC-4A4A-89EF-611788DDC6E9}"/>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 uri="{96DAC541-7B7A-43D3-8B79-37D633B846F1}">
              <asvg:svgBlip xmlns:asvg="http://schemas.microsoft.com/office/drawing/2016/SVG/main" r:embed="rId16"/>
            </a:ext>
          </a:extLst>
        </a:blip>
        <a:stretch>
          <a:fillRect/>
        </a:stretch>
      </xdr:blipFill>
      <xdr:spPr>
        <a:xfrm>
          <a:off x="443865" y="29986605"/>
          <a:ext cx="548219" cy="515393"/>
        </a:xfrm>
        <a:prstGeom prst="rect">
          <a:avLst/>
        </a:prstGeom>
      </xdr:spPr>
    </xdr:pic>
    <xdr:clientData/>
  </xdr:twoCellAnchor>
  <xdr:twoCellAnchor editAs="oneCell">
    <xdr:from>
      <xdr:col>31</xdr:col>
      <xdr:colOff>74614</xdr:colOff>
      <xdr:row>228</xdr:row>
      <xdr:rowOff>76517</xdr:rowOff>
    </xdr:from>
    <xdr:to>
      <xdr:col>32</xdr:col>
      <xdr:colOff>529591</xdr:colOff>
      <xdr:row>232</xdr:row>
      <xdr:rowOff>39698</xdr:rowOff>
    </xdr:to>
    <xdr:pic>
      <xdr:nvPicPr>
        <xdr:cNvPr id="93" name="Obraz 92">
          <a:extLst>
            <a:ext uri="{FF2B5EF4-FFF2-40B4-BE49-F238E27FC236}">
              <a16:creationId xmlns:a16="http://schemas.microsoft.com/office/drawing/2014/main" id="{889E7CEB-13C0-45E7-9FCD-04C43EA998E8}"/>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6084889" y="33118742"/>
          <a:ext cx="569277" cy="687081"/>
        </a:xfrm>
        <a:prstGeom prst="rect">
          <a:avLst/>
        </a:prstGeom>
      </xdr:spPr>
    </xdr:pic>
    <xdr:clientData/>
  </xdr:twoCellAnchor>
  <xdr:oneCellAnchor>
    <xdr:from>
      <xdr:col>28</xdr:col>
      <xdr:colOff>228600</xdr:colOff>
      <xdr:row>223</xdr:row>
      <xdr:rowOff>91441</xdr:rowOff>
    </xdr:from>
    <xdr:ext cx="170704" cy="159929"/>
    <xdr:pic macro="[0]!kolano45_75i90_add_">
      <xdr:nvPicPr>
        <xdr:cNvPr id="94" name="Grafika 93" descr="Odtwórz z wypełnieniem pełnym">
          <a:extLst>
            <a:ext uri="{FF2B5EF4-FFF2-40B4-BE49-F238E27FC236}">
              <a16:creationId xmlns:a16="http://schemas.microsoft.com/office/drawing/2014/main" id="{DBF730FA-DCE8-4FCB-9EBA-1F704ABD2D23}"/>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 uri="{96DAC541-7B7A-43D3-8B79-37D633B846F1}">
              <asvg:svgBlip xmlns:asvg="http://schemas.microsoft.com/office/drawing/2016/SVG/main" r:embed="rId18"/>
            </a:ext>
          </a:extLst>
        </a:blip>
        <a:stretch>
          <a:fillRect/>
        </a:stretch>
      </xdr:blipFill>
      <xdr:spPr>
        <a:xfrm rot="16200000">
          <a:off x="4653587" y="32364374"/>
          <a:ext cx="159929" cy="170704"/>
        </a:xfrm>
        <a:prstGeom prst="rect">
          <a:avLst/>
        </a:prstGeom>
      </xdr:spPr>
    </xdr:pic>
    <xdr:clientData/>
  </xdr:oneCellAnchor>
  <xdr:oneCellAnchor>
    <xdr:from>
      <xdr:col>28</xdr:col>
      <xdr:colOff>231266</xdr:colOff>
      <xdr:row>225</xdr:row>
      <xdr:rowOff>106750</xdr:rowOff>
    </xdr:from>
    <xdr:ext cx="161179" cy="148202"/>
    <xdr:pic macro="[0]!kolano45_75i90_err">
      <xdr:nvPicPr>
        <xdr:cNvPr id="95" name="Grafika 94" descr="Odtwórz z wypełnieniem pełnym">
          <a:extLst>
            <a:ext uri="{FF2B5EF4-FFF2-40B4-BE49-F238E27FC236}">
              <a16:creationId xmlns:a16="http://schemas.microsoft.com/office/drawing/2014/main" id="{063378B5-D27A-4004-8A51-3663A45147FB}"/>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 uri="{96DAC541-7B7A-43D3-8B79-37D633B846F1}">
              <asvg:svgBlip xmlns:asvg="http://schemas.microsoft.com/office/drawing/2016/SVG/main" r:embed="rId20"/>
            </a:ext>
          </a:extLst>
        </a:blip>
        <a:stretch>
          <a:fillRect/>
        </a:stretch>
      </xdr:blipFill>
      <xdr:spPr>
        <a:xfrm rot="5400000">
          <a:off x="4657355" y="32744341"/>
          <a:ext cx="148202" cy="161179"/>
        </a:xfrm>
        <a:prstGeom prst="rect">
          <a:avLst/>
        </a:prstGeom>
      </xdr:spPr>
    </xdr:pic>
    <xdr:clientData/>
  </xdr:oneCellAnchor>
  <xdr:oneCellAnchor>
    <xdr:from>
      <xdr:col>37</xdr:col>
      <xdr:colOff>259080</xdr:colOff>
      <xdr:row>223</xdr:row>
      <xdr:rowOff>99062</xdr:rowOff>
    </xdr:from>
    <xdr:ext cx="170704" cy="159929"/>
    <xdr:pic macro="[0]!kolano75i90_add_">
      <xdr:nvPicPr>
        <xdr:cNvPr id="96" name="Grafika 95" descr="Odtwórz z wypełnieniem pełnym">
          <a:extLst>
            <a:ext uri="{FF2B5EF4-FFF2-40B4-BE49-F238E27FC236}">
              <a16:creationId xmlns:a16="http://schemas.microsoft.com/office/drawing/2014/main" id="{37F57BEE-F604-436A-A9A7-7B06DC136CCC}"/>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 uri="{96DAC541-7B7A-43D3-8B79-37D633B846F1}">
              <asvg:svgBlip xmlns:asvg="http://schemas.microsoft.com/office/drawing/2016/SVG/main" r:embed="rId18"/>
            </a:ext>
          </a:extLst>
        </a:blip>
        <a:stretch>
          <a:fillRect/>
        </a:stretch>
      </xdr:blipFill>
      <xdr:spPr>
        <a:xfrm rot="16200000">
          <a:off x="9659927" y="32371995"/>
          <a:ext cx="159929" cy="170704"/>
        </a:xfrm>
        <a:prstGeom prst="rect">
          <a:avLst/>
        </a:prstGeom>
      </xdr:spPr>
    </xdr:pic>
    <xdr:clientData/>
  </xdr:oneCellAnchor>
  <xdr:oneCellAnchor>
    <xdr:from>
      <xdr:col>37</xdr:col>
      <xdr:colOff>261746</xdr:colOff>
      <xdr:row>225</xdr:row>
      <xdr:rowOff>114371</xdr:rowOff>
    </xdr:from>
    <xdr:ext cx="161179" cy="148202"/>
    <xdr:pic macro="[0]!kolano75i90_err">
      <xdr:nvPicPr>
        <xdr:cNvPr id="97" name="Grafika 96" descr="Odtwórz z wypełnieniem pełnym">
          <a:extLst>
            <a:ext uri="{FF2B5EF4-FFF2-40B4-BE49-F238E27FC236}">
              <a16:creationId xmlns:a16="http://schemas.microsoft.com/office/drawing/2014/main" id="{4D06AC1B-F35A-4F67-9A35-C133CE66D7AB}"/>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 uri="{96DAC541-7B7A-43D3-8B79-37D633B846F1}">
              <asvg:svgBlip xmlns:asvg="http://schemas.microsoft.com/office/drawing/2016/SVG/main" r:embed="rId20"/>
            </a:ext>
          </a:extLst>
        </a:blip>
        <a:stretch>
          <a:fillRect/>
        </a:stretch>
      </xdr:blipFill>
      <xdr:spPr>
        <a:xfrm rot="5400000">
          <a:off x="9663695" y="32751962"/>
          <a:ext cx="148202" cy="161179"/>
        </a:xfrm>
        <a:prstGeom prst="rect">
          <a:avLst/>
        </a:prstGeom>
      </xdr:spPr>
    </xdr:pic>
    <xdr:clientData/>
  </xdr:oneCellAnchor>
  <xdr:oneCellAnchor>
    <xdr:from>
      <xdr:col>37</xdr:col>
      <xdr:colOff>259080</xdr:colOff>
      <xdr:row>218</xdr:row>
      <xdr:rowOff>68583</xdr:rowOff>
    </xdr:from>
    <xdr:ext cx="170704" cy="159929"/>
    <xdr:pic macro="[0]!lacznik75i90_add_">
      <xdr:nvPicPr>
        <xdr:cNvPr id="98" name="Grafika 97" descr="Odtwórz z wypełnieniem pełnym">
          <a:extLst>
            <a:ext uri="{FF2B5EF4-FFF2-40B4-BE49-F238E27FC236}">
              <a16:creationId xmlns:a16="http://schemas.microsoft.com/office/drawing/2014/main" id="{FBD05C12-9F29-408E-AD5C-FAA4B8DCE0A9}"/>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 uri="{96DAC541-7B7A-43D3-8B79-37D633B846F1}">
              <asvg:svgBlip xmlns:asvg="http://schemas.microsoft.com/office/drawing/2016/SVG/main" r:embed="rId18"/>
            </a:ext>
          </a:extLst>
        </a:blip>
        <a:stretch>
          <a:fillRect/>
        </a:stretch>
      </xdr:blipFill>
      <xdr:spPr>
        <a:xfrm rot="16200000">
          <a:off x="9659927" y="31457596"/>
          <a:ext cx="159929" cy="170704"/>
        </a:xfrm>
        <a:prstGeom prst="rect">
          <a:avLst/>
        </a:prstGeom>
      </xdr:spPr>
    </xdr:pic>
    <xdr:clientData/>
  </xdr:oneCellAnchor>
  <xdr:oneCellAnchor>
    <xdr:from>
      <xdr:col>37</xdr:col>
      <xdr:colOff>261746</xdr:colOff>
      <xdr:row>220</xdr:row>
      <xdr:rowOff>121992</xdr:rowOff>
    </xdr:from>
    <xdr:ext cx="161179" cy="148202"/>
    <xdr:pic macro="[0]!lacznik75i90_err">
      <xdr:nvPicPr>
        <xdr:cNvPr id="99" name="Grafika 98" descr="Odtwórz z wypełnieniem pełnym">
          <a:extLst>
            <a:ext uri="{FF2B5EF4-FFF2-40B4-BE49-F238E27FC236}">
              <a16:creationId xmlns:a16="http://schemas.microsoft.com/office/drawing/2014/main" id="{5D2CD301-CA85-4126-B7C0-699D32CB0043}"/>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 uri="{96DAC541-7B7A-43D3-8B79-37D633B846F1}">
              <asvg:svgBlip xmlns:asvg="http://schemas.microsoft.com/office/drawing/2016/SVG/main" r:embed="rId20"/>
            </a:ext>
          </a:extLst>
        </a:blip>
        <a:stretch>
          <a:fillRect/>
        </a:stretch>
      </xdr:blipFill>
      <xdr:spPr>
        <a:xfrm rot="5400000">
          <a:off x="9663695" y="31868043"/>
          <a:ext cx="148202" cy="161179"/>
        </a:xfrm>
        <a:prstGeom prst="rect">
          <a:avLst/>
        </a:prstGeom>
      </xdr:spPr>
    </xdr:pic>
    <xdr:clientData/>
  </xdr:oneCellAnchor>
  <xdr:oneCellAnchor>
    <xdr:from>
      <xdr:col>37</xdr:col>
      <xdr:colOff>262890</xdr:colOff>
      <xdr:row>228</xdr:row>
      <xdr:rowOff>91444</xdr:rowOff>
    </xdr:from>
    <xdr:ext cx="170704" cy="159929"/>
    <xdr:pic macro="[0]!trojnik75i90_add_">
      <xdr:nvPicPr>
        <xdr:cNvPr id="100" name="Grafika 99" descr="Odtwórz z wypełnieniem pełnym">
          <a:extLst>
            <a:ext uri="{FF2B5EF4-FFF2-40B4-BE49-F238E27FC236}">
              <a16:creationId xmlns:a16="http://schemas.microsoft.com/office/drawing/2014/main" id="{3543F248-B93B-4A86-958F-44FA2C9AF553}"/>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 uri="{96DAC541-7B7A-43D3-8B79-37D633B846F1}">
              <asvg:svgBlip xmlns:asvg="http://schemas.microsoft.com/office/drawing/2016/SVG/main" r:embed="rId18"/>
            </a:ext>
          </a:extLst>
        </a:blip>
        <a:stretch>
          <a:fillRect/>
        </a:stretch>
      </xdr:blipFill>
      <xdr:spPr>
        <a:xfrm rot="16200000">
          <a:off x="9650402" y="33128282"/>
          <a:ext cx="159929" cy="170704"/>
        </a:xfrm>
        <a:prstGeom prst="rect">
          <a:avLst/>
        </a:prstGeom>
      </xdr:spPr>
    </xdr:pic>
    <xdr:clientData/>
  </xdr:oneCellAnchor>
  <xdr:oneCellAnchor>
    <xdr:from>
      <xdr:col>37</xdr:col>
      <xdr:colOff>267461</xdr:colOff>
      <xdr:row>230</xdr:row>
      <xdr:rowOff>133423</xdr:rowOff>
    </xdr:from>
    <xdr:ext cx="161179" cy="148202"/>
    <xdr:pic macro="[0]!trojnik75i90_err">
      <xdr:nvPicPr>
        <xdr:cNvPr id="101" name="Grafika 100" descr="Odtwórz z wypełnieniem pełnym">
          <a:extLst>
            <a:ext uri="{FF2B5EF4-FFF2-40B4-BE49-F238E27FC236}">
              <a16:creationId xmlns:a16="http://schemas.microsoft.com/office/drawing/2014/main" id="{70607BBA-B7B9-428E-896B-680AAB9E83A7}"/>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 uri="{96DAC541-7B7A-43D3-8B79-37D633B846F1}">
              <asvg:svgBlip xmlns:asvg="http://schemas.microsoft.com/office/drawing/2016/SVG/main" r:embed="rId20"/>
            </a:ext>
          </a:extLst>
        </a:blip>
        <a:stretch>
          <a:fillRect/>
        </a:stretch>
      </xdr:blipFill>
      <xdr:spPr>
        <a:xfrm rot="5400000">
          <a:off x="9656075" y="33531109"/>
          <a:ext cx="148202" cy="161179"/>
        </a:xfrm>
        <a:prstGeom prst="rect">
          <a:avLst/>
        </a:prstGeom>
      </xdr:spPr>
    </xdr:pic>
    <xdr:clientData/>
  </xdr:oneCellAnchor>
  <xdr:oneCellAnchor>
    <xdr:from>
      <xdr:col>28</xdr:col>
      <xdr:colOff>228600</xdr:colOff>
      <xdr:row>228</xdr:row>
      <xdr:rowOff>83825</xdr:rowOff>
    </xdr:from>
    <xdr:ext cx="170704" cy="159929"/>
    <xdr:pic macro="[0]!mufa200_75i90_add_">
      <xdr:nvPicPr>
        <xdr:cNvPr id="102" name="Grafika 101" descr="Odtwórz z wypełnieniem pełnym">
          <a:extLst>
            <a:ext uri="{FF2B5EF4-FFF2-40B4-BE49-F238E27FC236}">
              <a16:creationId xmlns:a16="http://schemas.microsoft.com/office/drawing/2014/main" id="{CFC604FA-D23B-4DCD-BDFB-D12773042823}"/>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 uri="{96DAC541-7B7A-43D3-8B79-37D633B846F1}">
              <asvg:svgBlip xmlns:asvg="http://schemas.microsoft.com/office/drawing/2016/SVG/main" r:embed="rId18"/>
            </a:ext>
          </a:extLst>
        </a:blip>
        <a:stretch>
          <a:fillRect/>
        </a:stretch>
      </xdr:blipFill>
      <xdr:spPr>
        <a:xfrm rot="16200000">
          <a:off x="4653587" y="33271158"/>
          <a:ext cx="159929" cy="170704"/>
        </a:xfrm>
        <a:prstGeom prst="rect">
          <a:avLst/>
        </a:prstGeom>
      </xdr:spPr>
    </xdr:pic>
    <xdr:clientData/>
  </xdr:oneCellAnchor>
  <xdr:oneCellAnchor>
    <xdr:from>
      <xdr:col>28</xdr:col>
      <xdr:colOff>231266</xdr:colOff>
      <xdr:row>230</xdr:row>
      <xdr:rowOff>114374</xdr:rowOff>
    </xdr:from>
    <xdr:ext cx="161179" cy="148202"/>
    <xdr:pic macro="[0]!mufa200_75i90_err">
      <xdr:nvPicPr>
        <xdr:cNvPr id="103" name="Grafika 102" descr="Odtwórz z wypełnieniem pełnym">
          <a:extLst>
            <a:ext uri="{FF2B5EF4-FFF2-40B4-BE49-F238E27FC236}">
              <a16:creationId xmlns:a16="http://schemas.microsoft.com/office/drawing/2014/main" id="{5B1E6E64-BC89-46A8-85A5-6D0409395D1A}"/>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 uri="{96DAC541-7B7A-43D3-8B79-37D633B846F1}">
              <asvg:svgBlip xmlns:asvg="http://schemas.microsoft.com/office/drawing/2016/SVG/main" r:embed="rId20"/>
            </a:ext>
          </a:extLst>
        </a:blip>
        <a:stretch>
          <a:fillRect/>
        </a:stretch>
      </xdr:blipFill>
      <xdr:spPr>
        <a:xfrm rot="5400000">
          <a:off x="4657355" y="33666365"/>
          <a:ext cx="148202" cy="161179"/>
        </a:xfrm>
        <a:prstGeom prst="rect">
          <a:avLst/>
        </a:prstGeom>
      </xdr:spPr>
    </xdr:pic>
    <xdr:clientData/>
  </xdr:oneCellAnchor>
  <xdr:oneCellAnchor>
    <xdr:from>
      <xdr:col>28</xdr:col>
      <xdr:colOff>228601</xdr:colOff>
      <xdr:row>218</xdr:row>
      <xdr:rowOff>76201</xdr:rowOff>
    </xdr:from>
    <xdr:ext cx="170704" cy="159929"/>
    <xdr:pic macro="[0]!noz75i90_add_">
      <xdr:nvPicPr>
        <xdr:cNvPr id="108" name="Grafika 107" descr="Odtwórz z wypełnieniem pełnym">
          <a:extLst>
            <a:ext uri="{FF2B5EF4-FFF2-40B4-BE49-F238E27FC236}">
              <a16:creationId xmlns:a16="http://schemas.microsoft.com/office/drawing/2014/main" id="{432FF3FB-3707-497A-B571-4E4D293DBE68}"/>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 uri="{96DAC541-7B7A-43D3-8B79-37D633B846F1}">
              <asvg:svgBlip xmlns:asvg="http://schemas.microsoft.com/office/drawing/2016/SVG/main" r:embed="rId18"/>
            </a:ext>
          </a:extLst>
        </a:blip>
        <a:stretch>
          <a:fillRect/>
        </a:stretch>
      </xdr:blipFill>
      <xdr:spPr>
        <a:xfrm rot="16200000">
          <a:off x="4653588" y="31465214"/>
          <a:ext cx="159929" cy="170704"/>
        </a:xfrm>
        <a:prstGeom prst="rect">
          <a:avLst/>
        </a:prstGeom>
      </xdr:spPr>
    </xdr:pic>
    <xdr:clientData/>
  </xdr:oneCellAnchor>
  <xdr:oneCellAnchor>
    <xdr:from>
      <xdr:col>28</xdr:col>
      <xdr:colOff>231266</xdr:colOff>
      <xdr:row>220</xdr:row>
      <xdr:rowOff>144851</xdr:rowOff>
    </xdr:from>
    <xdr:ext cx="161179" cy="148202"/>
    <xdr:pic macro="[0]!noz75i90_err">
      <xdr:nvPicPr>
        <xdr:cNvPr id="109" name="Grafika 108" descr="Odtwórz z wypełnieniem pełnym">
          <a:extLst>
            <a:ext uri="{FF2B5EF4-FFF2-40B4-BE49-F238E27FC236}">
              <a16:creationId xmlns:a16="http://schemas.microsoft.com/office/drawing/2014/main" id="{55BE94A4-014A-468A-A1A5-E79B145F55D6}"/>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 uri="{96DAC541-7B7A-43D3-8B79-37D633B846F1}">
              <asvg:svgBlip xmlns:asvg="http://schemas.microsoft.com/office/drawing/2016/SVG/main" r:embed="rId20"/>
            </a:ext>
          </a:extLst>
        </a:blip>
        <a:stretch>
          <a:fillRect/>
        </a:stretch>
      </xdr:blipFill>
      <xdr:spPr>
        <a:xfrm rot="5400000">
          <a:off x="4657355" y="31890902"/>
          <a:ext cx="148202" cy="161179"/>
        </a:xfrm>
        <a:prstGeom prst="rect">
          <a:avLst/>
        </a:prstGeom>
      </xdr:spPr>
    </xdr:pic>
    <xdr:clientData/>
  </xdr:oneCellAnchor>
  <xdr:oneCellAnchor>
    <xdr:from>
      <xdr:col>28</xdr:col>
      <xdr:colOff>239269</xdr:colOff>
      <xdr:row>134</xdr:row>
      <xdr:rowOff>167640</xdr:rowOff>
    </xdr:from>
    <xdr:ext cx="170704" cy="159929"/>
    <xdr:pic macro="[0]!R_centrala_add_">
      <xdr:nvPicPr>
        <xdr:cNvPr id="111" name="Grafika 110" descr="Odtwórz z wypełnieniem pełnym">
          <a:extLst>
            <a:ext uri="{FF2B5EF4-FFF2-40B4-BE49-F238E27FC236}">
              <a16:creationId xmlns:a16="http://schemas.microsoft.com/office/drawing/2014/main" id="{7D441F46-BD7A-43E6-9CCE-B526EB65D2F5}"/>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 uri="{96DAC541-7B7A-43D3-8B79-37D633B846F1}">
              <asvg:svgBlip xmlns:asvg="http://schemas.microsoft.com/office/drawing/2016/SVG/main" r:embed="rId18"/>
            </a:ext>
          </a:extLst>
        </a:blip>
        <a:stretch>
          <a:fillRect/>
        </a:stretch>
      </xdr:blipFill>
      <xdr:spPr>
        <a:xfrm rot="16200000">
          <a:off x="4664256" y="19440853"/>
          <a:ext cx="159929" cy="170704"/>
        </a:xfrm>
        <a:prstGeom prst="rect">
          <a:avLst/>
        </a:prstGeom>
      </xdr:spPr>
    </xdr:pic>
    <xdr:clientData/>
  </xdr:oneCellAnchor>
  <xdr:oneCellAnchor>
    <xdr:from>
      <xdr:col>28</xdr:col>
      <xdr:colOff>236221</xdr:colOff>
      <xdr:row>137</xdr:row>
      <xdr:rowOff>36264</xdr:rowOff>
    </xdr:from>
    <xdr:ext cx="161179" cy="148202"/>
    <xdr:pic macro="[0]!R_centrala_err">
      <xdr:nvPicPr>
        <xdr:cNvPr id="112" name="Grafika 111" descr="Odtwórz z wypełnieniem pełnym">
          <a:extLst>
            <a:ext uri="{FF2B5EF4-FFF2-40B4-BE49-F238E27FC236}">
              <a16:creationId xmlns:a16="http://schemas.microsoft.com/office/drawing/2014/main" id="{DDA69FA0-C1D4-46AB-8F58-A49C9022852C}"/>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 uri="{96DAC541-7B7A-43D3-8B79-37D633B846F1}">
              <asvg:svgBlip xmlns:asvg="http://schemas.microsoft.com/office/drawing/2016/SVG/main" r:embed="rId20"/>
            </a:ext>
          </a:extLst>
        </a:blip>
        <a:stretch>
          <a:fillRect/>
        </a:stretch>
      </xdr:blipFill>
      <xdr:spPr>
        <a:xfrm rot="5400000">
          <a:off x="4662310" y="19857015"/>
          <a:ext cx="148202" cy="161179"/>
        </a:xfrm>
        <a:prstGeom prst="rect">
          <a:avLst/>
        </a:prstGeom>
      </xdr:spPr>
    </xdr:pic>
    <xdr:clientData/>
  </xdr:oneCellAnchor>
  <xdr:oneCellAnchor>
    <xdr:from>
      <xdr:col>38</xdr:col>
      <xdr:colOff>568123</xdr:colOff>
      <xdr:row>233</xdr:row>
      <xdr:rowOff>158829</xdr:rowOff>
    </xdr:from>
    <xdr:ext cx="170704" cy="159929"/>
    <xdr:pic macro="[0]!R_system_add_">
      <xdr:nvPicPr>
        <xdr:cNvPr id="113" name="Grafika 112" descr="Odtwórz z wypełnieniem pełnym">
          <a:extLst>
            <a:ext uri="{FF2B5EF4-FFF2-40B4-BE49-F238E27FC236}">
              <a16:creationId xmlns:a16="http://schemas.microsoft.com/office/drawing/2014/main" id="{723A5752-2887-4A5B-8359-982CA9BD7BB8}"/>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 uri="{96DAC541-7B7A-43D3-8B79-37D633B846F1}">
              <asvg:svgBlip xmlns:asvg="http://schemas.microsoft.com/office/drawing/2016/SVG/main" r:embed="rId18"/>
            </a:ext>
          </a:extLst>
        </a:blip>
        <a:stretch>
          <a:fillRect/>
        </a:stretch>
      </xdr:blipFill>
      <xdr:spPr>
        <a:xfrm rot="16200000">
          <a:off x="10622385" y="35643592"/>
          <a:ext cx="159929" cy="170704"/>
        </a:xfrm>
        <a:prstGeom prst="rect">
          <a:avLst/>
        </a:prstGeom>
      </xdr:spPr>
    </xdr:pic>
    <xdr:clientData/>
  </xdr:oneCellAnchor>
  <xdr:oneCellAnchor>
    <xdr:from>
      <xdr:col>38</xdr:col>
      <xdr:colOff>574344</xdr:colOff>
      <xdr:row>234</xdr:row>
      <xdr:rowOff>131731</xdr:rowOff>
    </xdr:from>
    <xdr:ext cx="161179" cy="148202"/>
    <xdr:pic macro="[0]!R_system_err">
      <xdr:nvPicPr>
        <xdr:cNvPr id="114" name="Grafika 113" descr="Odtwórz z wypełnieniem pełnym">
          <a:extLst>
            <a:ext uri="{FF2B5EF4-FFF2-40B4-BE49-F238E27FC236}">
              <a16:creationId xmlns:a16="http://schemas.microsoft.com/office/drawing/2014/main" id="{34B18E9D-6A59-41E9-877D-0AD9260BDC59}"/>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 uri="{96DAC541-7B7A-43D3-8B79-37D633B846F1}">
              <asvg:svgBlip xmlns:asvg="http://schemas.microsoft.com/office/drawing/2016/SVG/main" r:embed="rId20"/>
            </a:ext>
          </a:extLst>
        </a:blip>
        <a:stretch>
          <a:fillRect/>
        </a:stretch>
      </xdr:blipFill>
      <xdr:spPr>
        <a:xfrm rot="5400000">
          <a:off x="10588163" y="35943295"/>
          <a:ext cx="148202" cy="161179"/>
        </a:xfrm>
        <a:prstGeom prst="rect">
          <a:avLst/>
        </a:prstGeom>
      </xdr:spPr>
    </xdr:pic>
    <xdr:clientData/>
  </xdr:oneCellAnchor>
  <xdr:twoCellAnchor editAs="oneCell">
    <xdr:from>
      <xdr:col>30</xdr:col>
      <xdr:colOff>285750</xdr:colOff>
      <xdr:row>165</xdr:row>
      <xdr:rowOff>114300</xdr:rowOff>
    </xdr:from>
    <xdr:to>
      <xdr:col>32</xdr:col>
      <xdr:colOff>533400</xdr:colOff>
      <xdr:row>169</xdr:row>
      <xdr:rowOff>17589</xdr:rowOff>
    </xdr:to>
    <xdr:pic>
      <xdr:nvPicPr>
        <xdr:cNvPr id="116" name="Obraz 115">
          <a:extLst>
            <a:ext uri="{FF2B5EF4-FFF2-40B4-BE49-F238E27FC236}">
              <a16:creationId xmlns:a16="http://schemas.microsoft.com/office/drawing/2014/main" id="{B6BF17CC-EBC7-4884-B2AF-24A17756DE64}"/>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5915025" y="24574500"/>
          <a:ext cx="742950" cy="596710"/>
        </a:xfrm>
        <a:prstGeom prst="rect">
          <a:avLst/>
        </a:prstGeom>
      </xdr:spPr>
    </xdr:pic>
    <xdr:clientData/>
  </xdr:twoCellAnchor>
  <xdr:twoCellAnchor editAs="oneCell">
    <xdr:from>
      <xdr:col>31</xdr:col>
      <xdr:colOff>17371</xdr:colOff>
      <xdr:row>223</xdr:row>
      <xdr:rowOff>93346</xdr:rowOff>
    </xdr:from>
    <xdr:to>
      <xdr:col>32</xdr:col>
      <xdr:colOff>515540</xdr:colOff>
      <xdr:row>227</xdr:row>
      <xdr:rowOff>91441</xdr:rowOff>
    </xdr:to>
    <xdr:pic>
      <xdr:nvPicPr>
        <xdr:cNvPr id="126" name="Obraz 125">
          <a:extLst>
            <a:ext uri="{FF2B5EF4-FFF2-40B4-BE49-F238E27FC236}">
              <a16:creationId xmlns:a16="http://schemas.microsoft.com/office/drawing/2014/main" id="{BA6351C5-9D1F-48B9-95F7-A48358AAC519}"/>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6057809" y="32430721"/>
          <a:ext cx="605484" cy="724535"/>
        </a:xfrm>
        <a:prstGeom prst="rect">
          <a:avLst/>
        </a:prstGeom>
      </xdr:spPr>
    </xdr:pic>
    <xdr:clientData/>
  </xdr:twoCellAnchor>
  <xdr:twoCellAnchor editAs="oneCell">
    <xdr:from>
      <xdr:col>31</xdr:col>
      <xdr:colOff>107315</xdr:colOff>
      <xdr:row>219</xdr:row>
      <xdr:rowOff>7505</xdr:rowOff>
    </xdr:from>
    <xdr:to>
      <xdr:col>32</xdr:col>
      <xdr:colOff>515571</xdr:colOff>
      <xdr:row>221</xdr:row>
      <xdr:rowOff>135572</xdr:rowOff>
    </xdr:to>
    <xdr:pic>
      <xdr:nvPicPr>
        <xdr:cNvPr id="127" name="Obraz 126">
          <a:extLst>
            <a:ext uri="{FF2B5EF4-FFF2-40B4-BE49-F238E27FC236}">
              <a16:creationId xmlns:a16="http://schemas.microsoft.com/office/drawing/2014/main" id="{F5D6B826-328F-48C1-B9B2-E0B64A11D50F}"/>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6147753" y="31646380"/>
          <a:ext cx="523191" cy="488748"/>
        </a:xfrm>
        <a:prstGeom prst="rect">
          <a:avLst/>
        </a:prstGeom>
      </xdr:spPr>
    </xdr:pic>
    <xdr:clientData/>
  </xdr:twoCellAnchor>
  <xdr:twoCellAnchor editAs="oneCell">
    <xdr:from>
      <xdr:col>32</xdr:col>
      <xdr:colOff>487680</xdr:colOff>
      <xdr:row>120</xdr:row>
      <xdr:rowOff>114300</xdr:rowOff>
    </xdr:from>
    <xdr:to>
      <xdr:col>33</xdr:col>
      <xdr:colOff>247307</xdr:colOff>
      <xdr:row>122</xdr:row>
      <xdr:rowOff>57509</xdr:rowOff>
    </xdr:to>
    <xdr:pic>
      <xdr:nvPicPr>
        <xdr:cNvPr id="104" name="Obraz 103">
          <a:extLst>
            <a:ext uri="{FF2B5EF4-FFF2-40B4-BE49-F238E27FC236}">
              <a16:creationId xmlns:a16="http://schemas.microsoft.com/office/drawing/2014/main" id="{902F587E-5C76-4E57-95A3-34A4EB3A3DDA}"/>
            </a:ext>
          </a:extLst>
        </xdr:cNvPr>
        <xdr:cNvPicPr>
          <a:picLocks noChangeAspect="1"/>
        </xdr:cNvPicPr>
      </xdr:nvPicPr>
      <xdr:blipFill rotWithShape="1">
        <a:blip xmlns:r="http://schemas.openxmlformats.org/officeDocument/2006/relationships" r:embed="rId38" cstate="email">
          <a:extLst>
            <a:ext uri="{28A0092B-C50C-407E-A947-70E740481C1C}">
              <a14:useLocalDpi xmlns:a14="http://schemas.microsoft.com/office/drawing/2010/main"/>
            </a:ext>
          </a:extLst>
        </a:blip>
        <a:srcRect/>
        <a:stretch/>
      </xdr:blipFill>
      <xdr:spPr>
        <a:xfrm>
          <a:off x="6621780" y="17152620"/>
          <a:ext cx="382562" cy="366119"/>
        </a:xfrm>
        <a:prstGeom prst="ellipse">
          <a:avLst/>
        </a:prstGeom>
      </xdr:spPr>
    </xdr:pic>
    <xdr:clientData/>
  </xdr:twoCellAnchor>
  <xdr:oneCellAnchor>
    <xdr:from>
      <xdr:col>28</xdr:col>
      <xdr:colOff>292370</xdr:colOff>
      <xdr:row>123</xdr:row>
      <xdr:rowOff>144998</xdr:rowOff>
    </xdr:from>
    <xdr:ext cx="314325" cy="314637"/>
    <xdr:pic>
      <xdr:nvPicPr>
        <xdr:cNvPr id="106" name="Grafika 105" descr="Wodnik kontur">
          <a:extLst>
            <a:ext uri="{FF2B5EF4-FFF2-40B4-BE49-F238E27FC236}">
              <a16:creationId xmlns:a16="http://schemas.microsoft.com/office/drawing/2014/main" id="{7415AE90-901E-4B37-BBD2-E0CA7A131BBF}"/>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 uri="{96DAC541-7B7A-43D3-8B79-37D633B846F1}">
              <asvg:svgBlip xmlns:asvg="http://schemas.microsoft.com/office/drawing/2016/SVG/main" r:embed="rId40"/>
            </a:ext>
          </a:extLst>
        </a:blip>
        <a:stretch>
          <a:fillRect/>
        </a:stretch>
      </xdr:blipFill>
      <xdr:spPr>
        <a:xfrm>
          <a:off x="4711970" y="17785298"/>
          <a:ext cx="314325" cy="314637"/>
        </a:xfrm>
        <a:prstGeom prst="rect">
          <a:avLst/>
        </a:prstGeom>
      </xdr:spPr>
    </xdr:pic>
    <xdr:clientData/>
  </xdr:oneCellAnchor>
  <xdr:twoCellAnchor editAs="oneCell">
    <xdr:from>
      <xdr:col>28</xdr:col>
      <xdr:colOff>489090</xdr:colOff>
      <xdr:row>123</xdr:row>
      <xdr:rowOff>161430</xdr:rowOff>
    </xdr:from>
    <xdr:to>
      <xdr:col>29</xdr:col>
      <xdr:colOff>169070</xdr:colOff>
      <xdr:row>125</xdr:row>
      <xdr:rowOff>17145</xdr:rowOff>
    </xdr:to>
    <xdr:pic>
      <xdr:nvPicPr>
        <xdr:cNvPr id="107" name="Grafika 106" descr="Błyskawica z wypełnieniem pełnym">
          <a:extLst>
            <a:ext uri="{FF2B5EF4-FFF2-40B4-BE49-F238E27FC236}">
              <a16:creationId xmlns:a16="http://schemas.microsoft.com/office/drawing/2014/main" id="{065AB4F0-F812-4746-B3B5-FF88CC5E17DC}"/>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 uri="{96DAC541-7B7A-43D3-8B79-37D633B846F1}">
              <asvg:svgBlip xmlns:asvg="http://schemas.microsoft.com/office/drawing/2016/SVG/main" r:embed="rId42"/>
            </a:ext>
          </a:extLst>
        </a:blip>
        <a:stretch>
          <a:fillRect/>
        </a:stretch>
      </xdr:blipFill>
      <xdr:spPr>
        <a:xfrm>
          <a:off x="4908690" y="17801730"/>
          <a:ext cx="285770" cy="288150"/>
        </a:xfrm>
        <a:prstGeom prst="rect">
          <a:avLst/>
        </a:prstGeom>
      </xdr:spPr>
    </xdr:pic>
    <xdr:clientData/>
  </xdr:twoCellAnchor>
  <xdr:twoCellAnchor editAs="oneCell">
    <xdr:from>
      <xdr:col>42</xdr:col>
      <xdr:colOff>32819</xdr:colOff>
      <xdr:row>123</xdr:row>
      <xdr:rowOff>16162</xdr:rowOff>
    </xdr:from>
    <xdr:to>
      <xdr:col>58</xdr:col>
      <xdr:colOff>15330</xdr:colOff>
      <xdr:row>125</xdr:row>
      <xdr:rowOff>174294</xdr:rowOff>
    </xdr:to>
    <xdr:pic>
      <xdr:nvPicPr>
        <xdr:cNvPr id="110" name="Grafika 109" descr="Wietrznie kontur">
          <a:extLst>
            <a:ext uri="{FF2B5EF4-FFF2-40B4-BE49-F238E27FC236}">
              <a16:creationId xmlns:a16="http://schemas.microsoft.com/office/drawing/2014/main" id="{5E833EA0-7FC5-4FB3-A7B3-1D765BCADC1F}"/>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 uri="{96DAC541-7B7A-43D3-8B79-37D633B846F1}">
              <asvg:svgBlip xmlns:asvg="http://schemas.microsoft.com/office/drawing/2016/SVG/main" r:embed="rId44"/>
            </a:ext>
          </a:extLst>
        </a:blip>
        <a:stretch>
          <a:fillRect/>
        </a:stretch>
      </xdr:blipFill>
      <xdr:spPr>
        <a:xfrm>
          <a:off x="10990379" y="17656462"/>
          <a:ext cx="580681" cy="581042"/>
        </a:xfrm>
        <a:prstGeom prst="rect">
          <a:avLst/>
        </a:prstGeom>
      </xdr:spPr>
    </xdr:pic>
    <xdr:clientData/>
  </xdr:twoCellAnchor>
  <xdr:twoCellAnchor editAs="oneCell">
    <xdr:from>
      <xdr:col>5</xdr:col>
      <xdr:colOff>22860</xdr:colOff>
      <xdr:row>123</xdr:row>
      <xdr:rowOff>0</xdr:rowOff>
    </xdr:from>
    <xdr:to>
      <xdr:col>20</xdr:col>
      <xdr:colOff>21640</xdr:colOff>
      <xdr:row>125</xdr:row>
      <xdr:rowOff>173216</xdr:rowOff>
    </xdr:to>
    <xdr:pic>
      <xdr:nvPicPr>
        <xdr:cNvPr id="117" name="Grafika 116" descr="Wietrznie kontur">
          <a:extLst>
            <a:ext uri="{FF2B5EF4-FFF2-40B4-BE49-F238E27FC236}">
              <a16:creationId xmlns:a16="http://schemas.microsoft.com/office/drawing/2014/main" id="{E5353A32-A9FD-4EF5-8AAD-2B0C5A86BC04}"/>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 uri="{96DAC541-7B7A-43D3-8B79-37D633B846F1}">
              <asvg:svgBlip xmlns:asvg="http://schemas.microsoft.com/office/drawing/2016/SVG/main" r:embed="rId44"/>
            </a:ext>
          </a:extLst>
        </a:blip>
        <a:stretch>
          <a:fillRect/>
        </a:stretch>
      </xdr:blipFill>
      <xdr:spPr>
        <a:xfrm>
          <a:off x="426720" y="17640300"/>
          <a:ext cx="577900" cy="582791"/>
        </a:xfrm>
        <a:prstGeom prst="rect">
          <a:avLst/>
        </a:prstGeom>
      </xdr:spPr>
    </xdr:pic>
    <xdr:clientData/>
  </xdr:twoCellAnchor>
  <xdr:twoCellAnchor editAs="oneCell">
    <xdr:from>
      <xdr:col>22</xdr:col>
      <xdr:colOff>9459</xdr:colOff>
      <xdr:row>123</xdr:row>
      <xdr:rowOff>178555</xdr:rowOff>
    </xdr:from>
    <xdr:to>
      <xdr:col>22</xdr:col>
      <xdr:colOff>249739</xdr:colOff>
      <xdr:row>125</xdr:row>
      <xdr:rowOff>20440</xdr:rowOff>
    </xdr:to>
    <xdr:pic>
      <xdr:nvPicPr>
        <xdr:cNvPr id="118" name="Grafika 117" descr="Powrót z wypełnieniem pełnym">
          <a:extLst>
            <a:ext uri="{FF2B5EF4-FFF2-40B4-BE49-F238E27FC236}">
              <a16:creationId xmlns:a16="http://schemas.microsoft.com/office/drawing/2014/main" id="{C9720F9A-9E46-4891-B3F1-93A402EA441A}"/>
            </a:ext>
          </a:extLst>
        </xdr:cNvPr>
        <xdr:cNvPicPr>
          <a:picLocks noChangeAspect="1"/>
        </xdr:cNvPicPr>
      </xdr:nvPicPr>
      <xdr:blipFill rotWithShape="1">
        <a:blip xmlns:r="http://schemas.openxmlformats.org/officeDocument/2006/relationships" r:embed="rId45">
          <a:extLst>
            <a:ext uri="{28A0092B-C50C-407E-A947-70E740481C1C}">
              <a14:useLocalDpi xmlns:a14="http://schemas.microsoft.com/office/drawing/2010/main" val="0"/>
            </a:ext>
            <a:ext uri="{96DAC541-7B7A-43D3-8B79-37D633B846F1}">
              <asvg:svgBlip xmlns:asvg="http://schemas.microsoft.com/office/drawing/2016/SVG/main" r:embed="rId46"/>
            </a:ext>
          </a:extLst>
        </a:blip>
        <a:srcRect l="49167" b="48333"/>
        <a:stretch/>
      </xdr:blipFill>
      <xdr:spPr>
        <a:xfrm rot="5400000">
          <a:off x="1063049" y="17816825"/>
          <a:ext cx="247650" cy="251710"/>
        </a:xfrm>
        <a:prstGeom prst="rect">
          <a:avLst/>
        </a:prstGeom>
      </xdr:spPr>
    </xdr:pic>
    <xdr:clientData/>
  </xdr:twoCellAnchor>
  <xdr:twoCellAnchor editAs="oneCell">
    <xdr:from>
      <xdr:col>39</xdr:col>
      <xdr:colOff>9459</xdr:colOff>
      <xdr:row>123</xdr:row>
      <xdr:rowOff>178555</xdr:rowOff>
    </xdr:from>
    <xdr:to>
      <xdr:col>43</xdr:col>
      <xdr:colOff>2089</xdr:colOff>
      <xdr:row>125</xdr:row>
      <xdr:rowOff>20440</xdr:rowOff>
    </xdr:to>
    <xdr:pic>
      <xdr:nvPicPr>
        <xdr:cNvPr id="123" name="Grafika 122" descr="Powrót z wypełnieniem pełnym">
          <a:extLst>
            <a:ext uri="{FF2B5EF4-FFF2-40B4-BE49-F238E27FC236}">
              <a16:creationId xmlns:a16="http://schemas.microsoft.com/office/drawing/2014/main" id="{89C5C97E-C67B-44C0-9490-AD7495E6570B}"/>
            </a:ext>
          </a:extLst>
        </xdr:cNvPr>
        <xdr:cNvPicPr>
          <a:picLocks noChangeAspect="1"/>
        </xdr:cNvPicPr>
      </xdr:nvPicPr>
      <xdr:blipFill rotWithShape="1">
        <a:blip xmlns:r="http://schemas.openxmlformats.org/officeDocument/2006/relationships" r:embed="rId45">
          <a:extLst>
            <a:ext uri="{28A0092B-C50C-407E-A947-70E740481C1C}">
              <a14:useLocalDpi xmlns:a14="http://schemas.microsoft.com/office/drawing/2010/main" val="0"/>
            </a:ext>
            <a:ext uri="{96DAC541-7B7A-43D3-8B79-37D633B846F1}">
              <asvg:svgBlip xmlns:asvg="http://schemas.microsoft.com/office/drawing/2016/SVG/main" r:embed="rId46"/>
            </a:ext>
          </a:extLst>
        </a:blip>
        <a:srcRect l="49167" b="48333"/>
        <a:stretch/>
      </xdr:blipFill>
      <xdr:spPr>
        <a:xfrm rot="5400000">
          <a:off x="10748069" y="17816825"/>
          <a:ext cx="247650" cy="251710"/>
        </a:xfrm>
        <a:prstGeom prst="rect">
          <a:avLst/>
        </a:prstGeom>
      </xdr:spPr>
    </xdr:pic>
    <xdr:clientData/>
  </xdr:twoCellAnchor>
  <xdr:twoCellAnchor editAs="oneCell">
    <xdr:from>
      <xdr:col>20</xdr:col>
      <xdr:colOff>37770</xdr:colOff>
      <xdr:row>165</xdr:row>
      <xdr:rowOff>75870</xdr:rowOff>
    </xdr:from>
    <xdr:to>
      <xdr:col>22</xdr:col>
      <xdr:colOff>398145</xdr:colOff>
      <xdr:row>169</xdr:row>
      <xdr:rowOff>134800</xdr:rowOff>
    </xdr:to>
    <xdr:pic>
      <xdr:nvPicPr>
        <xdr:cNvPr id="105" name="Obraz 104">
          <a:extLst>
            <a:ext uri="{FF2B5EF4-FFF2-40B4-BE49-F238E27FC236}">
              <a16:creationId xmlns:a16="http://schemas.microsoft.com/office/drawing/2014/main" id="{41B4C663-4F21-4023-98F1-FA6EE6460FD8}"/>
            </a:ext>
          </a:extLst>
        </xdr:cNvPr>
        <xdr:cNvPicPr>
          <a:picLocks noChangeAspect="1"/>
        </xdr:cNvPicPr>
      </xdr:nvPicPr>
      <xdr:blipFill>
        <a:blip xmlns:r="http://schemas.openxmlformats.org/officeDocument/2006/relationships" r:embed="rId47"/>
        <a:stretch>
          <a:fillRect/>
        </a:stretch>
      </xdr:blipFill>
      <xdr:spPr>
        <a:xfrm>
          <a:off x="1009320" y="24755145"/>
          <a:ext cx="444195" cy="744730"/>
        </a:xfrm>
        <a:prstGeom prst="rect">
          <a:avLst/>
        </a:prstGeom>
      </xdr:spPr>
    </xdr:pic>
    <xdr:clientData/>
  </xdr:twoCellAnchor>
  <xdr:twoCellAnchor editAs="oneCell">
    <xdr:from>
      <xdr:col>18</xdr:col>
      <xdr:colOff>12290</xdr:colOff>
      <xdr:row>218</xdr:row>
      <xdr:rowOff>164848</xdr:rowOff>
    </xdr:from>
    <xdr:to>
      <xdr:col>22</xdr:col>
      <xdr:colOff>476947</xdr:colOff>
      <xdr:row>222</xdr:row>
      <xdr:rowOff>74295</xdr:rowOff>
    </xdr:to>
    <xdr:pic>
      <xdr:nvPicPr>
        <xdr:cNvPr id="119" name="Obraz 118">
          <a:extLst>
            <a:ext uri="{FF2B5EF4-FFF2-40B4-BE49-F238E27FC236}">
              <a16:creationId xmlns:a16="http://schemas.microsoft.com/office/drawing/2014/main" id="{1B096D4E-2CE2-4C32-A24D-C78AA41D0BC0}"/>
            </a:ext>
          </a:extLst>
        </xdr:cNvPr>
        <xdr:cNvPicPr>
          <a:picLocks noChangeAspect="1"/>
        </xdr:cNvPicPr>
      </xdr:nvPicPr>
      <xdr:blipFill>
        <a:blip xmlns:r="http://schemas.openxmlformats.org/officeDocument/2006/relationships" r:embed="rId48"/>
        <a:stretch>
          <a:fillRect/>
        </a:stretch>
      </xdr:blipFill>
      <xdr:spPr>
        <a:xfrm>
          <a:off x="907640" y="31435423"/>
          <a:ext cx="609437" cy="604772"/>
        </a:xfrm>
        <a:prstGeom prst="rect">
          <a:avLst/>
        </a:prstGeom>
      </xdr:spPr>
    </xdr:pic>
    <xdr:clientData/>
  </xdr:twoCellAnchor>
  <xdr:twoCellAnchor>
    <xdr:from>
      <xdr:col>37</xdr:col>
      <xdr:colOff>610847</xdr:colOff>
      <xdr:row>230</xdr:row>
      <xdr:rowOff>93721</xdr:rowOff>
    </xdr:from>
    <xdr:to>
      <xdr:col>38</xdr:col>
      <xdr:colOff>335854</xdr:colOff>
      <xdr:row>231</xdr:row>
      <xdr:rowOff>66771</xdr:rowOff>
    </xdr:to>
    <xdr:sp macro="[0]!trojnik75i90_auto" textlink="">
      <xdr:nvSpPr>
        <xdr:cNvPr id="128" name="pole tekstowe 127">
          <a:extLst>
            <a:ext uri="{FF2B5EF4-FFF2-40B4-BE49-F238E27FC236}">
              <a16:creationId xmlns:a16="http://schemas.microsoft.com/office/drawing/2014/main" id="{8449973E-A2E6-4A2E-9522-F41886EB5B90}"/>
            </a:ext>
          </a:extLst>
        </xdr:cNvPr>
        <xdr:cNvSpPr txBox="1"/>
      </xdr:nvSpPr>
      <xdr:spPr>
        <a:xfrm>
          <a:off x="9992972" y="35040946"/>
          <a:ext cx="391757" cy="154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i="1">
              <a:solidFill>
                <a:schemeClr val="accent2"/>
              </a:solidFill>
              <a:latin typeface="Roboto Condensed" panose="02000000000000000000" pitchFamily="2" charset="0"/>
              <a:ea typeface="Roboto Condensed" panose="02000000000000000000" pitchFamily="2" charset="0"/>
            </a:rPr>
            <a:t>Auto</a:t>
          </a:r>
          <a:endParaRPr lang="en-US" sz="1000" i="1">
            <a:solidFill>
              <a:schemeClr val="accent2"/>
            </a:solidFill>
            <a:latin typeface="Roboto Condensed" panose="02000000000000000000" pitchFamily="2" charset="0"/>
            <a:ea typeface="Roboto Condensed" panose="02000000000000000000" pitchFamily="2" charset="0"/>
          </a:endParaRPr>
        </a:p>
      </xdr:txBody>
    </xdr:sp>
    <xdr:clientData/>
  </xdr:twoCellAnchor>
  <xdr:twoCellAnchor editAs="oneCell">
    <xdr:from>
      <xdr:col>38</xdr:col>
      <xdr:colOff>556184</xdr:colOff>
      <xdr:row>152</xdr:row>
      <xdr:rowOff>45942</xdr:rowOff>
    </xdr:from>
    <xdr:to>
      <xdr:col>40</xdr:col>
      <xdr:colOff>18276</xdr:colOff>
      <xdr:row>154</xdr:row>
      <xdr:rowOff>130354</xdr:rowOff>
    </xdr:to>
    <xdr:pic>
      <xdr:nvPicPr>
        <xdr:cNvPr id="5" name="Obraz 4" descr="Aplikacja ViCare | Viessmann">
          <a:extLst>
            <a:ext uri="{FF2B5EF4-FFF2-40B4-BE49-F238E27FC236}">
              <a16:creationId xmlns:a16="http://schemas.microsoft.com/office/drawing/2014/main" id="{898EE962-2EC5-4372-BB2E-71B6148BAB58}"/>
            </a:ext>
          </a:extLst>
        </xdr:cNvPr>
        <xdr:cNvPicPr>
          <a:picLocks noChangeArrowheads="1"/>
        </xdr:cNvPicPr>
      </xdr:nvPicPr>
      <xdr:blipFill rotWithShape="1">
        <a:blip xmlns:r="http://schemas.openxmlformats.org/officeDocument/2006/relationships" r:embed="rId49" cstate="email">
          <a:extLst>
            <a:ext uri="{28A0092B-C50C-407E-A947-70E740481C1C}">
              <a14:useLocalDpi xmlns:a14="http://schemas.microsoft.com/office/drawing/2010/main"/>
            </a:ext>
          </a:extLst>
        </a:blip>
        <a:srcRect/>
        <a:stretch/>
      </xdr:blipFill>
      <xdr:spPr bwMode="auto">
        <a:xfrm>
          <a:off x="10591724" y="22345872"/>
          <a:ext cx="246952" cy="4444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639205</xdr:colOff>
      <xdr:row>153</xdr:row>
      <xdr:rowOff>30086</xdr:rowOff>
    </xdr:from>
    <xdr:to>
      <xdr:col>37</xdr:col>
      <xdr:colOff>398193</xdr:colOff>
      <xdr:row>155</xdr:row>
      <xdr:rowOff>174068</xdr:rowOff>
    </xdr:to>
    <xdr:pic>
      <xdr:nvPicPr>
        <xdr:cNvPr id="15" name="Google Shape;1277;p272">
          <a:extLst>
            <a:ext uri="{FF2B5EF4-FFF2-40B4-BE49-F238E27FC236}">
              <a16:creationId xmlns:a16="http://schemas.microsoft.com/office/drawing/2014/main" id="{EA4AAFCC-2E66-4B82-819A-25BA68674C72}"/>
            </a:ext>
          </a:extLst>
        </xdr:cNvPr>
        <xdr:cNvPicPr preferRelativeResize="0">
          <a:picLocks noChangeAspect="1"/>
        </xdr:cNvPicPr>
      </xdr:nvPicPr>
      <xdr:blipFill>
        <a:blip xmlns:r="http://schemas.openxmlformats.org/officeDocument/2006/relationships" r:embed="rId50" cstate="email">
          <a:alphaModFix/>
          <a:extLst>
            <a:ext uri="{28A0092B-C50C-407E-A947-70E740481C1C}">
              <a14:useLocalDpi xmlns:a14="http://schemas.microsoft.com/office/drawing/2010/main"/>
            </a:ext>
          </a:extLst>
        </a:blip>
        <a:stretch>
          <a:fillRect/>
        </a:stretch>
      </xdr:blipFill>
      <xdr:spPr>
        <a:xfrm>
          <a:off x="9343150" y="22507181"/>
          <a:ext cx="427643" cy="507837"/>
        </a:xfrm>
        <a:prstGeom prst="rect">
          <a:avLst/>
        </a:prstGeom>
        <a:noFill/>
        <a:ln>
          <a:noFill/>
        </a:ln>
      </xdr:spPr>
    </xdr:pic>
    <xdr:clientData/>
  </xdr:twoCellAnchor>
  <xdr:twoCellAnchor editAs="oneCell">
    <xdr:from>
      <xdr:col>36</xdr:col>
      <xdr:colOff>555759</xdr:colOff>
      <xdr:row>158</xdr:row>
      <xdr:rowOff>80493</xdr:rowOff>
    </xdr:from>
    <xdr:to>
      <xdr:col>37</xdr:col>
      <xdr:colOff>384213</xdr:colOff>
      <xdr:row>160</xdr:row>
      <xdr:rowOff>95732</xdr:rowOff>
    </xdr:to>
    <xdr:pic>
      <xdr:nvPicPr>
        <xdr:cNvPr id="16" name="Obraz 15">
          <a:extLst>
            <a:ext uri="{FF2B5EF4-FFF2-40B4-BE49-F238E27FC236}">
              <a16:creationId xmlns:a16="http://schemas.microsoft.com/office/drawing/2014/main" id="{33294B53-FB3C-4B45-8A33-FB02EE105647}"/>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9257799" y="23466273"/>
          <a:ext cx="499014" cy="375284"/>
        </a:xfrm>
        <a:prstGeom prst="rect">
          <a:avLst/>
        </a:prstGeom>
      </xdr:spPr>
    </xdr:pic>
    <xdr:clientData/>
  </xdr:twoCellAnchor>
  <xdr:twoCellAnchor>
    <xdr:from>
      <xdr:col>35</xdr:col>
      <xdr:colOff>133350</xdr:colOff>
      <xdr:row>159</xdr:row>
      <xdr:rowOff>9586</xdr:rowOff>
    </xdr:from>
    <xdr:to>
      <xdr:col>36</xdr:col>
      <xdr:colOff>287327</xdr:colOff>
      <xdr:row>159</xdr:row>
      <xdr:rowOff>9586</xdr:rowOff>
    </xdr:to>
    <xdr:cxnSp macro="">
      <xdr:nvCxnSpPr>
        <xdr:cNvPr id="17" name="Łącznik prosty 16">
          <a:extLst>
            <a:ext uri="{FF2B5EF4-FFF2-40B4-BE49-F238E27FC236}">
              <a16:creationId xmlns:a16="http://schemas.microsoft.com/office/drawing/2014/main" id="{9699BC59-B92B-4230-9A89-440BC39A7E6D}"/>
            </a:ext>
          </a:extLst>
        </xdr:cNvPr>
        <xdr:cNvCxnSpPr/>
      </xdr:nvCxnSpPr>
      <xdr:spPr>
        <a:xfrm>
          <a:off x="8225790" y="23576341"/>
          <a:ext cx="763577" cy="0"/>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36</xdr:col>
      <xdr:colOff>284014</xdr:colOff>
      <xdr:row>157</xdr:row>
      <xdr:rowOff>65349</xdr:rowOff>
    </xdr:from>
    <xdr:to>
      <xdr:col>36</xdr:col>
      <xdr:colOff>593112</xdr:colOff>
      <xdr:row>159</xdr:row>
      <xdr:rowOff>131180</xdr:rowOff>
    </xdr:to>
    <xdr:pic>
      <xdr:nvPicPr>
        <xdr:cNvPr id="22" name="Obraz 21" descr="Viessmann Vitocal 200-S Pompa ciepła powietrze/woda o mocy 7,5 kW,  przepływowy podgrzewacz c.w.u.,">
          <a:extLst>
            <a:ext uri="{FF2B5EF4-FFF2-40B4-BE49-F238E27FC236}">
              <a16:creationId xmlns:a16="http://schemas.microsoft.com/office/drawing/2014/main" id="{B98B7F32-D148-48AF-B3A2-0A98E4062783}"/>
            </a:ext>
          </a:extLst>
        </xdr:cNvPr>
        <xdr:cNvPicPr>
          <a:picLocks noChangeAspect="1" noChangeArrowheads="1"/>
        </xdr:cNvPicPr>
      </xdr:nvPicPr>
      <xdr:blipFill rotWithShape="1">
        <a:blip xmlns:r="http://schemas.openxmlformats.org/officeDocument/2006/relationships" r:embed="rId52" cstate="email">
          <a:extLst>
            <a:ext uri="{28A0092B-C50C-407E-A947-70E740481C1C}">
              <a14:useLocalDpi xmlns:a14="http://schemas.microsoft.com/office/drawing/2010/main"/>
            </a:ext>
          </a:extLst>
        </a:blip>
        <a:srcRect/>
        <a:stretch/>
      </xdr:blipFill>
      <xdr:spPr bwMode="auto">
        <a:xfrm>
          <a:off x="8993674" y="23266344"/>
          <a:ext cx="305288" cy="4296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36</xdr:col>
      <xdr:colOff>610914</xdr:colOff>
      <xdr:row>157</xdr:row>
      <xdr:rowOff>172642</xdr:rowOff>
    </xdr:from>
    <xdr:to>
      <xdr:col>37</xdr:col>
      <xdr:colOff>554181</xdr:colOff>
      <xdr:row>157</xdr:row>
      <xdr:rowOff>172642</xdr:rowOff>
    </xdr:to>
    <xdr:cxnSp macro="">
      <xdr:nvCxnSpPr>
        <xdr:cNvPr id="29" name="Łącznik prosty 28">
          <a:extLst>
            <a:ext uri="{FF2B5EF4-FFF2-40B4-BE49-F238E27FC236}">
              <a16:creationId xmlns:a16="http://schemas.microsoft.com/office/drawing/2014/main" id="{43123DF0-6773-4F67-8F7E-8F825E10C371}"/>
            </a:ext>
          </a:extLst>
        </xdr:cNvPr>
        <xdr:cNvCxnSpPr/>
      </xdr:nvCxnSpPr>
      <xdr:spPr>
        <a:xfrm>
          <a:off x="9316764" y="23371732"/>
          <a:ext cx="606207" cy="0"/>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38</xdr:col>
      <xdr:colOff>528452</xdr:colOff>
      <xdr:row>158</xdr:row>
      <xdr:rowOff>70274</xdr:rowOff>
    </xdr:from>
    <xdr:to>
      <xdr:col>39</xdr:col>
      <xdr:colOff>95925</xdr:colOff>
      <xdr:row>160</xdr:row>
      <xdr:rowOff>155294</xdr:rowOff>
    </xdr:to>
    <xdr:pic>
      <xdr:nvPicPr>
        <xdr:cNvPr id="35" name="Obraz 34" descr="Aplikacja ViCare | Viessmann">
          <a:extLst>
            <a:ext uri="{FF2B5EF4-FFF2-40B4-BE49-F238E27FC236}">
              <a16:creationId xmlns:a16="http://schemas.microsoft.com/office/drawing/2014/main" id="{AEB5DCCC-5B71-4D62-8491-F6595382E44D}"/>
            </a:ext>
          </a:extLst>
        </xdr:cNvPr>
        <xdr:cNvPicPr>
          <a:picLocks noChangeAspect="1" noChangeArrowheads="1"/>
        </xdr:cNvPicPr>
      </xdr:nvPicPr>
      <xdr:blipFill rotWithShape="1">
        <a:blip xmlns:r="http://schemas.openxmlformats.org/officeDocument/2006/relationships" r:embed="rId53" cstate="email">
          <a:extLst>
            <a:ext uri="{28A0092B-C50C-407E-A947-70E740481C1C}">
              <a14:useLocalDpi xmlns:a14="http://schemas.microsoft.com/office/drawing/2010/main"/>
            </a:ext>
          </a:extLst>
        </a:blip>
        <a:srcRect/>
        <a:stretch/>
      </xdr:blipFill>
      <xdr:spPr bwMode="auto">
        <a:xfrm>
          <a:off x="10565897" y="23452244"/>
          <a:ext cx="236128" cy="448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39</xdr:col>
      <xdr:colOff>23899</xdr:colOff>
      <xdr:row>158</xdr:row>
      <xdr:rowOff>122528</xdr:rowOff>
    </xdr:from>
    <xdr:to>
      <xdr:col>43</xdr:col>
      <xdr:colOff>16280</xdr:colOff>
      <xdr:row>159</xdr:row>
      <xdr:rowOff>171290</xdr:rowOff>
    </xdr:to>
    <xdr:pic>
      <xdr:nvPicPr>
        <xdr:cNvPr id="36" name="Obraz 35" descr="Aplikacja ViCare w App Store">
          <a:extLst>
            <a:ext uri="{FF2B5EF4-FFF2-40B4-BE49-F238E27FC236}">
              <a16:creationId xmlns:a16="http://schemas.microsoft.com/office/drawing/2014/main" id="{851F120C-DDDC-479F-8BDF-B318D18E94CA}"/>
            </a:ext>
          </a:extLst>
        </xdr:cNvPr>
        <xdr:cNvPicPr>
          <a:picLocks noChangeAspect="1" noChangeArrowheads="1"/>
        </xdr:cNvPicPr>
      </xdr:nvPicPr>
      <xdr:blipFill rotWithShape="1">
        <a:blip xmlns:r="http://schemas.openxmlformats.org/officeDocument/2006/relationships" r:embed="rId54" cstate="email">
          <a:extLst>
            <a:ext uri="{28A0092B-C50C-407E-A947-70E740481C1C}">
              <a14:useLocalDpi xmlns:a14="http://schemas.microsoft.com/office/drawing/2010/main"/>
            </a:ext>
          </a:extLst>
        </a:blip>
        <a:srcRect l="32191" t="13856" r="32151" b="13748"/>
        <a:stretch/>
      </xdr:blipFill>
      <xdr:spPr bwMode="auto">
        <a:xfrm>
          <a:off x="10726189" y="23508308"/>
          <a:ext cx="253366" cy="2278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39</xdr:col>
      <xdr:colOff>69322</xdr:colOff>
      <xdr:row>152</xdr:row>
      <xdr:rowOff>118990</xdr:rowOff>
    </xdr:from>
    <xdr:to>
      <xdr:col>44</xdr:col>
      <xdr:colOff>618</xdr:colOff>
      <xdr:row>153</xdr:row>
      <xdr:rowOff>155999</xdr:rowOff>
    </xdr:to>
    <xdr:pic>
      <xdr:nvPicPr>
        <xdr:cNvPr id="38" name="Obraz 37" descr="Aplikacja ViCare w App Store">
          <a:extLst>
            <a:ext uri="{FF2B5EF4-FFF2-40B4-BE49-F238E27FC236}">
              <a16:creationId xmlns:a16="http://schemas.microsoft.com/office/drawing/2014/main" id="{ED106D92-B5C1-4BAA-A970-F9E1DBA8A594}"/>
            </a:ext>
          </a:extLst>
        </xdr:cNvPr>
        <xdr:cNvPicPr>
          <a:picLocks noChangeAspect="1" noChangeArrowheads="1"/>
        </xdr:cNvPicPr>
      </xdr:nvPicPr>
      <xdr:blipFill rotWithShape="1">
        <a:blip xmlns:r="http://schemas.openxmlformats.org/officeDocument/2006/relationships" r:embed="rId55" cstate="email">
          <a:extLst>
            <a:ext uri="{28A0092B-C50C-407E-A947-70E740481C1C}">
              <a14:useLocalDpi xmlns:a14="http://schemas.microsoft.com/office/drawing/2010/main"/>
            </a:ext>
          </a:extLst>
        </a:blip>
        <a:srcRect l="32191" t="13856" r="32151" b="13748"/>
        <a:stretch/>
      </xdr:blipFill>
      <xdr:spPr bwMode="auto">
        <a:xfrm>
          <a:off x="10773517" y="22418920"/>
          <a:ext cx="228476" cy="2160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574243</xdr:colOff>
      <xdr:row>157</xdr:row>
      <xdr:rowOff>52559</xdr:rowOff>
    </xdr:from>
    <xdr:to>
      <xdr:col>38</xdr:col>
      <xdr:colOff>131500</xdr:colOff>
      <xdr:row>158</xdr:row>
      <xdr:rowOff>135835</xdr:rowOff>
    </xdr:to>
    <xdr:pic>
      <xdr:nvPicPr>
        <xdr:cNvPr id="39" name="Obraz 38">
          <a:extLst>
            <a:ext uri="{FF2B5EF4-FFF2-40B4-BE49-F238E27FC236}">
              <a16:creationId xmlns:a16="http://schemas.microsoft.com/office/drawing/2014/main" id="{6EDE1354-E6C5-4042-9609-EA58D1065C04}"/>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9946843" y="23259269"/>
          <a:ext cx="224007" cy="260441"/>
        </a:xfrm>
        <a:prstGeom prst="rect">
          <a:avLst/>
        </a:prstGeom>
      </xdr:spPr>
    </xdr:pic>
    <xdr:clientData/>
  </xdr:twoCellAnchor>
  <xdr:twoCellAnchor editAs="oneCell">
    <xdr:from>
      <xdr:col>38</xdr:col>
      <xdr:colOff>97074</xdr:colOff>
      <xdr:row>157</xdr:row>
      <xdr:rowOff>48616</xdr:rowOff>
    </xdr:from>
    <xdr:to>
      <xdr:col>38</xdr:col>
      <xdr:colOff>358331</xdr:colOff>
      <xdr:row>158</xdr:row>
      <xdr:rowOff>134884</xdr:rowOff>
    </xdr:to>
    <xdr:pic>
      <xdr:nvPicPr>
        <xdr:cNvPr id="40" name="Grafika 39" descr="Bezprzewodowe kontur">
          <a:extLst>
            <a:ext uri="{FF2B5EF4-FFF2-40B4-BE49-F238E27FC236}">
              <a16:creationId xmlns:a16="http://schemas.microsoft.com/office/drawing/2014/main" id="{F20DB611-9831-45B4-A1DB-E88F92509418}"/>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 uri="{96DAC541-7B7A-43D3-8B79-37D633B846F1}">
              <asvg:svgBlip xmlns:asvg="http://schemas.microsoft.com/office/drawing/2016/SVG/main" r:embed="rId58"/>
            </a:ext>
          </a:extLst>
        </a:blip>
        <a:stretch>
          <a:fillRect/>
        </a:stretch>
      </xdr:blipFill>
      <xdr:spPr>
        <a:xfrm rot="8188822">
          <a:off x="10132614" y="23253421"/>
          <a:ext cx="265067" cy="265338"/>
        </a:xfrm>
        <a:prstGeom prst="rect">
          <a:avLst/>
        </a:prstGeom>
      </xdr:spPr>
    </xdr:pic>
    <xdr:clientData/>
  </xdr:twoCellAnchor>
  <xdr:twoCellAnchor editAs="oneCell">
    <xdr:from>
      <xdr:col>36</xdr:col>
      <xdr:colOff>290140</xdr:colOff>
      <xdr:row>152</xdr:row>
      <xdr:rowOff>2546</xdr:rowOff>
    </xdr:from>
    <xdr:to>
      <xdr:col>36</xdr:col>
      <xdr:colOff>630306</xdr:colOff>
      <xdr:row>154</xdr:row>
      <xdr:rowOff>113232</xdr:rowOff>
    </xdr:to>
    <xdr:pic>
      <xdr:nvPicPr>
        <xdr:cNvPr id="41" name="Obraz 40">
          <a:extLst>
            <a:ext uri="{FF2B5EF4-FFF2-40B4-BE49-F238E27FC236}">
              <a16:creationId xmlns:a16="http://schemas.microsoft.com/office/drawing/2014/main" id="{BE60240F-5210-45A8-849C-26896F2D397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8992180" y="22300571"/>
          <a:ext cx="343976" cy="472636"/>
        </a:xfrm>
        <a:prstGeom prst="rect">
          <a:avLst/>
        </a:prstGeom>
      </xdr:spPr>
    </xdr:pic>
    <xdr:clientData/>
  </xdr:twoCellAnchor>
  <xdr:twoCellAnchor editAs="oneCell">
    <xdr:from>
      <xdr:col>37</xdr:col>
      <xdr:colOff>18113</xdr:colOff>
      <xdr:row>151</xdr:row>
      <xdr:rowOff>127624</xdr:rowOff>
    </xdr:from>
    <xdr:to>
      <xdr:col>37</xdr:col>
      <xdr:colOff>248889</xdr:colOff>
      <xdr:row>152</xdr:row>
      <xdr:rowOff>172305</xdr:rowOff>
    </xdr:to>
    <xdr:pic>
      <xdr:nvPicPr>
        <xdr:cNvPr id="42" name="Grafika 41" descr="Bezprzewodowe kontur">
          <a:extLst>
            <a:ext uri="{FF2B5EF4-FFF2-40B4-BE49-F238E27FC236}">
              <a16:creationId xmlns:a16="http://schemas.microsoft.com/office/drawing/2014/main" id="{AF01A1C5-DBC3-4131-A02E-E28F00BEDCBF}"/>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 uri="{96DAC541-7B7A-43D3-8B79-37D633B846F1}">
              <asvg:svgBlip xmlns:asvg="http://schemas.microsoft.com/office/drawing/2016/SVG/main" r:embed="rId58"/>
            </a:ext>
          </a:extLst>
        </a:blip>
        <a:stretch>
          <a:fillRect/>
        </a:stretch>
      </xdr:blipFill>
      <xdr:spPr>
        <a:xfrm rot="8188822">
          <a:off x="9394523" y="22248484"/>
          <a:ext cx="226966" cy="221846"/>
        </a:xfrm>
        <a:prstGeom prst="rect">
          <a:avLst/>
        </a:prstGeom>
      </xdr:spPr>
    </xdr:pic>
    <xdr:clientData/>
  </xdr:twoCellAnchor>
  <xdr:twoCellAnchor editAs="oneCell">
    <xdr:from>
      <xdr:col>33</xdr:col>
      <xdr:colOff>164765</xdr:colOff>
      <xdr:row>151</xdr:row>
      <xdr:rowOff>36853</xdr:rowOff>
    </xdr:from>
    <xdr:to>
      <xdr:col>33</xdr:col>
      <xdr:colOff>473523</xdr:colOff>
      <xdr:row>153</xdr:row>
      <xdr:rowOff>170359</xdr:rowOff>
    </xdr:to>
    <xdr:pic>
      <xdr:nvPicPr>
        <xdr:cNvPr id="43" name="Obraz 42">
          <a:extLst>
            <a:ext uri="{FF2B5EF4-FFF2-40B4-BE49-F238E27FC236}">
              <a16:creationId xmlns:a16="http://schemas.microsoft.com/office/drawing/2014/main" id="{0BDB4ACE-C27E-450A-88F9-9FF14EEBFD2A}"/>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6893225" y="22153903"/>
          <a:ext cx="304948" cy="495456"/>
        </a:xfrm>
        <a:prstGeom prst="rect">
          <a:avLst/>
        </a:prstGeom>
      </xdr:spPr>
    </xdr:pic>
    <xdr:clientData/>
  </xdr:twoCellAnchor>
  <xdr:twoCellAnchor editAs="oneCell">
    <xdr:from>
      <xdr:col>33</xdr:col>
      <xdr:colOff>138980</xdr:colOff>
      <xdr:row>154</xdr:row>
      <xdr:rowOff>19018</xdr:rowOff>
    </xdr:from>
    <xdr:to>
      <xdr:col>33</xdr:col>
      <xdr:colOff>475800</xdr:colOff>
      <xdr:row>156</xdr:row>
      <xdr:rowOff>55519</xdr:rowOff>
    </xdr:to>
    <xdr:pic>
      <xdr:nvPicPr>
        <xdr:cNvPr id="44" name="Obraz 43">
          <a:extLst>
            <a:ext uri="{FF2B5EF4-FFF2-40B4-BE49-F238E27FC236}">
              <a16:creationId xmlns:a16="http://schemas.microsoft.com/office/drawing/2014/main" id="{0E507969-F9E8-4DC0-8567-A8007EAD23B6}"/>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6859820" y="22682803"/>
          <a:ext cx="340630" cy="394641"/>
        </a:xfrm>
        <a:prstGeom prst="rect">
          <a:avLst/>
        </a:prstGeom>
      </xdr:spPr>
    </xdr:pic>
    <xdr:clientData/>
  </xdr:twoCellAnchor>
  <xdr:twoCellAnchor>
    <xdr:from>
      <xdr:col>33</xdr:col>
      <xdr:colOff>550001</xdr:colOff>
      <xdr:row>152</xdr:row>
      <xdr:rowOff>136071</xdr:rowOff>
    </xdr:from>
    <xdr:to>
      <xdr:col>36</xdr:col>
      <xdr:colOff>242454</xdr:colOff>
      <xdr:row>152</xdr:row>
      <xdr:rowOff>136071</xdr:rowOff>
    </xdr:to>
    <xdr:cxnSp macro="">
      <xdr:nvCxnSpPr>
        <xdr:cNvPr id="45" name="Łącznik prosty 44">
          <a:extLst>
            <a:ext uri="{FF2B5EF4-FFF2-40B4-BE49-F238E27FC236}">
              <a16:creationId xmlns:a16="http://schemas.microsoft.com/office/drawing/2014/main" id="{5DB5D01D-BAF6-4608-828C-89DE13BDA195}"/>
            </a:ext>
          </a:extLst>
        </xdr:cNvPr>
        <xdr:cNvCxnSpPr/>
      </xdr:nvCxnSpPr>
      <xdr:spPr>
        <a:xfrm>
          <a:off x="7278461" y="22430286"/>
          <a:ext cx="1673653" cy="0"/>
        </a:xfrm>
        <a:prstGeom prst="line">
          <a:avLst/>
        </a:prstGeom>
        <a:ln>
          <a:solidFill>
            <a:srgbClr val="EF4423"/>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492673</xdr:colOff>
      <xdr:row>154</xdr:row>
      <xdr:rowOff>172944</xdr:rowOff>
    </xdr:from>
    <xdr:to>
      <xdr:col>34</xdr:col>
      <xdr:colOff>472966</xdr:colOff>
      <xdr:row>154</xdr:row>
      <xdr:rowOff>172944</xdr:rowOff>
    </xdr:to>
    <xdr:cxnSp macro="">
      <xdr:nvCxnSpPr>
        <xdr:cNvPr id="46" name="Łącznik prosty 45">
          <a:extLst>
            <a:ext uri="{FF2B5EF4-FFF2-40B4-BE49-F238E27FC236}">
              <a16:creationId xmlns:a16="http://schemas.microsoft.com/office/drawing/2014/main" id="{FDA103D1-46C0-4157-A769-E229D77AADBF}"/>
            </a:ext>
          </a:extLst>
        </xdr:cNvPr>
        <xdr:cNvCxnSpPr/>
      </xdr:nvCxnSpPr>
      <xdr:spPr>
        <a:xfrm>
          <a:off x="7217323" y="22829109"/>
          <a:ext cx="746103" cy="0"/>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34</xdr:col>
      <xdr:colOff>475177</xdr:colOff>
      <xdr:row>152</xdr:row>
      <xdr:rowOff>3314</xdr:rowOff>
    </xdr:from>
    <xdr:to>
      <xdr:col>35</xdr:col>
      <xdr:colOff>323449</xdr:colOff>
      <xdr:row>155</xdr:row>
      <xdr:rowOff>171967</xdr:rowOff>
    </xdr:to>
    <xdr:pic>
      <xdr:nvPicPr>
        <xdr:cNvPr id="47" name="Obraz 46">
          <a:extLst>
            <a:ext uri="{FF2B5EF4-FFF2-40B4-BE49-F238E27FC236}">
              <a16:creationId xmlns:a16="http://schemas.microsoft.com/office/drawing/2014/main" id="{6B730FDE-03A6-496C-B907-209A13BFB572}"/>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7965637" y="22301339"/>
          <a:ext cx="454062" cy="711578"/>
        </a:xfrm>
        <a:prstGeom prst="rect">
          <a:avLst/>
        </a:prstGeom>
        <a:effectLst>
          <a:outerShdw blurRad="63500" sx="102000" sy="102000" algn="ctr" rotWithShape="0">
            <a:prstClr val="black">
              <a:alpha val="40000"/>
            </a:prstClr>
          </a:outerShdw>
        </a:effectLst>
      </xdr:spPr>
    </xdr:pic>
    <xdr:clientData/>
  </xdr:twoCellAnchor>
  <xdr:twoCellAnchor editAs="oneCell">
    <xdr:from>
      <xdr:col>35</xdr:col>
      <xdr:colOff>309217</xdr:colOff>
      <xdr:row>151</xdr:row>
      <xdr:rowOff>68774</xdr:rowOff>
    </xdr:from>
    <xdr:to>
      <xdr:col>35</xdr:col>
      <xdr:colOff>551754</xdr:colOff>
      <xdr:row>152</xdr:row>
      <xdr:rowOff>94782</xdr:rowOff>
    </xdr:to>
    <xdr:pic>
      <xdr:nvPicPr>
        <xdr:cNvPr id="58" name="Grafika 57" descr="Bezprzewodowe kontur">
          <a:extLst>
            <a:ext uri="{FF2B5EF4-FFF2-40B4-BE49-F238E27FC236}">
              <a16:creationId xmlns:a16="http://schemas.microsoft.com/office/drawing/2014/main" id="{BA1A1D37-953C-4870-BCDE-2D64DDD09213}"/>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 uri="{96DAC541-7B7A-43D3-8B79-37D633B846F1}">
              <asvg:svgBlip xmlns:asvg="http://schemas.microsoft.com/office/drawing/2016/SVG/main" r:embed="rId58"/>
            </a:ext>
          </a:extLst>
        </a:blip>
        <a:stretch>
          <a:fillRect/>
        </a:stretch>
      </xdr:blipFill>
      <xdr:spPr>
        <a:xfrm rot="8188822">
          <a:off x="8407372" y="22183919"/>
          <a:ext cx="240632" cy="208888"/>
        </a:xfrm>
        <a:prstGeom prst="rect">
          <a:avLst/>
        </a:prstGeom>
      </xdr:spPr>
    </xdr:pic>
    <xdr:clientData/>
  </xdr:twoCellAnchor>
  <xdr:twoCellAnchor>
    <xdr:from>
      <xdr:col>35</xdr:col>
      <xdr:colOff>331434</xdr:colOff>
      <xdr:row>153</xdr:row>
      <xdr:rowOff>136928</xdr:rowOff>
    </xdr:from>
    <xdr:to>
      <xdr:col>36</xdr:col>
      <xdr:colOff>244359</xdr:colOff>
      <xdr:row>153</xdr:row>
      <xdr:rowOff>136928</xdr:rowOff>
    </xdr:to>
    <xdr:cxnSp macro="">
      <xdr:nvCxnSpPr>
        <xdr:cNvPr id="73" name="Łącznik prosty 72">
          <a:extLst>
            <a:ext uri="{FF2B5EF4-FFF2-40B4-BE49-F238E27FC236}">
              <a16:creationId xmlns:a16="http://schemas.microsoft.com/office/drawing/2014/main" id="{DF599C4D-DA38-45B7-81CA-DF0A64A154F5}"/>
            </a:ext>
          </a:extLst>
        </xdr:cNvPr>
        <xdr:cNvCxnSpPr/>
      </xdr:nvCxnSpPr>
      <xdr:spPr>
        <a:xfrm>
          <a:off x="8423874" y="22612118"/>
          <a:ext cx="530145" cy="0"/>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216915</xdr:colOff>
      <xdr:row>161</xdr:row>
      <xdr:rowOff>17191</xdr:rowOff>
    </xdr:from>
    <xdr:to>
      <xdr:col>37</xdr:col>
      <xdr:colOff>534578</xdr:colOff>
      <xdr:row>161</xdr:row>
      <xdr:rowOff>17191</xdr:rowOff>
    </xdr:to>
    <xdr:cxnSp macro="">
      <xdr:nvCxnSpPr>
        <xdr:cNvPr id="82" name="Łącznik prosty 81">
          <a:extLst>
            <a:ext uri="{FF2B5EF4-FFF2-40B4-BE49-F238E27FC236}">
              <a16:creationId xmlns:a16="http://schemas.microsoft.com/office/drawing/2014/main" id="{AC2B11BC-9D84-41AF-9570-B7AC533B7891}"/>
            </a:ext>
          </a:extLst>
        </xdr:cNvPr>
        <xdr:cNvCxnSpPr/>
      </xdr:nvCxnSpPr>
      <xdr:spPr>
        <a:xfrm>
          <a:off x="8309355" y="23947801"/>
          <a:ext cx="1597823" cy="0"/>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38</xdr:col>
      <xdr:colOff>224155</xdr:colOff>
      <xdr:row>160</xdr:row>
      <xdr:rowOff>45858</xdr:rowOff>
    </xdr:from>
    <xdr:to>
      <xdr:col>38</xdr:col>
      <xdr:colOff>438117</xdr:colOff>
      <xdr:row>161</xdr:row>
      <xdr:rowOff>56626</xdr:rowOff>
    </xdr:to>
    <xdr:pic>
      <xdr:nvPicPr>
        <xdr:cNvPr id="83" name="Grafika 82" descr="Bezprzewodowe kontur">
          <a:extLst>
            <a:ext uri="{FF2B5EF4-FFF2-40B4-BE49-F238E27FC236}">
              <a16:creationId xmlns:a16="http://schemas.microsoft.com/office/drawing/2014/main" id="{9D74058A-A019-4AF6-96E0-AC1BAEB993AE}"/>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 uri="{96DAC541-7B7A-43D3-8B79-37D633B846F1}">
              <asvg:svgBlip xmlns:asvg="http://schemas.microsoft.com/office/drawing/2016/SVG/main" r:embed="rId58"/>
            </a:ext>
          </a:extLst>
        </a:blip>
        <a:stretch>
          <a:fillRect/>
        </a:stretch>
      </xdr:blipFill>
      <xdr:spPr>
        <a:xfrm rot="8188822">
          <a:off x="10261600" y="23793588"/>
          <a:ext cx="215867" cy="189838"/>
        </a:xfrm>
        <a:prstGeom prst="rect">
          <a:avLst/>
        </a:prstGeom>
      </xdr:spPr>
    </xdr:pic>
    <xdr:clientData/>
  </xdr:twoCellAnchor>
  <xdr:twoCellAnchor editAs="oneCell">
    <xdr:from>
      <xdr:col>37</xdr:col>
      <xdr:colOff>498525</xdr:colOff>
      <xdr:row>160</xdr:row>
      <xdr:rowOff>92510</xdr:rowOff>
    </xdr:from>
    <xdr:to>
      <xdr:col>38</xdr:col>
      <xdr:colOff>207792</xdr:colOff>
      <xdr:row>162</xdr:row>
      <xdr:rowOff>92905</xdr:rowOff>
    </xdr:to>
    <xdr:pic>
      <xdr:nvPicPr>
        <xdr:cNvPr id="88" name="Obraz 87">
          <a:extLst>
            <a:ext uri="{FF2B5EF4-FFF2-40B4-BE49-F238E27FC236}">
              <a16:creationId xmlns:a16="http://schemas.microsoft.com/office/drawing/2014/main" id="{4B83F1E4-B35A-4404-9600-9E576D77843A}"/>
            </a:ext>
          </a:extLst>
        </xdr:cNvPr>
        <xdr:cNvPicPr>
          <a:picLocks noChangeAspect="1"/>
        </xdr:cNvPicPr>
      </xdr:nvPicPr>
      <xdr:blipFill>
        <a:blip xmlns:r="http://schemas.openxmlformats.org/officeDocument/2006/relationships" r:embed="rId63"/>
        <a:stretch>
          <a:fillRect/>
        </a:stretch>
      </xdr:blipFill>
      <xdr:spPr>
        <a:xfrm>
          <a:off x="9871125" y="23842145"/>
          <a:ext cx="376017" cy="358535"/>
        </a:xfrm>
        <a:prstGeom prst="rect">
          <a:avLst/>
        </a:prstGeom>
      </xdr:spPr>
    </xdr:pic>
    <xdr:clientData/>
  </xdr:twoCellAnchor>
  <xdr:twoCellAnchor>
    <xdr:from>
      <xdr:col>33</xdr:col>
      <xdr:colOff>445544</xdr:colOff>
      <xdr:row>160</xdr:row>
      <xdr:rowOff>76939</xdr:rowOff>
    </xdr:from>
    <xdr:to>
      <xdr:col>34</xdr:col>
      <xdr:colOff>392466</xdr:colOff>
      <xdr:row>160</xdr:row>
      <xdr:rowOff>76939</xdr:rowOff>
    </xdr:to>
    <xdr:cxnSp macro="">
      <xdr:nvCxnSpPr>
        <xdr:cNvPr id="120" name="Łącznik prosty 119">
          <a:extLst>
            <a:ext uri="{FF2B5EF4-FFF2-40B4-BE49-F238E27FC236}">
              <a16:creationId xmlns:a16="http://schemas.microsoft.com/office/drawing/2014/main" id="{F5884EC8-E3EC-4FE3-BF9D-A2C8894DB8F3}"/>
            </a:ext>
          </a:extLst>
        </xdr:cNvPr>
        <xdr:cNvCxnSpPr/>
      </xdr:nvCxnSpPr>
      <xdr:spPr>
        <a:xfrm>
          <a:off x="7166384" y="23822764"/>
          <a:ext cx="716542" cy="0"/>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33</xdr:col>
      <xdr:colOff>16558</xdr:colOff>
      <xdr:row>159</xdr:row>
      <xdr:rowOff>95251</xdr:rowOff>
    </xdr:from>
    <xdr:to>
      <xdr:col>33</xdr:col>
      <xdr:colOff>436392</xdr:colOff>
      <xdr:row>161</xdr:row>
      <xdr:rowOff>60910</xdr:rowOff>
    </xdr:to>
    <xdr:pic>
      <xdr:nvPicPr>
        <xdr:cNvPr id="122" name="Obraz 121">
          <a:extLst>
            <a:ext uri="{FF2B5EF4-FFF2-40B4-BE49-F238E27FC236}">
              <a16:creationId xmlns:a16="http://schemas.microsoft.com/office/drawing/2014/main" id="{C0416FD3-379F-48D2-B020-FB12826B8C8D}"/>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6745018" y="23656291"/>
          <a:ext cx="416024" cy="331419"/>
        </a:xfrm>
        <a:prstGeom prst="rect">
          <a:avLst/>
        </a:prstGeom>
        <a:effectLst/>
      </xdr:spPr>
    </xdr:pic>
    <xdr:clientData/>
  </xdr:twoCellAnchor>
  <xdr:twoCellAnchor editAs="oneCell">
    <xdr:from>
      <xdr:col>34</xdr:col>
      <xdr:colOff>247650</xdr:colOff>
      <xdr:row>158</xdr:row>
      <xdr:rowOff>85725</xdr:rowOff>
    </xdr:from>
    <xdr:to>
      <xdr:col>35</xdr:col>
      <xdr:colOff>281940</xdr:colOff>
      <xdr:row>161</xdr:row>
      <xdr:rowOff>132917</xdr:rowOff>
    </xdr:to>
    <xdr:pic>
      <xdr:nvPicPr>
        <xdr:cNvPr id="124" name="Obraz 123">
          <a:extLst>
            <a:ext uri="{FF2B5EF4-FFF2-40B4-BE49-F238E27FC236}">
              <a16:creationId xmlns:a16="http://schemas.microsoft.com/office/drawing/2014/main" id="{E9318646-1CB5-464D-8BBB-26AB8A6688B1}"/>
            </a:ext>
          </a:extLst>
        </xdr:cNvPr>
        <xdr:cNvPicPr>
          <a:picLocks noChangeAspect="1"/>
        </xdr:cNvPicPr>
      </xdr:nvPicPr>
      <xdr:blipFill>
        <a:blip xmlns:r="http://schemas.openxmlformats.org/officeDocument/2006/relationships" r:embed="rId65"/>
        <a:stretch>
          <a:fillRect/>
        </a:stretch>
      </xdr:blipFill>
      <xdr:spPr>
        <a:xfrm>
          <a:off x="7730490" y="23471505"/>
          <a:ext cx="647700" cy="588212"/>
        </a:xfrm>
        <a:prstGeom prst="rect">
          <a:avLst/>
        </a:prstGeom>
        <a:effectLst>
          <a:outerShdw blurRad="63500" sx="102000" sy="102000" algn="ctr" rotWithShape="0">
            <a:prstClr val="black">
              <a:alpha val="40000"/>
            </a:prstClr>
          </a:outerShdw>
        </a:effectLst>
      </xdr:spPr>
    </xdr:pic>
    <xdr:clientData/>
  </xdr:twoCellAnchor>
  <xdr:twoCellAnchor editAs="oneCell">
    <xdr:from>
      <xdr:col>33</xdr:col>
      <xdr:colOff>183173</xdr:colOff>
      <xdr:row>157</xdr:row>
      <xdr:rowOff>168519</xdr:rowOff>
    </xdr:from>
    <xdr:to>
      <xdr:col>33</xdr:col>
      <xdr:colOff>360840</xdr:colOff>
      <xdr:row>159</xdr:row>
      <xdr:rowOff>16448</xdr:rowOff>
    </xdr:to>
    <xdr:pic>
      <xdr:nvPicPr>
        <xdr:cNvPr id="125" name="Obraz 124">
          <a:extLst>
            <a:ext uri="{FF2B5EF4-FFF2-40B4-BE49-F238E27FC236}">
              <a16:creationId xmlns:a16="http://schemas.microsoft.com/office/drawing/2014/main" id="{72792D7C-16F5-432D-B737-EB0B8B9D559A}"/>
            </a:ext>
          </a:extLst>
        </xdr:cNvPr>
        <xdr:cNvPicPr>
          <a:picLocks noChangeAspect="1"/>
        </xdr:cNvPicPr>
      </xdr:nvPicPr>
      <xdr:blipFill>
        <a:blip xmlns:r="http://schemas.openxmlformats.org/officeDocument/2006/relationships" r:embed="rId66" cstate="email">
          <a:extLst>
            <a:ext uri="{BEBA8EAE-BF5A-486C-A8C5-ECC9F3942E4B}">
              <a14:imgProps xmlns:a14="http://schemas.microsoft.com/office/drawing/2010/main">
                <a14:imgLayer r:embed="rId67">
                  <a14:imgEffect>
                    <a14:saturation sat="0"/>
                  </a14:imgEffect>
                </a14:imgLayer>
              </a14:imgProps>
            </a:ext>
            <a:ext uri="{28A0092B-C50C-407E-A947-70E740481C1C}">
              <a14:useLocalDpi xmlns:a14="http://schemas.microsoft.com/office/drawing/2010/main"/>
            </a:ext>
          </a:extLst>
        </a:blip>
        <a:stretch>
          <a:fillRect/>
        </a:stretch>
      </xdr:blipFill>
      <xdr:spPr>
        <a:xfrm>
          <a:off x="6872654" y="23504769"/>
          <a:ext cx="192907" cy="208560"/>
        </a:xfrm>
        <a:prstGeom prst="rect">
          <a:avLst/>
        </a:prstGeom>
      </xdr:spPr>
    </xdr:pic>
    <xdr:clientData/>
  </xdr:twoCellAnchor>
  <xdr:twoCellAnchor editAs="oneCell">
    <xdr:from>
      <xdr:col>11</xdr:col>
      <xdr:colOff>15642</xdr:colOff>
      <xdr:row>176</xdr:row>
      <xdr:rowOff>144780</xdr:rowOff>
    </xdr:from>
    <xdr:to>
      <xdr:col>22</xdr:col>
      <xdr:colOff>459106</xdr:colOff>
      <xdr:row>180</xdr:row>
      <xdr:rowOff>95250</xdr:rowOff>
    </xdr:to>
    <xdr:pic>
      <xdr:nvPicPr>
        <xdr:cNvPr id="4" name="Obraz 3">
          <a:extLst>
            <a:ext uri="{FF2B5EF4-FFF2-40B4-BE49-F238E27FC236}">
              <a16:creationId xmlns:a16="http://schemas.microsoft.com/office/drawing/2014/main" id="{72532F82-6966-44FE-9032-4F6E61C67F51}"/>
            </a:ext>
          </a:extLst>
        </xdr:cNvPr>
        <xdr:cNvPicPr>
          <a:picLocks noChangeAspect="1"/>
        </xdr:cNvPicPr>
      </xdr:nvPicPr>
      <xdr:blipFill>
        <a:blip xmlns:r="http://schemas.openxmlformats.org/officeDocument/2006/relationships" r:embed="rId68"/>
        <a:stretch>
          <a:fillRect/>
        </a:stretch>
      </xdr:blipFill>
      <xdr:spPr>
        <a:xfrm>
          <a:off x="634767" y="26557605"/>
          <a:ext cx="862564" cy="624840"/>
        </a:xfrm>
        <a:prstGeom prst="rect">
          <a:avLst/>
        </a:prstGeom>
      </xdr:spPr>
    </xdr:pic>
    <xdr:clientData/>
  </xdr:twoCellAnchor>
  <xdr:twoCellAnchor editAs="oneCell">
    <xdr:from>
      <xdr:col>17</xdr:col>
      <xdr:colOff>24765</xdr:colOff>
      <xdr:row>181</xdr:row>
      <xdr:rowOff>40006</xdr:rowOff>
    </xdr:from>
    <xdr:to>
      <xdr:col>22</xdr:col>
      <xdr:colOff>398145</xdr:colOff>
      <xdr:row>183</xdr:row>
      <xdr:rowOff>93305</xdr:rowOff>
    </xdr:to>
    <xdr:pic>
      <xdr:nvPicPr>
        <xdr:cNvPr id="13" name="Obraz 12">
          <a:extLst>
            <a:ext uri="{FF2B5EF4-FFF2-40B4-BE49-F238E27FC236}">
              <a16:creationId xmlns:a16="http://schemas.microsoft.com/office/drawing/2014/main" id="{DC528D96-6CD6-4CFC-9995-CC12CDFF3E0B}"/>
            </a:ext>
          </a:extLst>
        </xdr:cNvPr>
        <xdr:cNvPicPr>
          <a:picLocks noChangeAspect="1"/>
        </xdr:cNvPicPr>
      </xdr:nvPicPr>
      <xdr:blipFill>
        <a:blip xmlns:r="http://schemas.openxmlformats.org/officeDocument/2006/relationships" r:embed="rId69"/>
        <a:stretch>
          <a:fillRect/>
        </a:stretch>
      </xdr:blipFill>
      <xdr:spPr>
        <a:xfrm>
          <a:off x="872490" y="27319606"/>
          <a:ext cx="563880" cy="390484"/>
        </a:xfrm>
        <a:prstGeom prst="rect">
          <a:avLst/>
        </a:prstGeom>
      </xdr:spPr>
    </xdr:pic>
    <xdr:clientData/>
  </xdr:twoCellAnchor>
  <xdr:twoCellAnchor editAs="oneCell">
    <xdr:from>
      <xdr:col>10</xdr:col>
      <xdr:colOff>28575</xdr:colOff>
      <xdr:row>186</xdr:row>
      <xdr:rowOff>161925</xdr:rowOff>
    </xdr:from>
    <xdr:to>
      <xdr:col>22</xdr:col>
      <xdr:colOff>439654</xdr:colOff>
      <xdr:row>190</xdr:row>
      <xdr:rowOff>93345</xdr:rowOff>
    </xdr:to>
    <xdr:pic>
      <xdr:nvPicPr>
        <xdr:cNvPr id="14" name="Obraz 13">
          <a:extLst>
            <a:ext uri="{FF2B5EF4-FFF2-40B4-BE49-F238E27FC236}">
              <a16:creationId xmlns:a16="http://schemas.microsoft.com/office/drawing/2014/main" id="{B9D0B2AF-4EAF-41E1-9B3D-44BE4ECEDA63}"/>
            </a:ext>
          </a:extLst>
        </xdr:cNvPr>
        <xdr:cNvPicPr>
          <a:picLocks noChangeAspect="1"/>
        </xdr:cNvPicPr>
      </xdr:nvPicPr>
      <xdr:blipFill>
        <a:blip xmlns:r="http://schemas.openxmlformats.org/officeDocument/2006/relationships" r:embed="rId68"/>
        <a:stretch>
          <a:fillRect/>
        </a:stretch>
      </xdr:blipFill>
      <xdr:spPr>
        <a:xfrm>
          <a:off x="609600" y="28298775"/>
          <a:ext cx="854944" cy="630555"/>
        </a:xfrm>
        <a:prstGeom prst="rect">
          <a:avLst/>
        </a:prstGeom>
      </xdr:spPr>
    </xdr:pic>
    <xdr:clientData/>
  </xdr:twoCellAnchor>
  <xdr:twoCellAnchor editAs="oneCell">
    <xdr:from>
      <xdr:col>16</xdr:col>
      <xdr:colOff>24765</xdr:colOff>
      <xdr:row>191</xdr:row>
      <xdr:rowOff>59056</xdr:rowOff>
    </xdr:from>
    <xdr:to>
      <xdr:col>22</xdr:col>
      <xdr:colOff>363855</xdr:colOff>
      <xdr:row>193</xdr:row>
      <xdr:rowOff>99020</xdr:rowOff>
    </xdr:to>
    <xdr:pic>
      <xdr:nvPicPr>
        <xdr:cNvPr id="24" name="Obraz 23">
          <a:extLst>
            <a:ext uri="{FF2B5EF4-FFF2-40B4-BE49-F238E27FC236}">
              <a16:creationId xmlns:a16="http://schemas.microsoft.com/office/drawing/2014/main" id="{236A01FB-F3D8-47BE-9091-82ADEB87FBBC}"/>
            </a:ext>
          </a:extLst>
        </xdr:cNvPr>
        <xdr:cNvPicPr>
          <a:picLocks noChangeAspect="1"/>
        </xdr:cNvPicPr>
      </xdr:nvPicPr>
      <xdr:blipFill>
        <a:blip xmlns:r="http://schemas.openxmlformats.org/officeDocument/2006/relationships" r:embed="rId69"/>
        <a:stretch>
          <a:fillRect/>
        </a:stretch>
      </xdr:blipFill>
      <xdr:spPr>
        <a:xfrm>
          <a:off x="834390" y="29062681"/>
          <a:ext cx="563880" cy="390484"/>
        </a:xfrm>
        <a:prstGeom prst="rect">
          <a:avLst/>
        </a:prstGeom>
      </xdr:spPr>
    </xdr:pic>
    <xdr:clientData/>
  </xdr:twoCellAnchor>
  <xdr:twoCellAnchor editAs="oneCell">
    <xdr:from>
      <xdr:col>8</xdr:col>
      <xdr:colOff>19051</xdr:colOff>
      <xdr:row>171</xdr:row>
      <xdr:rowOff>1</xdr:rowOff>
    </xdr:from>
    <xdr:to>
      <xdr:col>22</xdr:col>
      <xdr:colOff>510723</xdr:colOff>
      <xdr:row>173</xdr:row>
      <xdr:rowOff>95251</xdr:rowOff>
    </xdr:to>
    <xdr:pic>
      <xdr:nvPicPr>
        <xdr:cNvPr id="9" name="Obraz 8">
          <a:extLst>
            <a:ext uri="{FF2B5EF4-FFF2-40B4-BE49-F238E27FC236}">
              <a16:creationId xmlns:a16="http://schemas.microsoft.com/office/drawing/2014/main" id="{8462AE8D-857E-55FF-DB48-2A061FE244B8}"/>
            </a:ext>
          </a:extLst>
        </xdr:cNvPr>
        <xdr:cNvPicPr>
          <a:picLocks noChangeAspect="1"/>
        </xdr:cNvPicPr>
      </xdr:nvPicPr>
      <xdr:blipFill>
        <a:blip xmlns:r="http://schemas.openxmlformats.org/officeDocument/2006/relationships" r:embed="rId70"/>
        <a:stretch>
          <a:fillRect/>
        </a:stretch>
      </xdr:blipFill>
      <xdr:spPr>
        <a:xfrm>
          <a:off x="523876" y="25546051"/>
          <a:ext cx="1028882" cy="4343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2</xdr:row>
      <xdr:rowOff>89647</xdr:rowOff>
    </xdr:from>
    <xdr:to>
      <xdr:col>23</xdr:col>
      <xdr:colOff>94554</xdr:colOff>
      <xdr:row>4</xdr:row>
      <xdr:rowOff>54684</xdr:rowOff>
    </xdr:to>
    <xdr:pic>
      <xdr:nvPicPr>
        <xdr:cNvPr id="2" name="Obraz 1" descr="Znalezione obrazy dla zapytania logo viessmann">
          <a:extLst>
            <a:ext uri="{FF2B5EF4-FFF2-40B4-BE49-F238E27FC236}">
              <a16:creationId xmlns:a16="http://schemas.microsoft.com/office/drawing/2014/main" id="{311B2F6E-F7FA-4491-9B4A-C42A26D1B333}"/>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257175" y="560182"/>
          <a:ext cx="1498539" cy="3269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34</xdr:col>
      <xdr:colOff>414514</xdr:colOff>
      <xdr:row>2</xdr:row>
      <xdr:rowOff>12521</xdr:rowOff>
    </xdr:from>
    <xdr:to>
      <xdr:col>35</xdr:col>
      <xdr:colOff>130473</xdr:colOff>
      <xdr:row>3</xdr:row>
      <xdr:rowOff>172884</xdr:rowOff>
    </xdr:to>
    <xdr:pic>
      <xdr:nvPicPr>
        <xdr:cNvPr id="3" name="Grafika 2" descr="Kalendarz dzienny kontur">
          <a:extLst>
            <a:ext uri="{FF2B5EF4-FFF2-40B4-BE49-F238E27FC236}">
              <a16:creationId xmlns:a16="http://schemas.microsoft.com/office/drawing/2014/main" id="{37112E80-C526-430B-93C4-FFD2FE1CA3E1}"/>
            </a:ext>
          </a:extLst>
        </xdr:cNvPr>
        <xdr:cNvPicPr>
          <a:picLocks/>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7908784" y="483056"/>
          <a:ext cx="331274" cy="333718"/>
        </a:xfrm>
        <a:prstGeom prst="rect">
          <a:avLst/>
        </a:prstGeom>
      </xdr:spPr>
    </xdr:pic>
    <xdr:clientData/>
  </xdr:twoCellAnchor>
  <xdr:twoCellAnchor editAs="oneCell">
    <xdr:from>
      <xdr:col>29</xdr:col>
      <xdr:colOff>256222</xdr:colOff>
      <xdr:row>119</xdr:row>
      <xdr:rowOff>91946</xdr:rowOff>
    </xdr:from>
    <xdr:to>
      <xdr:col>32</xdr:col>
      <xdr:colOff>384758</xdr:colOff>
      <xdr:row>126</xdr:row>
      <xdr:rowOff>57097</xdr:rowOff>
    </xdr:to>
    <xdr:pic>
      <xdr:nvPicPr>
        <xdr:cNvPr id="4" name="Obraz 3">
          <a:extLst>
            <a:ext uri="{FF2B5EF4-FFF2-40B4-BE49-F238E27FC236}">
              <a16:creationId xmlns:a16="http://schemas.microsoft.com/office/drawing/2014/main" id="{E09D258A-9A0F-4E9B-A19B-07774DCCDECA}"/>
            </a:ext>
          </a:extLst>
        </xdr:cNvPr>
        <xdr:cNvPicPr>
          <a:picLocks noChangeAspect="1"/>
        </xdr:cNvPicPr>
      </xdr:nvPicPr>
      <xdr:blipFill>
        <a:blip xmlns:r="http://schemas.openxmlformats.org/officeDocument/2006/relationships" r:embed="rId4" cstate="email">
          <a:extLst>
            <a:ext uri="{BEBA8EAE-BF5A-486C-A8C5-ECC9F3942E4B}">
              <a14:imgProps xmlns:a14="http://schemas.microsoft.com/office/drawing/2010/main">
                <a14:imgLayer r:embed="rId5">
                  <a14:imgEffect>
                    <a14:brightnessContrast bright="-40000" contrast="20000"/>
                  </a14:imgEffect>
                </a14:imgLayer>
              </a14:imgProps>
            </a:ext>
            <a:ext uri="{28A0092B-C50C-407E-A947-70E740481C1C}">
              <a14:useLocalDpi xmlns:a14="http://schemas.microsoft.com/office/drawing/2010/main"/>
            </a:ext>
          </a:extLst>
        </a:blip>
        <a:stretch>
          <a:fillRect/>
        </a:stretch>
      </xdr:blipFill>
      <xdr:spPr>
        <a:xfrm>
          <a:off x="5273992" y="16802606"/>
          <a:ext cx="1235341" cy="1241501"/>
        </a:xfrm>
        <a:prstGeom prst="rect">
          <a:avLst/>
        </a:prstGeom>
      </xdr:spPr>
    </xdr:pic>
    <xdr:clientData/>
  </xdr:twoCellAnchor>
  <xdr:twoCellAnchor editAs="oneCell">
    <xdr:from>
      <xdr:col>35</xdr:col>
      <xdr:colOff>30523</xdr:colOff>
      <xdr:row>14</xdr:row>
      <xdr:rowOff>163873</xdr:rowOff>
    </xdr:from>
    <xdr:to>
      <xdr:col>35</xdr:col>
      <xdr:colOff>401953</xdr:colOff>
      <xdr:row>16</xdr:row>
      <xdr:rowOff>173352</xdr:rowOff>
    </xdr:to>
    <xdr:pic>
      <xdr:nvPicPr>
        <xdr:cNvPr id="5" name="Grafika 4" descr="Rozwidlenie drogi kontur">
          <a:extLst>
            <a:ext uri="{FF2B5EF4-FFF2-40B4-BE49-F238E27FC236}">
              <a16:creationId xmlns:a16="http://schemas.microsoft.com/office/drawing/2014/main" id="{CAA6B7CC-39BE-4187-8106-7E38E1E31BC2}"/>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 uri="{96DAC541-7B7A-43D3-8B79-37D633B846F1}">
              <asvg:svgBlip xmlns:asvg="http://schemas.microsoft.com/office/drawing/2016/SVG/main" r:embed="rId7"/>
            </a:ext>
          </a:extLst>
        </a:blip>
        <a:stretch>
          <a:fillRect/>
        </a:stretch>
      </xdr:blipFill>
      <xdr:spPr>
        <a:xfrm rot="10800000">
          <a:off x="8134393" y="2806108"/>
          <a:ext cx="369525" cy="363809"/>
        </a:xfrm>
        <a:prstGeom prst="rect">
          <a:avLst/>
        </a:prstGeom>
      </xdr:spPr>
    </xdr:pic>
    <xdr:clientData/>
  </xdr:twoCellAnchor>
  <xdr:twoCellAnchor editAs="oneCell">
    <xdr:from>
      <xdr:col>29</xdr:col>
      <xdr:colOff>1950</xdr:colOff>
      <xdr:row>15</xdr:row>
      <xdr:rowOff>16651</xdr:rowOff>
    </xdr:from>
    <xdr:to>
      <xdr:col>29</xdr:col>
      <xdr:colOff>361950</xdr:colOff>
      <xdr:row>17</xdr:row>
      <xdr:rowOff>22321</xdr:rowOff>
    </xdr:to>
    <xdr:pic>
      <xdr:nvPicPr>
        <xdr:cNvPr id="6" name="Grafika 5" descr="Połączenie kontur">
          <a:extLst>
            <a:ext uri="{FF2B5EF4-FFF2-40B4-BE49-F238E27FC236}">
              <a16:creationId xmlns:a16="http://schemas.microsoft.com/office/drawing/2014/main" id="{792601ED-48F4-4940-8188-023DD6A13984}"/>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 uri="{96DAC541-7B7A-43D3-8B79-37D633B846F1}">
              <asvg:svgBlip xmlns:asvg="http://schemas.microsoft.com/office/drawing/2016/SVG/main" r:embed="rId9"/>
            </a:ext>
          </a:extLst>
        </a:blip>
        <a:stretch>
          <a:fillRect/>
        </a:stretch>
      </xdr:blipFill>
      <xdr:spPr>
        <a:xfrm rot="5400000">
          <a:off x="5019720" y="2841766"/>
          <a:ext cx="360000" cy="356190"/>
        </a:xfrm>
        <a:prstGeom prst="rect">
          <a:avLst/>
        </a:prstGeom>
      </xdr:spPr>
    </xdr:pic>
    <xdr:clientData/>
  </xdr:twoCellAnchor>
  <xdr:twoCellAnchor editAs="oneCell">
    <xdr:from>
      <xdr:col>26</xdr:col>
      <xdr:colOff>308530</xdr:colOff>
      <xdr:row>140</xdr:row>
      <xdr:rowOff>21263</xdr:rowOff>
    </xdr:from>
    <xdr:to>
      <xdr:col>26</xdr:col>
      <xdr:colOff>474112</xdr:colOff>
      <xdr:row>140</xdr:row>
      <xdr:rowOff>174428</xdr:rowOff>
    </xdr:to>
    <xdr:pic>
      <xdr:nvPicPr>
        <xdr:cNvPr id="7" name="Obraz 6">
          <a:extLst>
            <a:ext uri="{FF2B5EF4-FFF2-40B4-BE49-F238E27FC236}">
              <a16:creationId xmlns:a16="http://schemas.microsoft.com/office/drawing/2014/main" id="{9C32CB2F-04CD-460B-9D0D-12514CC8C1C2}"/>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3347005" y="20439053"/>
          <a:ext cx="169392" cy="153165"/>
        </a:xfrm>
        <a:prstGeom prst="rect">
          <a:avLst/>
        </a:prstGeom>
      </xdr:spPr>
    </xdr:pic>
    <xdr:clientData/>
  </xdr:twoCellAnchor>
  <xdr:twoCellAnchor editAs="oneCell">
    <xdr:from>
      <xdr:col>26</xdr:col>
      <xdr:colOff>305898</xdr:colOff>
      <xdr:row>141</xdr:row>
      <xdr:rowOff>19562</xdr:rowOff>
    </xdr:from>
    <xdr:to>
      <xdr:col>26</xdr:col>
      <xdr:colOff>477633</xdr:colOff>
      <xdr:row>141</xdr:row>
      <xdr:rowOff>174152</xdr:rowOff>
    </xdr:to>
    <xdr:pic>
      <xdr:nvPicPr>
        <xdr:cNvPr id="8" name="Obraz 7">
          <a:extLst>
            <a:ext uri="{FF2B5EF4-FFF2-40B4-BE49-F238E27FC236}">
              <a16:creationId xmlns:a16="http://schemas.microsoft.com/office/drawing/2014/main" id="{770390A4-B7FF-47B9-8DAC-BBD3C4FFD5D9}"/>
            </a:ext>
          </a:extLst>
        </xdr:cNvPr>
        <xdr:cNvPicPr>
          <a:picLocks/>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3344373" y="20618327"/>
          <a:ext cx="167925" cy="154590"/>
        </a:xfrm>
        <a:prstGeom prst="rect">
          <a:avLst/>
        </a:prstGeom>
      </xdr:spPr>
    </xdr:pic>
    <xdr:clientData/>
  </xdr:twoCellAnchor>
  <xdr:twoCellAnchor editAs="oneCell">
    <xdr:from>
      <xdr:col>26</xdr:col>
      <xdr:colOff>244150</xdr:colOff>
      <xdr:row>142</xdr:row>
      <xdr:rowOff>22988</xdr:rowOff>
    </xdr:from>
    <xdr:to>
      <xdr:col>26</xdr:col>
      <xdr:colOff>511636</xdr:colOff>
      <xdr:row>143</xdr:row>
      <xdr:rowOff>262</xdr:rowOff>
    </xdr:to>
    <xdr:pic>
      <xdr:nvPicPr>
        <xdr:cNvPr id="9" name="Obraz 8">
          <a:extLst>
            <a:ext uri="{FF2B5EF4-FFF2-40B4-BE49-F238E27FC236}">
              <a16:creationId xmlns:a16="http://schemas.microsoft.com/office/drawing/2014/main" id="{428C95D7-15A9-438A-9A8E-401DFD51FA34}"/>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3286435" y="20802728"/>
          <a:ext cx="267486" cy="162059"/>
        </a:xfrm>
        <a:prstGeom prst="rect">
          <a:avLst/>
        </a:prstGeom>
      </xdr:spPr>
    </xdr:pic>
    <xdr:clientData/>
  </xdr:twoCellAnchor>
  <xdr:twoCellAnchor editAs="oneCell">
    <xdr:from>
      <xdr:col>8</xdr:col>
      <xdr:colOff>11206</xdr:colOff>
      <xdr:row>147</xdr:row>
      <xdr:rowOff>174917</xdr:rowOff>
    </xdr:from>
    <xdr:to>
      <xdr:col>21</xdr:col>
      <xdr:colOff>18415</xdr:colOff>
      <xdr:row>151</xdr:row>
      <xdr:rowOff>3053</xdr:rowOff>
    </xdr:to>
    <xdr:pic>
      <xdr:nvPicPr>
        <xdr:cNvPr id="10" name="Grafika 9" descr="Gest dwukrotnego naciśnięcia kontur">
          <a:extLst>
            <a:ext uri="{FF2B5EF4-FFF2-40B4-BE49-F238E27FC236}">
              <a16:creationId xmlns:a16="http://schemas.microsoft.com/office/drawing/2014/main" id="{058405F9-F791-49FF-8DC6-1AE20DCD1F1A}"/>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 uri="{96DAC541-7B7A-43D3-8B79-37D633B846F1}">
              <asvg:svgBlip xmlns:asvg="http://schemas.microsoft.com/office/drawing/2016/SVG/main" r:embed="rId14"/>
            </a:ext>
          </a:extLst>
        </a:blip>
        <a:stretch>
          <a:fillRect/>
        </a:stretch>
      </xdr:blipFill>
      <xdr:spPr>
        <a:xfrm>
          <a:off x="527461" y="21859532"/>
          <a:ext cx="504414" cy="420591"/>
        </a:xfrm>
        <a:prstGeom prst="rect">
          <a:avLst/>
        </a:prstGeom>
      </xdr:spPr>
    </xdr:pic>
    <xdr:clientData/>
  </xdr:twoCellAnchor>
  <xdr:twoCellAnchor editAs="oneCell">
    <xdr:from>
      <xdr:col>6</xdr:col>
      <xdr:colOff>19895</xdr:colOff>
      <xdr:row>161</xdr:row>
      <xdr:rowOff>561</xdr:rowOff>
    </xdr:from>
    <xdr:to>
      <xdr:col>20</xdr:col>
      <xdr:colOff>17915</xdr:colOff>
      <xdr:row>164</xdr:row>
      <xdr:rowOff>1604</xdr:rowOff>
    </xdr:to>
    <xdr:pic>
      <xdr:nvPicPr>
        <xdr:cNvPr id="11" name="Grafika 10" descr="Trasa (ścieżka między dwiema pinezkami) kontur">
          <a:extLst>
            <a:ext uri="{FF2B5EF4-FFF2-40B4-BE49-F238E27FC236}">
              <a16:creationId xmlns:a16="http://schemas.microsoft.com/office/drawing/2014/main" id="{9BC87A2B-34EC-48DF-B6C7-F14068AFD621}"/>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 uri="{96DAC541-7B7A-43D3-8B79-37D633B846F1}">
              <asvg:svgBlip xmlns:asvg="http://schemas.microsoft.com/office/drawing/2016/SVG/main" r:embed="rId16"/>
            </a:ext>
          </a:extLst>
        </a:blip>
        <a:stretch>
          <a:fillRect/>
        </a:stretch>
      </xdr:blipFill>
      <xdr:spPr>
        <a:xfrm>
          <a:off x="454235" y="24089286"/>
          <a:ext cx="539040" cy="429668"/>
        </a:xfrm>
        <a:prstGeom prst="rect">
          <a:avLst/>
        </a:prstGeom>
      </xdr:spPr>
    </xdr:pic>
    <xdr:clientData/>
  </xdr:twoCellAnchor>
  <xdr:oneCellAnchor>
    <xdr:from>
      <xdr:col>37</xdr:col>
      <xdr:colOff>267602</xdr:colOff>
      <xdr:row>165</xdr:row>
      <xdr:rowOff>70087</xdr:rowOff>
    </xdr:from>
    <xdr:ext cx="170704" cy="159929"/>
    <xdr:pic macro="[0]!kanalDN75_add_">
      <xdr:nvPicPr>
        <xdr:cNvPr id="13" name="Grafika 12" descr="Odtwórz z wypełnieniem pełnym">
          <a:extLst>
            <a:ext uri="{FF2B5EF4-FFF2-40B4-BE49-F238E27FC236}">
              <a16:creationId xmlns:a16="http://schemas.microsoft.com/office/drawing/2014/main" id="{CF9643EA-7673-47F4-8AAA-4B5C7274AC6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 uri="{96DAC541-7B7A-43D3-8B79-37D633B846F1}">
              <asvg:svgBlip xmlns:asvg="http://schemas.microsoft.com/office/drawing/2016/SVG/main" r:embed="rId18"/>
            </a:ext>
          </a:extLst>
        </a:blip>
        <a:stretch>
          <a:fillRect/>
        </a:stretch>
      </xdr:blipFill>
      <xdr:spPr>
        <a:xfrm rot="16200000">
          <a:off x="9655114" y="24742070"/>
          <a:ext cx="159929" cy="170704"/>
        </a:xfrm>
        <a:prstGeom prst="rect">
          <a:avLst/>
        </a:prstGeom>
      </xdr:spPr>
    </xdr:pic>
    <xdr:clientData/>
  </xdr:oneCellAnchor>
  <xdr:oneCellAnchor>
    <xdr:from>
      <xdr:col>37</xdr:col>
      <xdr:colOff>264554</xdr:colOff>
      <xdr:row>167</xdr:row>
      <xdr:rowOff>136831</xdr:rowOff>
    </xdr:from>
    <xdr:ext cx="161179" cy="148202"/>
    <xdr:pic macro="[0]!kanalDN75_err">
      <xdr:nvPicPr>
        <xdr:cNvPr id="14" name="Grafika 13" descr="Odtwórz z wypełnieniem pełnym">
          <a:extLst>
            <a:ext uri="{FF2B5EF4-FFF2-40B4-BE49-F238E27FC236}">
              <a16:creationId xmlns:a16="http://schemas.microsoft.com/office/drawing/2014/main" id="{FD5DBDBB-B8BD-456D-B453-811C751599DB}"/>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 uri="{96DAC541-7B7A-43D3-8B79-37D633B846F1}">
              <asvg:svgBlip xmlns:asvg="http://schemas.microsoft.com/office/drawing/2016/SVG/main" r:embed="rId20"/>
            </a:ext>
          </a:extLst>
        </a:blip>
        <a:stretch>
          <a:fillRect/>
        </a:stretch>
      </xdr:blipFill>
      <xdr:spPr>
        <a:xfrm rot="5400000">
          <a:off x="9653168" y="25148707"/>
          <a:ext cx="148202" cy="161179"/>
        </a:xfrm>
        <a:prstGeom prst="rect">
          <a:avLst/>
        </a:prstGeom>
      </xdr:spPr>
    </xdr:pic>
    <xdr:clientData/>
  </xdr:oneCellAnchor>
  <xdr:twoCellAnchor editAs="oneCell">
    <xdr:from>
      <xdr:col>11</xdr:col>
      <xdr:colOff>37114</xdr:colOff>
      <xdr:row>199</xdr:row>
      <xdr:rowOff>166159</xdr:rowOff>
    </xdr:from>
    <xdr:to>
      <xdr:col>22</xdr:col>
      <xdr:colOff>472594</xdr:colOff>
      <xdr:row>202</xdr:row>
      <xdr:rowOff>153096</xdr:rowOff>
    </xdr:to>
    <xdr:pic>
      <xdr:nvPicPr>
        <xdr:cNvPr id="15" name="Obraz 14">
          <a:extLst>
            <a:ext uri="{FF2B5EF4-FFF2-40B4-BE49-F238E27FC236}">
              <a16:creationId xmlns:a16="http://schemas.microsoft.com/office/drawing/2014/main" id="{C42437A6-5ED8-42C3-8510-8179A061D849}"/>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flipH="1">
          <a:off x="665764" y="28983094"/>
          <a:ext cx="858390" cy="526052"/>
        </a:xfrm>
        <a:prstGeom prst="rect">
          <a:avLst/>
        </a:prstGeom>
      </xdr:spPr>
    </xdr:pic>
    <xdr:clientData/>
  </xdr:twoCellAnchor>
  <xdr:twoCellAnchor editAs="oneCell">
    <xdr:from>
      <xdr:col>31</xdr:col>
      <xdr:colOff>50452</xdr:colOff>
      <xdr:row>199</xdr:row>
      <xdr:rowOff>150294</xdr:rowOff>
    </xdr:from>
    <xdr:to>
      <xdr:col>32</xdr:col>
      <xdr:colOff>494815</xdr:colOff>
      <xdr:row>202</xdr:row>
      <xdr:rowOff>152498</xdr:rowOff>
    </xdr:to>
    <xdr:pic>
      <xdr:nvPicPr>
        <xdr:cNvPr id="16" name="Obraz 15">
          <a:extLst>
            <a:ext uri="{FF2B5EF4-FFF2-40B4-BE49-F238E27FC236}">
              <a16:creationId xmlns:a16="http://schemas.microsoft.com/office/drawing/2014/main" id="{81BFCB1D-29D3-4695-94EF-76F24727511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6064537" y="28963419"/>
          <a:ext cx="554853" cy="545129"/>
        </a:xfrm>
        <a:prstGeom prst="rect">
          <a:avLst/>
        </a:prstGeom>
      </xdr:spPr>
    </xdr:pic>
    <xdr:clientData/>
  </xdr:twoCellAnchor>
  <xdr:twoCellAnchor editAs="oneCell">
    <xdr:from>
      <xdr:col>20</xdr:col>
      <xdr:colOff>14356</xdr:colOff>
      <xdr:row>224</xdr:row>
      <xdr:rowOff>9534</xdr:rowOff>
    </xdr:from>
    <xdr:to>
      <xdr:col>22</xdr:col>
      <xdr:colOff>398611</xdr:colOff>
      <xdr:row>226</xdr:row>
      <xdr:rowOff>92551</xdr:rowOff>
    </xdr:to>
    <xdr:pic>
      <xdr:nvPicPr>
        <xdr:cNvPr id="17" name="Obraz 16">
          <a:extLst>
            <a:ext uri="{FF2B5EF4-FFF2-40B4-BE49-F238E27FC236}">
              <a16:creationId xmlns:a16="http://schemas.microsoft.com/office/drawing/2014/main" id="{A5D04701-8073-432B-A010-B42481B57344}"/>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989716" y="32329764"/>
          <a:ext cx="460455" cy="446872"/>
        </a:xfrm>
        <a:prstGeom prst="rect">
          <a:avLst/>
        </a:prstGeom>
      </xdr:spPr>
    </xdr:pic>
    <xdr:clientData/>
  </xdr:twoCellAnchor>
  <xdr:twoCellAnchor editAs="oneCell">
    <xdr:from>
      <xdr:col>19</xdr:col>
      <xdr:colOff>41787</xdr:colOff>
      <xdr:row>229</xdr:row>
      <xdr:rowOff>67480</xdr:rowOff>
    </xdr:from>
    <xdr:to>
      <xdr:col>22</xdr:col>
      <xdr:colOff>435474</xdr:colOff>
      <xdr:row>231</xdr:row>
      <xdr:rowOff>59035</xdr:rowOff>
    </xdr:to>
    <xdr:pic>
      <xdr:nvPicPr>
        <xdr:cNvPr id="18" name="Obraz 17">
          <a:extLst>
            <a:ext uri="{FF2B5EF4-FFF2-40B4-BE49-F238E27FC236}">
              <a16:creationId xmlns:a16="http://schemas.microsoft.com/office/drawing/2014/main" id="{209BBAE4-C541-4109-B1EB-55FB9DFC293E}"/>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975237" y="33288775"/>
          <a:ext cx="511797" cy="351600"/>
        </a:xfrm>
        <a:prstGeom prst="rect">
          <a:avLst/>
        </a:prstGeom>
      </xdr:spPr>
    </xdr:pic>
    <xdr:clientData/>
  </xdr:twoCellAnchor>
  <xdr:twoCellAnchor editAs="oneCell">
    <xdr:from>
      <xdr:col>31</xdr:col>
      <xdr:colOff>45324</xdr:colOff>
      <xdr:row>205</xdr:row>
      <xdr:rowOff>26310</xdr:rowOff>
    </xdr:from>
    <xdr:to>
      <xdr:col>32</xdr:col>
      <xdr:colOff>473390</xdr:colOff>
      <xdr:row>207</xdr:row>
      <xdr:rowOff>3041</xdr:rowOff>
    </xdr:to>
    <xdr:pic>
      <xdr:nvPicPr>
        <xdr:cNvPr id="19" name="Obraz 18">
          <a:extLst>
            <a:ext uri="{FF2B5EF4-FFF2-40B4-BE49-F238E27FC236}">
              <a16:creationId xmlns:a16="http://schemas.microsoft.com/office/drawing/2014/main" id="{D0330E25-D05A-4473-A8AB-8A6521B34F2F}"/>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6057504" y="29883375"/>
          <a:ext cx="544271" cy="342491"/>
        </a:xfrm>
        <a:prstGeom prst="rect">
          <a:avLst/>
        </a:prstGeom>
      </xdr:spPr>
    </xdr:pic>
    <xdr:clientData/>
  </xdr:twoCellAnchor>
  <xdr:twoCellAnchor editAs="oneCell">
    <xdr:from>
      <xdr:col>9</xdr:col>
      <xdr:colOff>12488</xdr:colOff>
      <xdr:row>204</xdr:row>
      <xdr:rowOff>133708</xdr:rowOff>
    </xdr:from>
    <xdr:to>
      <xdr:col>22</xdr:col>
      <xdr:colOff>474397</xdr:colOff>
      <xdr:row>207</xdr:row>
      <xdr:rowOff>135784</xdr:rowOff>
    </xdr:to>
    <xdr:pic>
      <xdr:nvPicPr>
        <xdr:cNvPr id="20" name="Obraz 19">
          <a:extLst>
            <a:ext uri="{FF2B5EF4-FFF2-40B4-BE49-F238E27FC236}">
              <a16:creationId xmlns:a16="http://schemas.microsoft.com/office/drawing/2014/main" id="{F3CA3229-76D5-4AEE-BE52-1AA435FA7C4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568748" y="29809798"/>
          <a:ext cx="957209" cy="545001"/>
        </a:xfrm>
        <a:prstGeom prst="rect">
          <a:avLst/>
        </a:prstGeom>
      </xdr:spPr>
    </xdr:pic>
    <xdr:clientData/>
  </xdr:twoCellAnchor>
  <xdr:twoCellAnchor editAs="oneCell">
    <xdr:from>
      <xdr:col>7</xdr:col>
      <xdr:colOff>3599</xdr:colOff>
      <xdr:row>215</xdr:row>
      <xdr:rowOff>5504</xdr:rowOff>
    </xdr:from>
    <xdr:to>
      <xdr:col>20</xdr:col>
      <xdr:colOff>15452</xdr:colOff>
      <xdr:row>217</xdr:row>
      <xdr:rowOff>172086</xdr:rowOff>
    </xdr:to>
    <xdr:pic>
      <xdr:nvPicPr>
        <xdr:cNvPr id="21" name="Grafika 20" descr="Komentarz — dodaj kontur">
          <a:extLst>
            <a:ext uri="{FF2B5EF4-FFF2-40B4-BE49-F238E27FC236}">
              <a16:creationId xmlns:a16="http://schemas.microsoft.com/office/drawing/2014/main" id="{FD8673DB-59F2-46A0-A02C-05AE8A855A6E}"/>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 uri="{96DAC541-7B7A-43D3-8B79-37D633B846F1}">
              <asvg:svgBlip xmlns:asvg="http://schemas.microsoft.com/office/drawing/2016/SVG/main" r:embed="rId28"/>
            </a:ext>
          </a:extLst>
        </a:blip>
        <a:stretch>
          <a:fillRect/>
        </a:stretch>
      </xdr:blipFill>
      <xdr:spPr>
        <a:xfrm>
          <a:off x="479849" y="30735059"/>
          <a:ext cx="510963" cy="522817"/>
        </a:xfrm>
        <a:prstGeom prst="rect">
          <a:avLst/>
        </a:prstGeom>
      </xdr:spPr>
    </xdr:pic>
    <xdr:clientData/>
  </xdr:twoCellAnchor>
  <xdr:twoCellAnchor editAs="oneCell">
    <xdr:from>
      <xdr:col>22</xdr:col>
      <xdr:colOff>561328</xdr:colOff>
      <xdr:row>139</xdr:row>
      <xdr:rowOff>136996</xdr:rowOff>
    </xdr:from>
    <xdr:to>
      <xdr:col>23</xdr:col>
      <xdr:colOff>402027</xdr:colOff>
      <xdr:row>143</xdr:row>
      <xdr:rowOff>20046</xdr:rowOff>
    </xdr:to>
    <xdr:pic>
      <xdr:nvPicPr>
        <xdr:cNvPr id="22" name="Obraz 21">
          <a:extLst>
            <a:ext uri="{FF2B5EF4-FFF2-40B4-BE49-F238E27FC236}">
              <a16:creationId xmlns:a16="http://schemas.microsoft.com/office/drawing/2014/main" id="{08204A1D-503E-4847-B309-B898DBC93663}"/>
            </a:ext>
          </a:extLst>
        </xdr:cNvPr>
        <xdr:cNvPicPr>
          <a:picLocks noChangeAspect="1"/>
        </xdr:cNvPicPr>
      </xdr:nvPicPr>
      <xdr:blipFill rotWithShape="1">
        <a:blip xmlns:r="http://schemas.openxmlformats.org/officeDocument/2006/relationships" r:embed="rId29" cstate="email">
          <a:extLst>
            <a:ext uri="{28A0092B-C50C-407E-A947-70E740481C1C}">
              <a14:useLocalDpi xmlns:a14="http://schemas.microsoft.com/office/drawing/2010/main"/>
            </a:ext>
          </a:extLst>
        </a:blip>
        <a:srcRect/>
        <a:stretch/>
      </xdr:blipFill>
      <xdr:spPr>
        <a:xfrm>
          <a:off x="1607173" y="20373811"/>
          <a:ext cx="448394" cy="606950"/>
        </a:xfrm>
        <a:prstGeom prst="rect">
          <a:avLst/>
        </a:prstGeom>
      </xdr:spPr>
    </xdr:pic>
    <xdr:clientData/>
  </xdr:twoCellAnchor>
  <xdr:twoCellAnchor editAs="oneCell">
    <xdr:from>
      <xdr:col>23</xdr:col>
      <xdr:colOff>581514</xdr:colOff>
      <xdr:row>139</xdr:row>
      <xdr:rowOff>132562</xdr:rowOff>
    </xdr:from>
    <xdr:to>
      <xdr:col>26</xdr:col>
      <xdr:colOff>57931</xdr:colOff>
      <xdr:row>143</xdr:row>
      <xdr:rowOff>19090</xdr:rowOff>
    </xdr:to>
    <xdr:pic>
      <xdr:nvPicPr>
        <xdr:cNvPr id="23" name="Obraz 22">
          <a:extLst>
            <a:ext uri="{FF2B5EF4-FFF2-40B4-BE49-F238E27FC236}">
              <a16:creationId xmlns:a16="http://schemas.microsoft.com/office/drawing/2014/main" id="{F20378C6-2273-4BE4-9005-2C9466A180DC}"/>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2240769" y="20376997"/>
          <a:ext cx="853732" cy="602808"/>
        </a:xfrm>
        <a:prstGeom prst="rect">
          <a:avLst/>
        </a:prstGeom>
      </xdr:spPr>
    </xdr:pic>
    <xdr:clientData/>
  </xdr:twoCellAnchor>
  <xdr:twoCellAnchor>
    <xdr:from>
      <xdr:col>27</xdr:col>
      <xdr:colOff>241932</xdr:colOff>
      <xdr:row>139</xdr:row>
      <xdr:rowOff>168339</xdr:rowOff>
    </xdr:from>
    <xdr:to>
      <xdr:col>27</xdr:col>
      <xdr:colOff>571499</xdr:colOff>
      <xdr:row>140</xdr:row>
      <xdr:rowOff>169428</xdr:rowOff>
    </xdr:to>
    <xdr:sp macro="" textlink="">
      <xdr:nvSpPr>
        <xdr:cNvPr id="24" name="Trójkąt prostokątny 23">
          <a:extLst>
            <a:ext uri="{FF2B5EF4-FFF2-40B4-BE49-F238E27FC236}">
              <a16:creationId xmlns:a16="http://schemas.microsoft.com/office/drawing/2014/main" id="{8B58423D-9132-4FAF-AD79-8165199BE54A}"/>
            </a:ext>
          </a:extLst>
        </xdr:cNvPr>
        <xdr:cNvSpPr/>
      </xdr:nvSpPr>
      <xdr:spPr>
        <a:xfrm rot="10800000">
          <a:off x="3893817" y="20412774"/>
          <a:ext cx="325757" cy="182064"/>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243023</xdr:colOff>
      <xdr:row>139</xdr:row>
      <xdr:rowOff>174956</xdr:rowOff>
    </xdr:from>
    <xdr:to>
      <xdr:col>27</xdr:col>
      <xdr:colOff>579142</xdr:colOff>
      <xdr:row>141</xdr:row>
      <xdr:rowOff>1329</xdr:rowOff>
    </xdr:to>
    <xdr:sp macro="" textlink="">
      <xdr:nvSpPr>
        <xdr:cNvPr id="25" name="Trójkąt prostokątny 24">
          <a:extLst>
            <a:ext uri="{FF2B5EF4-FFF2-40B4-BE49-F238E27FC236}">
              <a16:creationId xmlns:a16="http://schemas.microsoft.com/office/drawing/2014/main" id="{BB9A3104-C25F-4BB4-88F8-CB4FA868AF20}"/>
            </a:ext>
          </a:extLst>
        </xdr:cNvPr>
        <xdr:cNvSpPr/>
      </xdr:nvSpPr>
      <xdr:spPr>
        <a:xfrm rot="16200000">
          <a:off x="3965948" y="20340731"/>
          <a:ext cx="192133" cy="334214"/>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235655</xdr:colOff>
      <xdr:row>141</xdr:row>
      <xdr:rowOff>1349</xdr:rowOff>
    </xdr:from>
    <xdr:to>
      <xdr:col>27</xdr:col>
      <xdr:colOff>579165</xdr:colOff>
      <xdr:row>142</xdr:row>
      <xdr:rowOff>2439</xdr:rowOff>
    </xdr:to>
    <xdr:sp macro="" textlink="">
      <xdr:nvSpPr>
        <xdr:cNvPr id="26" name="Trójkąt prostokątny 25">
          <a:extLst>
            <a:ext uri="{FF2B5EF4-FFF2-40B4-BE49-F238E27FC236}">
              <a16:creationId xmlns:a16="http://schemas.microsoft.com/office/drawing/2014/main" id="{1373ADA7-CC44-47CD-A3DA-9100B71B82D9}"/>
            </a:ext>
          </a:extLst>
        </xdr:cNvPr>
        <xdr:cNvSpPr/>
      </xdr:nvSpPr>
      <xdr:spPr>
        <a:xfrm rot="10800000">
          <a:off x="3885635" y="20603924"/>
          <a:ext cx="343510" cy="182065"/>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259992</xdr:colOff>
      <xdr:row>141</xdr:row>
      <xdr:rowOff>3291</xdr:rowOff>
    </xdr:from>
    <xdr:to>
      <xdr:col>27</xdr:col>
      <xdr:colOff>561290</xdr:colOff>
      <xdr:row>142</xdr:row>
      <xdr:rowOff>1761</xdr:rowOff>
    </xdr:to>
    <xdr:sp macro="" textlink="">
      <xdr:nvSpPr>
        <xdr:cNvPr id="27" name="Trójkąt prostokątny 26">
          <a:extLst>
            <a:ext uri="{FF2B5EF4-FFF2-40B4-BE49-F238E27FC236}">
              <a16:creationId xmlns:a16="http://schemas.microsoft.com/office/drawing/2014/main" id="{BE863DC5-85CA-4FEC-A1A8-426E18F533FE}"/>
            </a:ext>
          </a:extLst>
        </xdr:cNvPr>
        <xdr:cNvSpPr/>
      </xdr:nvSpPr>
      <xdr:spPr>
        <a:xfrm rot="16200000">
          <a:off x="3967088" y="20544940"/>
          <a:ext cx="179445" cy="301298"/>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254024</xdr:colOff>
      <xdr:row>141</xdr:row>
      <xdr:rowOff>174865</xdr:rowOff>
    </xdr:from>
    <xdr:to>
      <xdr:col>27</xdr:col>
      <xdr:colOff>583953</xdr:colOff>
      <xdr:row>143</xdr:row>
      <xdr:rowOff>2703</xdr:rowOff>
    </xdr:to>
    <xdr:sp macro="" textlink="">
      <xdr:nvSpPr>
        <xdr:cNvPr id="28" name="Trójkąt prostokątny 27">
          <a:extLst>
            <a:ext uri="{FF2B5EF4-FFF2-40B4-BE49-F238E27FC236}">
              <a16:creationId xmlns:a16="http://schemas.microsoft.com/office/drawing/2014/main" id="{6F0D19F0-6242-403C-B735-F3826A80FA8B}"/>
            </a:ext>
          </a:extLst>
        </xdr:cNvPr>
        <xdr:cNvSpPr/>
      </xdr:nvSpPr>
      <xdr:spPr>
        <a:xfrm rot="10800000">
          <a:off x="3898289" y="20773630"/>
          <a:ext cx="337549" cy="193598"/>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243160</xdr:colOff>
      <xdr:row>142</xdr:row>
      <xdr:rowOff>19634</xdr:rowOff>
    </xdr:from>
    <xdr:to>
      <xdr:col>27</xdr:col>
      <xdr:colOff>586715</xdr:colOff>
      <xdr:row>143</xdr:row>
      <xdr:rowOff>16199</xdr:rowOff>
    </xdr:to>
    <xdr:sp macro="" textlink="">
      <xdr:nvSpPr>
        <xdr:cNvPr id="29" name="Trójkąt prostokątny 28">
          <a:extLst>
            <a:ext uri="{FF2B5EF4-FFF2-40B4-BE49-F238E27FC236}">
              <a16:creationId xmlns:a16="http://schemas.microsoft.com/office/drawing/2014/main" id="{ECF7B9FE-43F2-49AC-905B-D8193EF3B89A}"/>
            </a:ext>
          </a:extLst>
        </xdr:cNvPr>
        <xdr:cNvSpPr/>
      </xdr:nvSpPr>
      <xdr:spPr>
        <a:xfrm rot="16200000">
          <a:off x="3974243" y="20720176"/>
          <a:ext cx="185160" cy="343555"/>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544285</xdr:colOff>
      <xdr:row>139</xdr:row>
      <xdr:rowOff>136071</xdr:rowOff>
    </xdr:from>
    <xdr:to>
      <xdr:col>28</xdr:col>
      <xdr:colOff>54428</xdr:colOff>
      <xdr:row>143</xdr:row>
      <xdr:rowOff>32657</xdr:rowOff>
    </xdr:to>
    <xdr:sp macro="" textlink="">
      <xdr:nvSpPr>
        <xdr:cNvPr id="30" name="Prostokąt 29">
          <a:extLst>
            <a:ext uri="{FF2B5EF4-FFF2-40B4-BE49-F238E27FC236}">
              <a16:creationId xmlns:a16="http://schemas.microsoft.com/office/drawing/2014/main" id="{C99873D3-B372-4D29-87F1-4984C5E96F3E}"/>
            </a:ext>
          </a:extLst>
        </xdr:cNvPr>
        <xdr:cNvSpPr/>
      </xdr:nvSpPr>
      <xdr:spPr>
        <a:xfrm>
          <a:off x="4194265" y="20372886"/>
          <a:ext cx="274048" cy="62239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28</xdr:col>
      <xdr:colOff>362113</xdr:colOff>
      <xdr:row>120</xdr:row>
      <xdr:rowOff>111611</xdr:rowOff>
    </xdr:from>
    <xdr:to>
      <xdr:col>29</xdr:col>
      <xdr:colOff>133903</xdr:colOff>
      <xdr:row>122</xdr:row>
      <xdr:rowOff>74111</xdr:rowOff>
    </xdr:to>
    <xdr:pic>
      <xdr:nvPicPr>
        <xdr:cNvPr id="31" name="Obraz 30">
          <a:extLst>
            <a:ext uri="{FF2B5EF4-FFF2-40B4-BE49-F238E27FC236}">
              <a16:creationId xmlns:a16="http://schemas.microsoft.com/office/drawing/2014/main" id="{60348B52-CCB3-4CE9-BA58-BCD5DC5FEDB5}"/>
            </a:ext>
          </a:extLst>
        </xdr:cNvPr>
        <xdr:cNvPicPr>
          <a:picLocks/>
        </xdr:cNvPicPr>
      </xdr:nvPicPr>
      <xdr:blipFill rotWithShape="1">
        <a:blip xmlns:r="http://schemas.openxmlformats.org/officeDocument/2006/relationships" r:embed="rId31" cstate="email">
          <a:extLst>
            <a:ext uri="{28A0092B-C50C-407E-A947-70E740481C1C}">
              <a14:useLocalDpi xmlns:a14="http://schemas.microsoft.com/office/drawing/2010/main"/>
            </a:ext>
          </a:extLst>
        </a:blip>
        <a:srcRect/>
        <a:stretch/>
      </xdr:blipFill>
      <xdr:spPr>
        <a:xfrm>
          <a:off x="4772188" y="16999436"/>
          <a:ext cx="385200" cy="381600"/>
        </a:xfrm>
        <a:prstGeom prst="ellipse">
          <a:avLst/>
        </a:prstGeom>
      </xdr:spPr>
    </xdr:pic>
    <xdr:clientData/>
  </xdr:twoCellAnchor>
  <xdr:twoCellAnchor editAs="oneCell">
    <xdr:from>
      <xdr:col>6</xdr:col>
      <xdr:colOff>18601</xdr:colOff>
      <xdr:row>129</xdr:row>
      <xdr:rowOff>93456</xdr:rowOff>
    </xdr:from>
    <xdr:to>
      <xdr:col>22</xdr:col>
      <xdr:colOff>15551</xdr:colOff>
      <xdr:row>134</xdr:row>
      <xdr:rowOff>151281</xdr:rowOff>
    </xdr:to>
    <xdr:pic>
      <xdr:nvPicPr>
        <xdr:cNvPr id="32" name="Grafika 31" descr="Pudełko kontur">
          <a:extLst>
            <a:ext uri="{FF2B5EF4-FFF2-40B4-BE49-F238E27FC236}">
              <a16:creationId xmlns:a16="http://schemas.microsoft.com/office/drawing/2014/main" id="{8CC72511-6653-4D92-B8F8-E31274A358C5}"/>
            </a:ext>
          </a:extLst>
        </xdr:cNvPr>
        <xdr:cNvPicPr>
          <a:picLocks/>
        </xdr:cNvPicPr>
      </xdr:nvPicPr>
      <xdr:blipFill>
        <a:blip xmlns:r="http://schemas.openxmlformats.org/officeDocument/2006/relationships" r:embed="rId32" cstate="email">
          <a:extLst>
            <a:ext uri="{28A0092B-C50C-407E-A947-70E740481C1C}">
              <a14:useLocalDpi xmlns:a14="http://schemas.microsoft.com/office/drawing/2010/main"/>
            </a:ext>
            <a:ext uri="{96DAC541-7B7A-43D3-8B79-37D633B846F1}">
              <asvg:svgBlip xmlns:asvg="http://schemas.microsoft.com/office/drawing/2016/SVG/main" r:embed="rId33"/>
            </a:ext>
          </a:extLst>
        </a:blip>
        <a:stretch>
          <a:fillRect/>
        </a:stretch>
      </xdr:blipFill>
      <xdr:spPr>
        <a:xfrm>
          <a:off x="456751" y="18943431"/>
          <a:ext cx="610360" cy="543600"/>
        </a:xfrm>
        <a:prstGeom prst="rect">
          <a:avLst/>
        </a:prstGeom>
      </xdr:spPr>
    </xdr:pic>
    <xdr:clientData/>
  </xdr:twoCellAnchor>
  <xdr:oneCellAnchor>
    <xdr:from>
      <xdr:col>37</xdr:col>
      <xdr:colOff>256172</xdr:colOff>
      <xdr:row>199</xdr:row>
      <xdr:rowOff>73900</xdr:rowOff>
    </xdr:from>
    <xdr:ext cx="170704" cy="159929"/>
    <xdr:pic macro="[0]!kolano90_75i90_add_">
      <xdr:nvPicPr>
        <xdr:cNvPr id="54" name="Grafika 53" descr="Odtwórz z wypełnieniem pełnym">
          <a:extLst>
            <a:ext uri="{FF2B5EF4-FFF2-40B4-BE49-F238E27FC236}">
              <a16:creationId xmlns:a16="http://schemas.microsoft.com/office/drawing/2014/main" id="{EA12929C-15DA-4CC2-A5F0-B224D524539E}"/>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 uri="{96DAC541-7B7A-43D3-8B79-37D633B846F1}">
              <asvg:svgBlip xmlns:asvg="http://schemas.microsoft.com/office/drawing/2016/SVG/main" r:embed="rId18"/>
            </a:ext>
          </a:extLst>
        </a:blip>
        <a:stretch>
          <a:fillRect/>
        </a:stretch>
      </xdr:blipFill>
      <xdr:spPr>
        <a:xfrm rot="16200000">
          <a:off x="9641779" y="28881638"/>
          <a:ext cx="159929" cy="170704"/>
        </a:xfrm>
        <a:prstGeom prst="rect">
          <a:avLst/>
        </a:prstGeom>
      </xdr:spPr>
    </xdr:pic>
    <xdr:clientData/>
  </xdr:oneCellAnchor>
  <xdr:oneCellAnchor>
    <xdr:from>
      <xdr:col>37</xdr:col>
      <xdr:colOff>270269</xdr:colOff>
      <xdr:row>201</xdr:row>
      <xdr:rowOff>136836</xdr:rowOff>
    </xdr:from>
    <xdr:ext cx="161179" cy="148202"/>
    <xdr:pic macro="[0]!kolano90_75i90_err">
      <xdr:nvPicPr>
        <xdr:cNvPr id="55" name="Grafika 54" descr="Odtwórz z wypełnieniem pełnym">
          <a:extLst>
            <a:ext uri="{FF2B5EF4-FFF2-40B4-BE49-F238E27FC236}">
              <a16:creationId xmlns:a16="http://schemas.microsoft.com/office/drawing/2014/main" id="{8BA3F321-4040-4B25-8A82-8171F400B588}"/>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 uri="{96DAC541-7B7A-43D3-8B79-37D633B846F1}">
              <asvg:svgBlip xmlns:asvg="http://schemas.microsoft.com/office/drawing/2016/SVG/main" r:embed="rId20"/>
            </a:ext>
          </a:extLst>
        </a:blip>
        <a:stretch>
          <a:fillRect/>
        </a:stretch>
      </xdr:blipFill>
      <xdr:spPr>
        <a:xfrm rot="5400000">
          <a:off x="9658883" y="29292087"/>
          <a:ext cx="148202" cy="161179"/>
        </a:xfrm>
        <a:prstGeom prst="rect">
          <a:avLst/>
        </a:prstGeom>
      </xdr:spPr>
    </xdr:pic>
    <xdr:clientData/>
  </xdr:oneCellAnchor>
  <xdr:twoCellAnchor>
    <xdr:from>
      <xdr:col>38</xdr:col>
      <xdr:colOff>0</xdr:colOff>
      <xdr:row>201</xdr:row>
      <xdr:rowOff>114300</xdr:rowOff>
    </xdr:from>
    <xdr:to>
      <xdr:col>38</xdr:col>
      <xdr:colOff>409575</xdr:colOff>
      <xdr:row>202</xdr:row>
      <xdr:rowOff>102234</xdr:rowOff>
    </xdr:to>
    <xdr:sp macro="[0]!kolano90_75i90_auto" textlink="">
      <xdr:nvSpPr>
        <xdr:cNvPr id="56" name="pole tekstowe 55">
          <a:extLst>
            <a:ext uri="{FF2B5EF4-FFF2-40B4-BE49-F238E27FC236}">
              <a16:creationId xmlns:a16="http://schemas.microsoft.com/office/drawing/2014/main" id="{B19C8B7E-16E2-43E0-9326-028ADCEBF47E}"/>
            </a:ext>
          </a:extLst>
        </xdr:cNvPr>
        <xdr:cNvSpPr txBox="1"/>
      </xdr:nvSpPr>
      <xdr:spPr>
        <a:xfrm>
          <a:off x="10048875" y="29279850"/>
          <a:ext cx="407670" cy="1555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i="1">
              <a:solidFill>
                <a:schemeClr val="accent2"/>
              </a:solidFill>
              <a:latin typeface="Roboto Condensed" panose="02000000000000000000" pitchFamily="2" charset="0"/>
              <a:ea typeface="Roboto Condensed" panose="02000000000000000000" pitchFamily="2" charset="0"/>
            </a:rPr>
            <a:t>Auto</a:t>
          </a:r>
          <a:endParaRPr lang="en-US" sz="1000" i="1">
            <a:solidFill>
              <a:schemeClr val="accent2"/>
            </a:solidFill>
            <a:latin typeface="Roboto Condensed" panose="02000000000000000000" pitchFamily="2" charset="0"/>
            <a:ea typeface="Roboto Condensed" panose="02000000000000000000" pitchFamily="2" charset="0"/>
          </a:endParaRPr>
        </a:p>
      </xdr:txBody>
    </xdr:sp>
    <xdr:clientData/>
  </xdr:twoCellAnchor>
  <xdr:twoCellAnchor>
    <xdr:from>
      <xdr:col>38</xdr:col>
      <xdr:colOff>0</xdr:colOff>
      <xdr:row>167</xdr:row>
      <xdr:rowOff>114300</xdr:rowOff>
    </xdr:from>
    <xdr:to>
      <xdr:col>38</xdr:col>
      <xdr:colOff>409575</xdr:colOff>
      <xdr:row>168</xdr:row>
      <xdr:rowOff>102234</xdr:rowOff>
    </xdr:to>
    <xdr:sp macro="[0]!kanalDN75_auto" textlink="">
      <xdr:nvSpPr>
        <xdr:cNvPr id="57" name="pole tekstowe 56">
          <a:extLst>
            <a:ext uri="{FF2B5EF4-FFF2-40B4-BE49-F238E27FC236}">
              <a16:creationId xmlns:a16="http://schemas.microsoft.com/office/drawing/2014/main" id="{F9DE699E-6E0B-4AD4-B82E-35AC1669E68E}"/>
            </a:ext>
          </a:extLst>
        </xdr:cNvPr>
        <xdr:cNvSpPr txBox="1"/>
      </xdr:nvSpPr>
      <xdr:spPr>
        <a:xfrm>
          <a:off x="10048875" y="25136475"/>
          <a:ext cx="407670" cy="1555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i="1">
              <a:solidFill>
                <a:schemeClr val="accent2"/>
              </a:solidFill>
              <a:latin typeface="Roboto Condensed" panose="02000000000000000000" pitchFamily="2" charset="0"/>
              <a:ea typeface="Roboto Condensed" panose="02000000000000000000" pitchFamily="2" charset="0"/>
            </a:rPr>
            <a:t>Auto</a:t>
          </a:r>
          <a:endParaRPr lang="en-US" sz="1000" i="1">
            <a:solidFill>
              <a:schemeClr val="accent2"/>
            </a:solidFill>
            <a:latin typeface="Roboto Condensed" panose="02000000000000000000" pitchFamily="2" charset="0"/>
            <a:ea typeface="Roboto Condensed" panose="02000000000000000000" pitchFamily="2" charset="0"/>
          </a:endParaRPr>
        </a:p>
      </xdr:txBody>
    </xdr:sp>
    <xdr:clientData/>
  </xdr:twoCellAnchor>
  <xdr:oneCellAnchor>
    <xdr:from>
      <xdr:col>28</xdr:col>
      <xdr:colOff>235218</xdr:colOff>
      <xdr:row>199</xdr:row>
      <xdr:rowOff>73899</xdr:rowOff>
    </xdr:from>
    <xdr:ext cx="170704" cy="159929"/>
    <xdr:pic macro="[0]!kanal200_75i90_add_">
      <xdr:nvPicPr>
        <xdr:cNvPr id="58" name="Grafika 57" descr="Odtwórz z wypełnieniem pełnym">
          <a:extLst>
            <a:ext uri="{FF2B5EF4-FFF2-40B4-BE49-F238E27FC236}">
              <a16:creationId xmlns:a16="http://schemas.microsoft.com/office/drawing/2014/main" id="{249B8E6A-27C3-4395-81E8-63BF70714361}"/>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 uri="{96DAC541-7B7A-43D3-8B79-37D633B846F1}">
              <asvg:svgBlip xmlns:asvg="http://schemas.microsoft.com/office/drawing/2016/SVG/main" r:embed="rId18"/>
            </a:ext>
          </a:extLst>
        </a:blip>
        <a:stretch>
          <a:fillRect/>
        </a:stretch>
      </xdr:blipFill>
      <xdr:spPr>
        <a:xfrm rot="16200000">
          <a:off x="4652585" y="28881637"/>
          <a:ext cx="159929" cy="170704"/>
        </a:xfrm>
        <a:prstGeom prst="rect">
          <a:avLst/>
        </a:prstGeom>
      </xdr:spPr>
    </xdr:pic>
    <xdr:clientData/>
  </xdr:oneCellAnchor>
  <xdr:oneCellAnchor>
    <xdr:from>
      <xdr:col>28</xdr:col>
      <xdr:colOff>237884</xdr:colOff>
      <xdr:row>201</xdr:row>
      <xdr:rowOff>142548</xdr:rowOff>
    </xdr:from>
    <xdr:ext cx="161179" cy="148202"/>
    <xdr:pic macro="[0]!kanal200_75i90_err">
      <xdr:nvPicPr>
        <xdr:cNvPr id="59" name="Grafika 58" descr="Odtwórz z wypełnieniem pełnym">
          <a:extLst>
            <a:ext uri="{FF2B5EF4-FFF2-40B4-BE49-F238E27FC236}">
              <a16:creationId xmlns:a16="http://schemas.microsoft.com/office/drawing/2014/main" id="{9A57DE9D-1DB0-410D-962A-375D9A24C1A1}"/>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 uri="{96DAC541-7B7A-43D3-8B79-37D633B846F1}">
              <asvg:svgBlip xmlns:asvg="http://schemas.microsoft.com/office/drawing/2016/SVG/main" r:embed="rId20"/>
            </a:ext>
          </a:extLst>
        </a:blip>
        <a:stretch>
          <a:fillRect/>
        </a:stretch>
      </xdr:blipFill>
      <xdr:spPr>
        <a:xfrm rot="5400000">
          <a:off x="4656353" y="29299704"/>
          <a:ext cx="148202" cy="161179"/>
        </a:xfrm>
        <a:prstGeom prst="rect">
          <a:avLst/>
        </a:prstGeom>
      </xdr:spPr>
    </xdr:pic>
    <xdr:clientData/>
  </xdr:oneCellAnchor>
  <xdr:twoCellAnchor>
    <xdr:from>
      <xdr:col>28</xdr:col>
      <xdr:colOff>607695</xdr:colOff>
      <xdr:row>201</xdr:row>
      <xdr:rowOff>123825</xdr:rowOff>
    </xdr:from>
    <xdr:to>
      <xdr:col>29</xdr:col>
      <xdr:colOff>401955</xdr:colOff>
      <xdr:row>202</xdr:row>
      <xdr:rowOff>104139</xdr:rowOff>
    </xdr:to>
    <xdr:sp macro="[0]!kanal200_75i90_auto" textlink="">
      <xdr:nvSpPr>
        <xdr:cNvPr id="60" name="pole tekstowe 59">
          <a:extLst>
            <a:ext uri="{FF2B5EF4-FFF2-40B4-BE49-F238E27FC236}">
              <a16:creationId xmlns:a16="http://schemas.microsoft.com/office/drawing/2014/main" id="{21FA7C53-588B-44D0-99AE-86CD46F4E4A4}"/>
            </a:ext>
          </a:extLst>
        </xdr:cNvPr>
        <xdr:cNvSpPr txBox="1"/>
      </xdr:nvSpPr>
      <xdr:spPr>
        <a:xfrm>
          <a:off x="5017770" y="29291280"/>
          <a:ext cx="400050" cy="1479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i="1">
              <a:solidFill>
                <a:schemeClr val="accent2"/>
              </a:solidFill>
              <a:latin typeface="Roboto Condensed" panose="02000000000000000000" pitchFamily="2" charset="0"/>
              <a:ea typeface="Roboto Condensed" panose="02000000000000000000" pitchFamily="2" charset="0"/>
            </a:rPr>
            <a:t>Auto</a:t>
          </a:r>
          <a:endParaRPr lang="en-US" sz="1000" i="1">
            <a:solidFill>
              <a:schemeClr val="accent2"/>
            </a:solidFill>
            <a:latin typeface="Roboto Condensed" panose="02000000000000000000" pitchFamily="2" charset="0"/>
            <a:ea typeface="Roboto Condensed" panose="02000000000000000000" pitchFamily="2" charset="0"/>
          </a:endParaRPr>
        </a:p>
      </xdr:txBody>
    </xdr:sp>
    <xdr:clientData/>
  </xdr:twoCellAnchor>
  <xdr:twoCellAnchor editAs="oneCell">
    <xdr:from>
      <xdr:col>6</xdr:col>
      <xdr:colOff>28575</xdr:colOff>
      <xdr:row>196</xdr:row>
      <xdr:rowOff>0</xdr:rowOff>
    </xdr:from>
    <xdr:to>
      <xdr:col>21</xdr:col>
      <xdr:colOff>3389</xdr:colOff>
      <xdr:row>198</xdr:row>
      <xdr:rowOff>136298</xdr:rowOff>
    </xdr:to>
    <xdr:pic>
      <xdr:nvPicPr>
        <xdr:cNvPr id="61" name="Grafika 60" descr="Trasa (ścieżka między dwiema pinezkami) kontur">
          <a:extLst>
            <a:ext uri="{FF2B5EF4-FFF2-40B4-BE49-F238E27FC236}">
              <a16:creationId xmlns:a16="http://schemas.microsoft.com/office/drawing/2014/main" id="{C3477960-2D20-47B8-9260-8D06831B5C4C}"/>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 uri="{96DAC541-7B7A-43D3-8B79-37D633B846F1}">
              <asvg:svgBlip xmlns:asvg="http://schemas.microsoft.com/office/drawing/2016/SVG/main" r:embed="rId16"/>
            </a:ext>
          </a:extLst>
        </a:blip>
        <a:stretch>
          <a:fillRect/>
        </a:stretch>
      </xdr:blipFill>
      <xdr:spPr>
        <a:xfrm>
          <a:off x="466725" y="28422600"/>
          <a:ext cx="546314" cy="475388"/>
        </a:xfrm>
        <a:prstGeom prst="rect">
          <a:avLst/>
        </a:prstGeom>
      </xdr:spPr>
    </xdr:pic>
    <xdr:clientData/>
  </xdr:twoCellAnchor>
  <xdr:twoCellAnchor editAs="oneCell">
    <xdr:from>
      <xdr:col>31</xdr:col>
      <xdr:colOff>36514</xdr:colOff>
      <xdr:row>228</xdr:row>
      <xdr:rowOff>162242</xdr:rowOff>
    </xdr:from>
    <xdr:to>
      <xdr:col>32</xdr:col>
      <xdr:colOff>491491</xdr:colOff>
      <xdr:row>232</xdr:row>
      <xdr:rowOff>131138</xdr:rowOff>
    </xdr:to>
    <xdr:pic>
      <xdr:nvPicPr>
        <xdr:cNvPr id="62" name="Obraz 61">
          <a:extLst>
            <a:ext uri="{FF2B5EF4-FFF2-40B4-BE49-F238E27FC236}">
              <a16:creationId xmlns:a16="http://schemas.microsoft.com/office/drawing/2014/main" id="{6ED1D6AE-5BD2-4E8E-8D4A-59791001A9FA}"/>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6046789" y="34737992"/>
          <a:ext cx="569277" cy="687081"/>
        </a:xfrm>
        <a:prstGeom prst="rect">
          <a:avLst/>
        </a:prstGeom>
      </xdr:spPr>
    </xdr:pic>
    <xdr:clientData/>
  </xdr:twoCellAnchor>
  <xdr:oneCellAnchor>
    <xdr:from>
      <xdr:col>28</xdr:col>
      <xdr:colOff>228600</xdr:colOff>
      <xdr:row>223</xdr:row>
      <xdr:rowOff>91441</xdr:rowOff>
    </xdr:from>
    <xdr:ext cx="170704" cy="159929"/>
    <xdr:pic macro="[0]!kolano45_add_">
      <xdr:nvPicPr>
        <xdr:cNvPr id="63" name="Grafika 62" descr="Odtwórz z wypełnieniem pełnym">
          <a:extLst>
            <a:ext uri="{FF2B5EF4-FFF2-40B4-BE49-F238E27FC236}">
              <a16:creationId xmlns:a16="http://schemas.microsoft.com/office/drawing/2014/main" id="{8D1F9AEE-ECCD-4512-81BE-F6125F1E5CB8}"/>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 uri="{96DAC541-7B7A-43D3-8B79-37D633B846F1}">
              <asvg:svgBlip xmlns:asvg="http://schemas.microsoft.com/office/drawing/2016/SVG/main" r:embed="rId18"/>
            </a:ext>
          </a:extLst>
        </a:blip>
        <a:stretch>
          <a:fillRect/>
        </a:stretch>
      </xdr:blipFill>
      <xdr:spPr>
        <a:xfrm rot="16200000">
          <a:off x="4644062" y="32227214"/>
          <a:ext cx="159929" cy="170704"/>
        </a:xfrm>
        <a:prstGeom prst="rect">
          <a:avLst/>
        </a:prstGeom>
      </xdr:spPr>
    </xdr:pic>
    <xdr:clientData/>
  </xdr:oneCellAnchor>
  <xdr:oneCellAnchor>
    <xdr:from>
      <xdr:col>28</xdr:col>
      <xdr:colOff>231266</xdr:colOff>
      <xdr:row>225</xdr:row>
      <xdr:rowOff>106750</xdr:rowOff>
    </xdr:from>
    <xdr:ext cx="161179" cy="148202"/>
    <xdr:pic macro="[0]!kolano45_err">
      <xdr:nvPicPr>
        <xdr:cNvPr id="64" name="Grafika 63" descr="Odtwórz z wypełnieniem pełnym">
          <a:extLst>
            <a:ext uri="{FF2B5EF4-FFF2-40B4-BE49-F238E27FC236}">
              <a16:creationId xmlns:a16="http://schemas.microsoft.com/office/drawing/2014/main" id="{550040BE-1E3A-4305-B5C2-865C5446294C}"/>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 uri="{96DAC541-7B7A-43D3-8B79-37D633B846F1}">
              <asvg:svgBlip xmlns:asvg="http://schemas.microsoft.com/office/drawing/2016/SVG/main" r:embed="rId20"/>
            </a:ext>
          </a:extLst>
        </a:blip>
        <a:stretch>
          <a:fillRect/>
        </a:stretch>
      </xdr:blipFill>
      <xdr:spPr>
        <a:xfrm rot="5400000">
          <a:off x="4647830" y="32597656"/>
          <a:ext cx="148202" cy="161179"/>
        </a:xfrm>
        <a:prstGeom prst="rect">
          <a:avLst/>
        </a:prstGeom>
      </xdr:spPr>
    </xdr:pic>
    <xdr:clientData/>
  </xdr:oneCellAnchor>
  <xdr:oneCellAnchor>
    <xdr:from>
      <xdr:col>37</xdr:col>
      <xdr:colOff>259080</xdr:colOff>
      <xdr:row>223</xdr:row>
      <xdr:rowOff>99062</xdr:rowOff>
    </xdr:from>
    <xdr:ext cx="170704" cy="159929"/>
    <xdr:pic macro="[0]!kolano75i90_add_">
      <xdr:nvPicPr>
        <xdr:cNvPr id="65" name="Grafika 64" descr="Odtwórz z wypełnieniem pełnym">
          <a:extLst>
            <a:ext uri="{FF2B5EF4-FFF2-40B4-BE49-F238E27FC236}">
              <a16:creationId xmlns:a16="http://schemas.microsoft.com/office/drawing/2014/main" id="{00D097ED-0DDF-4F11-91E5-843D704008D5}"/>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 uri="{96DAC541-7B7A-43D3-8B79-37D633B846F1}">
              <asvg:svgBlip xmlns:asvg="http://schemas.microsoft.com/office/drawing/2016/SVG/main" r:embed="rId18"/>
            </a:ext>
          </a:extLst>
        </a:blip>
        <a:stretch>
          <a:fillRect/>
        </a:stretch>
      </xdr:blipFill>
      <xdr:spPr>
        <a:xfrm rot="16200000">
          <a:off x="9644687" y="32227215"/>
          <a:ext cx="159929" cy="170704"/>
        </a:xfrm>
        <a:prstGeom prst="rect">
          <a:avLst/>
        </a:prstGeom>
      </xdr:spPr>
    </xdr:pic>
    <xdr:clientData/>
  </xdr:oneCellAnchor>
  <xdr:oneCellAnchor>
    <xdr:from>
      <xdr:col>37</xdr:col>
      <xdr:colOff>261746</xdr:colOff>
      <xdr:row>225</xdr:row>
      <xdr:rowOff>114371</xdr:rowOff>
    </xdr:from>
    <xdr:ext cx="161179" cy="148202"/>
    <xdr:pic macro="[0]!kolano75i90_err">
      <xdr:nvPicPr>
        <xdr:cNvPr id="66" name="Grafika 65" descr="Odtwórz z wypełnieniem pełnym">
          <a:extLst>
            <a:ext uri="{FF2B5EF4-FFF2-40B4-BE49-F238E27FC236}">
              <a16:creationId xmlns:a16="http://schemas.microsoft.com/office/drawing/2014/main" id="{7C84497F-4EAD-4AC1-9B97-2B5CEDEB28FD}"/>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 uri="{96DAC541-7B7A-43D3-8B79-37D633B846F1}">
              <asvg:svgBlip xmlns:asvg="http://schemas.microsoft.com/office/drawing/2016/SVG/main" r:embed="rId20"/>
            </a:ext>
          </a:extLst>
        </a:blip>
        <a:stretch>
          <a:fillRect/>
        </a:stretch>
      </xdr:blipFill>
      <xdr:spPr>
        <a:xfrm rot="5400000">
          <a:off x="9648455" y="32607182"/>
          <a:ext cx="148202" cy="161179"/>
        </a:xfrm>
        <a:prstGeom prst="rect">
          <a:avLst/>
        </a:prstGeom>
      </xdr:spPr>
    </xdr:pic>
    <xdr:clientData/>
  </xdr:oneCellAnchor>
  <xdr:oneCellAnchor>
    <xdr:from>
      <xdr:col>37</xdr:col>
      <xdr:colOff>259080</xdr:colOff>
      <xdr:row>218</xdr:row>
      <xdr:rowOff>68583</xdr:rowOff>
    </xdr:from>
    <xdr:ext cx="170704" cy="159929"/>
    <xdr:pic macro="[0]!lacznik75i90_add_">
      <xdr:nvPicPr>
        <xdr:cNvPr id="67" name="Grafika 66" descr="Odtwórz z wypełnieniem pełnym">
          <a:extLst>
            <a:ext uri="{FF2B5EF4-FFF2-40B4-BE49-F238E27FC236}">
              <a16:creationId xmlns:a16="http://schemas.microsoft.com/office/drawing/2014/main" id="{BAC74B08-C812-49E4-8390-5E2DA780D042}"/>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 uri="{96DAC541-7B7A-43D3-8B79-37D633B846F1}">
              <asvg:svgBlip xmlns:asvg="http://schemas.microsoft.com/office/drawing/2016/SVG/main" r:embed="rId18"/>
            </a:ext>
          </a:extLst>
        </a:blip>
        <a:stretch>
          <a:fillRect/>
        </a:stretch>
      </xdr:blipFill>
      <xdr:spPr>
        <a:xfrm rot="16200000">
          <a:off x="9644687" y="31331866"/>
          <a:ext cx="159929" cy="170704"/>
        </a:xfrm>
        <a:prstGeom prst="rect">
          <a:avLst/>
        </a:prstGeom>
      </xdr:spPr>
    </xdr:pic>
    <xdr:clientData/>
  </xdr:oneCellAnchor>
  <xdr:oneCellAnchor>
    <xdr:from>
      <xdr:col>37</xdr:col>
      <xdr:colOff>261746</xdr:colOff>
      <xdr:row>220</xdr:row>
      <xdr:rowOff>121992</xdr:rowOff>
    </xdr:from>
    <xdr:ext cx="161179" cy="148202"/>
    <xdr:pic macro="[0]!lacznik75i90_err">
      <xdr:nvPicPr>
        <xdr:cNvPr id="68" name="Grafika 67" descr="Odtwórz z wypełnieniem pełnym">
          <a:extLst>
            <a:ext uri="{FF2B5EF4-FFF2-40B4-BE49-F238E27FC236}">
              <a16:creationId xmlns:a16="http://schemas.microsoft.com/office/drawing/2014/main" id="{74917A7F-6221-469C-9A75-96FDB1E6A4CB}"/>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 uri="{96DAC541-7B7A-43D3-8B79-37D633B846F1}">
              <asvg:svgBlip xmlns:asvg="http://schemas.microsoft.com/office/drawing/2016/SVG/main" r:embed="rId20"/>
            </a:ext>
          </a:extLst>
        </a:blip>
        <a:stretch>
          <a:fillRect/>
        </a:stretch>
      </xdr:blipFill>
      <xdr:spPr>
        <a:xfrm rot="5400000">
          <a:off x="9648455" y="31740408"/>
          <a:ext cx="148202" cy="161179"/>
        </a:xfrm>
        <a:prstGeom prst="rect">
          <a:avLst/>
        </a:prstGeom>
      </xdr:spPr>
    </xdr:pic>
    <xdr:clientData/>
  </xdr:oneCellAnchor>
  <xdr:oneCellAnchor>
    <xdr:from>
      <xdr:col>28</xdr:col>
      <xdr:colOff>228600</xdr:colOff>
      <xdr:row>228</xdr:row>
      <xdr:rowOff>83825</xdr:rowOff>
    </xdr:from>
    <xdr:ext cx="170704" cy="159929"/>
    <xdr:pic macro="[0]!mufa200_add_">
      <xdr:nvPicPr>
        <xdr:cNvPr id="71" name="Grafika 70" descr="Odtwórz z wypełnieniem pełnym">
          <a:extLst>
            <a:ext uri="{FF2B5EF4-FFF2-40B4-BE49-F238E27FC236}">
              <a16:creationId xmlns:a16="http://schemas.microsoft.com/office/drawing/2014/main" id="{89532F58-8F10-463D-8724-D0D26D831169}"/>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 uri="{96DAC541-7B7A-43D3-8B79-37D633B846F1}">
              <asvg:svgBlip xmlns:asvg="http://schemas.microsoft.com/office/drawing/2016/SVG/main" r:embed="rId18"/>
            </a:ext>
          </a:extLst>
        </a:blip>
        <a:stretch>
          <a:fillRect/>
        </a:stretch>
      </xdr:blipFill>
      <xdr:spPr>
        <a:xfrm rot="16200000">
          <a:off x="4644062" y="33122568"/>
          <a:ext cx="159929" cy="170704"/>
        </a:xfrm>
        <a:prstGeom prst="rect">
          <a:avLst/>
        </a:prstGeom>
      </xdr:spPr>
    </xdr:pic>
    <xdr:clientData/>
  </xdr:oneCellAnchor>
  <xdr:oneCellAnchor>
    <xdr:from>
      <xdr:col>28</xdr:col>
      <xdr:colOff>231266</xdr:colOff>
      <xdr:row>230</xdr:row>
      <xdr:rowOff>114374</xdr:rowOff>
    </xdr:from>
    <xdr:ext cx="161179" cy="148202"/>
    <xdr:pic macro="[0]!mufa200_err">
      <xdr:nvPicPr>
        <xdr:cNvPr id="72" name="Grafika 71" descr="Odtwórz z wypełnieniem pełnym">
          <a:extLst>
            <a:ext uri="{FF2B5EF4-FFF2-40B4-BE49-F238E27FC236}">
              <a16:creationId xmlns:a16="http://schemas.microsoft.com/office/drawing/2014/main" id="{F2131D0D-69F6-4AEE-B71C-7D61CD45443B}"/>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 uri="{96DAC541-7B7A-43D3-8B79-37D633B846F1}">
              <asvg:svgBlip xmlns:asvg="http://schemas.microsoft.com/office/drawing/2016/SVG/main" r:embed="rId20"/>
            </a:ext>
          </a:extLst>
        </a:blip>
        <a:stretch>
          <a:fillRect/>
        </a:stretch>
      </xdr:blipFill>
      <xdr:spPr>
        <a:xfrm rot="5400000">
          <a:off x="4647830" y="33512060"/>
          <a:ext cx="148202" cy="161179"/>
        </a:xfrm>
        <a:prstGeom prst="rect">
          <a:avLst/>
        </a:prstGeom>
      </xdr:spPr>
    </xdr:pic>
    <xdr:clientData/>
  </xdr:oneCellAnchor>
  <xdr:oneCellAnchor>
    <xdr:from>
      <xdr:col>28</xdr:col>
      <xdr:colOff>228601</xdr:colOff>
      <xdr:row>218</xdr:row>
      <xdr:rowOff>76201</xdr:rowOff>
    </xdr:from>
    <xdr:ext cx="170704" cy="159929"/>
    <xdr:pic macro="[0]!noz75i90_add_">
      <xdr:nvPicPr>
        <xdr:cNvPr id="73" name="Grafika 72" descr="Odtwórz z wypełnieniem pełnym">
          <a:extLst>
            <a:ext uri="{FF2B5EF4-FFF2-40B4-BE49-F238E27FC236}">
              <a16:creationId xmlns:a16="http://schemas.microsoft.com/office/drawing/2014/main" id="{623FBA36-FB56-4E04-A5A3-6EF9594FA3F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 uri="{96DAC541-7B7A-43D3-8B79-37D633B846F1}">
              <asvg:svgBlip xmlns:asvg="http://schemas.microsoft.com/office/drawing/2016/SVG/main" r:embed="rId18"/>
            </a:ext>
          </a:extLst>
        </a:blip>
        <a:stretch>
          <a:fillRect/>
        </a:stretch>
      </xdr:blipFill>
      <xdr:spPr>
        <a:xfrm rot="16200000">
          <a:off x="4644063" y="31341389"/>
          <a:ext cx="159929" cy="170704"/>
        </a:xfrm>
        <a:prstGeom prst="rect">
          <a:avLst/>
        </a:prstGeom>
      </xdr:spPr>
    </xdr:pic>
    <xdr:clientData/>
  </xdr:oneCellAnchor>
  <xdr:oneCellAnchor>
    <xdr:from>
      <xdr:col>28</xdr:col>
      <xdr:colOff>231266</xdr:colOff>
      <xdr:row>220</xdr:row>
      <xdr:rowOff>144851</xdr:rowOff>
    </xdr:from>
    <xdr:ext cx="161179" cy="148202"/>
    <xdr:pic macro="[0]!noz75i90_err">
      <xdr:nvPicPr>
        <xdr:cNvPr id="74" name="Grafika 73" descr="Odtwórz z wypełnieniem pełnym">
          <a:extLst>
            <a:ext uri="{FF2B5EF4-FFF2-40B4-BE49-F238E27FC236}">
              <a16:creationId xmlns:a16="http://schemas.microsoft.com/office/drawing/2014/main" id="{5AFD4D07-220C-4042-AC73-2A292D2FC40A}"/>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 uri="{96DAC541-7B7A-43D3-8B79-37D633B846F1}">
              <asvg:svgBlip xmlns:asvg="http://schemas.microsoft.com/office/drawing/2016/SVG/main" r:embed="rId20"/>
            </a:ext>
          </a:extLst>
        </a:blip>
        <a:stretch>
          <a:fillRect/>
        </a:stretch>
      </xdr:blipFill>
      <xdr:spPr>
        <a:xfrm rot="5400000">
          <a:off x="4647830" y="31759457"/>
          <a:ext cx="148202" cy="161179"/>
        </a:xfrm>
        <a:prstGeom prst="rect">
          <a:avLst/>
        </a:prstGeom>
      </xdr:spPr>
    </xdr:pic>
    <xdr:clientData/>
  </xdr:oneCellAnchor>
  <xdr:oneCellAnchor>
    <xdr:from>
      <xdr:col>28</xdr:col>
      <xdr:colOff>239269</xdr:colOff>
      <xdr:row>134</xdr:row>
      <xdr:rowOff>167640</xdr:rowOff>
    </xdr:from>
    <xdr:ext cx="170704" cy="159929"/>
    <xdr:pic macro="[0]!R_centrala_add_">
      <xdr:nvPicPr>
        <xdr:cNvPr id="75" name="Grafika 74" descr="Odtwórz z wypełnieniem pełnym">
          <a:extLst>
            <a:ext uri="{FF2B5EF4-FFF2-40B4-BE49-F238E27FC236}">
              <a16:creationId xmlns:a16="http://schemas.microsoft.com/office/drawing/2014/main" id="{DEB7628E-3122-4778-A5F7-DBC7CC8FAB74}"/>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 uri="{96DAC541-7B7A-43D3-8B79-37D633B846F1}">
              <asvg:svgBlip xmlns:asvg="http://schemas.microsoft.com/office/drawing/2016/SVG/main" r:embed="rId18"/>
            </a:ext>
          </a:extLst>
        </a:blip>
        <a:stretch>
          <a:fillRect/>
        </a:stretch>
      </xdr:blipFill>
      <xdr:spPr>
        <a:xfrm rot="16200000">
          <a:off x="4656636" y="19501813"/>
          <a:ext cx="159929" cy="170704"/>
        </a:xfrm>
        <a:prstGeom prst="rect">
          <a:avLst/>
        </a:prstGeom>
      </xdr:spPr>
    </xdr:pic>
    <xdr:clientData/>
  </xdr:oneCellAnchor>
  <xdr:oneCellAnchor>
    <xdr:from>
      <xdr:col>28</xdr:col>
      <xdr:colOff>236221</xdr:colOff>
      <xdr:row>137</xdr:row>
      <xdr:rowOff>36264</xdr:rowOff>
    </xdr:from>
    <xdr:ext cx="161179" cy="148202"/>
    <xdr:pic macro="[0]!R_centrala_err">
      <xdr:nvPicPr>
        <xdr:cNvPr id="76" name="Grafika 75" descr="Odtwórz z wypełnieniem pełnym">
          <a:extLst>
            <a:ext uri="{FF2B5EF4-FFF2-40B4-BE49-F238E27FC236}">
              <a16:creationId xmlns:a16="http://schemas.microsoft.com/office/drawing/2014/main" id="{A17A0A32-322C-4937-8B5E-84F490BA5A72}"/>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 uri="{96DAC541-7B7A-43D3-8B79-37D633B846F1}">
              <asvg:svgBlip xmlns:asvg="http://schemas.microsoft.com/office/drawing/2016/SVG/main" r:embed="rId20"/>
            </a:ext>
          </a:extLst>
        </a:blip>
        <a:stretch>
          <a:fillRect/>
        </a:stretch>
      </xdr:blipFill>
      <xdr:spPr>
        <a:xfrm rot="5400000">
          <a:off x="4654690" y="19908450"/>
          <a:ext cx="148202" cy="161179"/>
        </a:xfrm>
        <a:prstGeom prst="rect">
          <a:avLst/>
        </a:prstGeom>
      </xdr:spPr>
    </xdr:pic>
    <xdr:clientData/>
  </xdr:oneCellAnchor>
  <xdr:oneCellAnchor>
    <xdr:from>
      <xdr:col>38</xdr:col>
      <xdr:colOff>582370</xdr:colOff>
      <xdr:row>233</xdr:row>
      <xdr:rowOff>157656</xdr:rowOff>
    </xdr:from>
    <xdr:ext cx="170704" cy="159929"/>
    <xdr:pic macro="[0]!R_system_add_">
      <xdr:nvPicPr>
        <xdr:cNvPr id="77" name="Grafika 76" descr="Odtwórz z wypełnieniem pełnym">
          <a:extLst>
            <a:ext uri="{FF2B5EF4-FFF2-40B4-BE49-F238E27FC236}">
              <a16:creationId xmlns:a16="http://schemas.microsoft.com/office/drawing/2014/main" id="{FB4B9EF2-5D19-475D-98E0-63BD292DB571}"/>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 uri="{96DAC541-7B7A-43D3-8B79-37D633B846F1}">
              <asvg:svgBlip xmlns:asvg="http://schemas.microsoft.com/office/drawing/2016/SVG/main" r:embed="rId18"/>
            </a:ext>
          </a:extLst>
        </a:blip>
        <a:stretch>
          <a:fillRect/>
        </a:stretch>
      </xdr:blipFill>
      <xdr:spPr>
        <a:xfrm rot="16200000">
          <a:off x="10677688" y="36084510"/>
          <a:ext cx="159929" cy="170704"/>
        </a:xfrm>
        <a:prstGeom prst="rect">
          <a:avLst/>
        </a:prstGeom>
      </xdr:spPr>
    </xdr:pic>
    <xdr:clientData/>
  </xdr:oneCellAnchor>
  <xdr:oneCellAnchor>
    <xdr:from>
      <xdr:col>38</xdr:col>
      <xdr:colOff>585821</xdr:colOff>
      <xdr:row>234</xdr:row>
      <xdr:rowOff>123765</xdr:rowOff>
    </xdr:from>
    <xdr:ext cx="161179" cy="148202"/>
    <xdr:pic macro="[0]!R_system_err">
      <xdr:nvPicPr>
        <xdr:cNvPr id="78" name="Grafika 77" descr="Odtwórz z wypełnieniem pełnym">
          <a:extLst>
            <a:ext uri="{FF2B5EF4-FFF2-40B4-BE49-F238E27FC236}">
              <a16:creationId xmlns:a16="http://schemas.microsoft.com/office/drawing/2014/main" id="{15E497E0-D8C6-49B0-B879-DAA8C93B33AF}"/>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 uri="{96DAC541-7B7A-43D3-8B79-37D633B846F1}">
              <asvg:svgBlip xmlns:asvg="http://schemas.microsoft.com/office/drawing/2016/SVG/main" r:embed="rId20"/>
            </a:ext>
          </a:extLst>
        </a:blip>
        <a:stretch>
          <a:fillRect/>
        </a:stretch>
      </xdr:blipFill>
      <xdr:spPr>
        <a:xfrm rot="5400000">
          <a:off x="10682241" y="36233448"/>
          <a:ext cx="148202" cy="161179"/>
        </a:xfrm>
        <a:prstGeom prst="rect">
          <a:avLst/>
        </a:prstGeom>
      </xdr:spPr>
    </xdr:pic>
    <xdr:clientData/>
  </xdr:oneCellAnchor>
  <xdr:twoCellAnchor editAs="oneCell">
    <xdr:from>
      <xdr:col>30</xdr:col>
      <xdr:colOff>285750</xdr:colOff>
      <xdr:row>165</xdr:row>
      <xdr:rowOff>114300</xdr:rowOff>
    </xdr:from>
    <xdr:to>
      <xdr:col>32</xdr:col>
      <xdr:colOff>533400</xdr:colOff>
      <xdr:row>169</xdr:row>
      <xdr:rowOff>444</xdr:rowOff>
    </xdr:to>
    <xdr:pic>
      <xdr:nvPicPr>
        <xdr:cNvPr id="80" name="Obraz 79">
          <a:extLst>
            <a:ext uri="{FF2B5EF4-FFF2-40B4-BE49-F238E27FC236}">
              <a16:creationId xmlns:a16="http://schemas.microsoft.com/office/drawing/2014/main" id="{C8CBB4D0-6B2B-4E70-9CB8-D7A5DF683A7E}"/>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5911215" y="24793575"/>
          <a:ext cx="746760" cy="589089"/>
        </a:xfrm>
        <a:prstGeom prst="rect">
          <a:avLst/>
        </a:prstGeom>
      </xdr:spPr>
    </xdr:pic>
    <xdr:clientData/>
  </xdr:twoCellAnchor>
  <xdr:twoCellAnchor editAs="oneCell">
    <xdr:from>
      <xdr:col>31</xdr:col>
      <xdr:colOff>17371</xdr:colOff>
      <xdr:row>223</xdr:row>
      <xdr:rowOff>93346</xdr:rowOff>
    </xdr:from>
    <xdr:to>
      <xdr:col>32</xdr:col>
      <xdr:colOff>511730</xdr:colOff>
      <xdr:row>227</xdr:row>
      <xdr:rowOff>95251</xdr:rowOff>
    </xdr:to>
    <xdr:pic>
      <xdr:nvPicPr>
        <xdr:cNvPr id="85" name="Obraz 84">
          <a:extLst>
            <a:ext uri="{FF2B5EF4-FFF2-40B4-BE49-F238E27FC236}">
              <a16:creationId xmlns:a16="http://schemas.microsoft.com/office/drawing/2014/main" id="{6546C09A-69C7-45C9-971F-DC76D44B682D}"/>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6031456" y="32234506"/>
          <a:ext cx="608659" cy="718185"/>
        </a:xfrm>
        <a:prstGeom prst="rect">
          <a:avLst/>
        </a:prstGeom>
      </xdr:spPr>
    </xdr:pic>
    <xdr:clientData/>
  </xdr:twoCellAnchor>
  <xdr:twoCellAnchor editAs="oneCell">
    <xdr:from>
      <xdr:col>31</xdr:col>
      <xdr:colOff>107315</xdr:colOff>
      <xdr:row>219</xdr:row>
      <xdr:rowOff>7505</xdr:rowOff>
    </xdr:from>
    <xdr:to>
      <xdr:col>32</xdr:col>
      <xdr:colOff>511761</xdr:colOff>
      <xdr:row>221</xdr:row>
      <xdr:rowOff>116522</xdr:rowOff>
    </xdr:to>
    <xdr:pic>
      <xdr:nvPicPr>
        <xdr:cNvPr id="86" name="Obraz 85">
          <a:extLst>
            <a:ext uri="{FF2B5EF4-FFF2-40B4-BE49-F238E27FC236}">
              <a16:creationId xmlns:a16="http://schemas.microsoft.com/office/drawing/2014/main" id="{F9FC56D8-305F-464C-B59C-EE52AA825E2D}"/>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6115685" y="31460960"/>
          <a:ext cx="524461" cy="469062"/>
        </a:xfrm>
        <a:prstGeom prst="rect">
          <a:avLst/>
        </a:prstGeom>
      </xdr:spPr>
    </xdr:pic>
    <xdr:clientData/>
  </xdr:twoCellAnchor>
  <xdr:twoCellAnchor editAs="oneCell">
    <xdr:from>
      <xdr:col>32</xdr:col>
      <xdr:colOff>485775</xdr:colOff>
      <xdr:row>120</xdr:row>
      <xdr:rowOff>114300</xdr:rowOff>
    </xdr:from>
    <xdr:to>
      <xdr:col>33</xdr:col>
      <xdr:colOff>247307</xdr:colOff>
      <xdr:row>122</xdr:row>
      <xdr:rowOff>76800</xdr:rowOff>
    </xdr:to>
    <xdr:pic>
      <xdr:nvPicPr>
        <xdr:cNvPr id="92" name="Obraz 91">
          <a:extLst>
            <a:ext uri="{FF2B5EF4-FFF2-40B4-BE49-F238E27FC236}">
              <a16:creationId xmlns:a16="http://schemas.microsoft.com/office/drawing/2014/main" id="{B1282A0E-5479-483A-8AB7-A88AB9A5B7CB}"/>
            </a:ext>
          </a:extLst>
        </xdr:cNvPr>
        <xdr:cNvPicPr>
          <a:picLocks/>
        </xdr:cNvPicPr>
      </xdr:nvPicPr>
      <xdr:blipFill rotWithShape="1">
        <a:blip xmlns:r="http://schemas.openxmlformats.org/officeDocument/2006/relationships" r:embed="rId38" cstate="email">
          <a:extLst>
            <a:ext uri="{28A0092B-C50C-407E-A947-70E740481C1C}">
              <a14:useLocalDpi xmlns:a14="http://schemas.microsoft.com/office/drawing/2010/main"/>
            </a:ext>
          </a:extLst>
        </a:blip>
        <a:srcRect/>
        <a:stretch/>
      </xdr:blipFill>
      <xdr:spPr>
        <a:xfrm>
          <a:off x="6610350" y="17002125"/>
          <a:ext cx="374942" cy="381600"/>
        </a:xfrm>
        <a:prstGeom prst="ellipse">
          <a:avLst/>
        </a:prstGeom>
      </xdr:spPr>
    </xdr:pic>
    <xdr:clientData/>
  </xdr:twoCellAnchor>
  <xdr:oneCellAnchor>
    <xdr:from>
      <xdr:col>28</xdr:col>
      <xdr:colOff>292370</xdr:colOff>
      <xdr:row>123</xdr:row>
      <xdr:rowOff>144998</xdr:rowOff>
    </xdr:from>
    <xdr:ext cx="314325" cy="314637"/>
    <xdr:pic>
      <xdr:nvPicPr>
        <xdr:cNvPr id="93" name="Grafika 92" descr="Wodnik kontur">
          <a:extLst>
            <a:ext uri="{FF2B5EF4-FFF2-40B4-BE49-F238E27FC236}">
              <a16:creationId xmlns:a16="http://schemas.microsoft.com/office/drawing/2014/main" id="{B58D909D-62F1-477E-8C2C-0D3CF6F79667}"/>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 uri="{96DAC541-7B7A-43D3-8B79-37D633B846F1}">
              <asvg:svgBlip xmlns:asvg="http://schemas.microsoft.com/office/drawing/2016/SVG/main" r:embed="rId40"/>
            </a:ext>
          </a:extLst>
        </a:blip>
        <a:stretch>
          <a:fillRect/>
        </a:stretch>
      </xdr:blipFill>
      <xdr:spPr>
        <a:xfrm>
          <a:off x="4698635" y="17630993"/>
          <a:ext cx="314325" cy="314637"/>
        </a:xfrm>
        <a:prstGeom prst="rect">
          <a:avLst/>
        </a:prstGeom>
      </xdr:spPr>
    </xdr:pic>
    <xdr:clientData/>
  </xdr:oneCellAnchor>
  <xdr:twoCellAnchor editAs="oneCell">
    <xdr:from>
      <xdr:col>28</xdr:col>
      <xdr:colOff>489090</xdr:colOff>
      <xdr:row>123</xdr:row>
      <xdr:rowOff>161430</xdr:rowOff>
    </xdr:from>
    <xdr:to>
      <xdr:col>29</xdr:col>
      <xdr:colOff>172880</xdr:colOff>
      <xdr:row>125</xdr:row>
      <xdr:rowOff>95250</xdr:rowOff>
    </xdr:to>
    <xdr:pic>
      <xdr:nvPicPr>
        <xdr:cNvPr id="94" name="Grafika 93" descr="Błyskawica z wypełnieniem pełnym">
          <a:extLst>
            <a:ext uri="{FF2B5EF4-FFF2-40B4-BE49-F238E27FC236}">
              <a16:creationId xmlns:a16="http://schemas.microsoft.com/office/drawing/2014/main" id="{2C742721-9785-49E3-8F19-5F4DC68300D9}"/>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 uri="{96DAC541-7B7A-43D3-8B79-37D633B846F1}">
              <asvg:svgBlip xmlns:asvg="http://schemas.microsoft.com/office/drawing/2016/SVG/main" r:embed="rId42"/>
            </a:ext>
          </a:extLst>
        </a:blip>
        <a:stretch>
          <a:fillRect/>
        </a:stretch>
      </xdr:blipFill>
      <xdr:spPr>
        <a:xfrm>
          <a:off x="4897260" y="17651235"/>
          <a:ext cx="291485" cy="284340"/>
        </a:xfrm>
        <a:prstGeom prst="rect">
          <a:avLst/>
        </a:prstGeom>
      </xdr:spPr>
    </xdr:pic>
    <xdr:clientData/>
  </xdr:twoCellAnchor>
  <xdr:twoCellAnchor editAs="oneCell">
    <xdr:from>
      <xdr:col>42</xdr:col>
      <xdr:colOff>32819</xdr:colOff>
      <xdr:row>123</xdr:row>
      <xdr:rowOff>16162</xdr:rowOff>
    </xdr:from>
    <xdr:to>
      <xdr:col>58</xdr:col>
      <xdr:colOff>19140</xdr:colOff>
      <xdr:row>126</xdr:row>
      <xdr:rowOff>54279</xdr:rowOff>
    </xdr:to>
    <xdr:pic>
      <xdr:nvPicPr>
        <xdr:cNvPr id="95" name="Grafika 94" descr="Wietrznie kontur">
          <a:extLst>
            <a:ext uri="{FF2B5EF4-FFF2-40B4-BE49-F238E27FC236}">
              <a16:creationId xmlns:a16="http://schemas.microsoft.com/office/drawing/2014/main" id="{23EB4124-254E-46B9-A8F7-BB3F2DE85964}"/>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 uri="{96DAC541-7B7A-43D3-8B79-37D633B846F1}">
              <asvg:svgBlip xmlns:asvg="http://schemas.microsoft.com/office/drawing/2016/SVG/main" r:embed="rId44"/>
            </a:ext>
          </a:extLst>
        </a:blip>
        <a:stretch>
          <a:fillRect/>
        </a:stretch>
      </xdr:blipFill>
      <xdr:spPr>
        <a:xfrm>
          <a:off x="10965614" y="17507872"/>
          <a:ext cx="584491" cy="573422"/>
        </a:xfrm>
        <a:prstGeom prst="rect">
          <a:avLst/>
        </a:prstGeom>
      </xdr:spPr>
    </xdr:pic>
    <xdr:clientData/>
  </xdr:twoCellAnchor>
  <xdr:twoCellAnchor editAs="oneCell">
    <xdr:from>
      <xdr:col>5</xdr:col>
      <xdr:colOff>22860</xdr:colOff>
      <xdr:row>123</xdr:row>
      <xdr:rowOff>0</xdr:rowOff>
    </xdr:from>
    <xdr:to>
      <xdr:col>20</xdr:col>
      <xdr:colOff>17830</xdr:colOff>
      <xdr:row>126</xdr:row>
      <xdr:rowOff>41771</xdr:rowOff>
    </xdr:to>
    <xdr:pic>
      <xdr:nvPicPr>
        <xdr:cNvPr id="96" name="Grafika 95" descr="Wietrznie kontur">
          <a:extLst>
            <a:ext uri="{FF2B5EF4-FFF2-40B4-BE49-F238E27FC236}">
              <a16:creationId xmlns:a16="http://schemas.microsoft.com/office/drawing/2014/main" id="{CB107E30-698F-447F-8163-CB6F9E624C2A}"/>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 uri="{96DAC541-7B7A-43D3-8B79-37D633B846F1}">
              <asvg:svgBlip xmlns:asvg="http://schemas.microsoft.com/office/drawing/2016/SVG/main" r:embed="rId44"/>
            </a:ext>
          </a:extLst>
        </a:blip>
        <a:stretch>
          <a:fillRect/>
        </a:stretch>
      </xdr:blipFill>
      <xdr:spPr>
        <a:xfrm>
          <a:off x="419100" y="17487900"/>
          <a:ext cx="579805" cy="584696"/>
        </a:xfrm>
        <a:prstGeom prst="rect">
          <a:avLst/>
        </a:prstGeom>
      </xdr:spPr>
    </xdr:pic>
    <xdr:clientData/>
  </xdr:twoCellAnchor>
  <xdr:twoCellAnchor editAs="oneCell">
    <xdr:from>
      <xdr:col>22</xdr:col>
      <xdr:colOff>9459</xdr:colOff>
      <xdr:row>123</xdr:row>
      <xdr:rowOff>178555</xdr:rowOff>
    </xdr:from>
    <xdr:to>
      <xdr:col>22</xdr:col>
      <xdr:colOff>245929</xdr:colOff>
      <xdr:row>125</xdr:row>
      <xdr:rowOff>56635</xdr:rowOff>
    </xdr:to>
    <xdr:pic>
      <xdr:nvPicPr>
        <xdr:cNvPr id="97" name="Grafika 96" descr="Powrót z wypełnieniem pełnym">
          <a:extLst>
            <a:ext uri="{FF2B5EF4-FFF2-40B4-BE49-F238E27FC236}">
              <a16:creationId xmlns:a16="http://schemas.microsoft.com/office/drawing/2014/main" id="{32260925-857A-438A-B793-62AA4F02E14B}"/>
            </a:ext>
          </a:extLst>
        </xdr:cNvPr>
        <xdr:cNvPicPr>
          <a:picLocks noChangeAspect="1"/>
        </xdr:cNvPicPr>
      </xdr:nvPicPr>
      <xdr:blipFill rotWithShape="1">
        <a:blip xmlns:r="http://schemas.openxmlformats.org/officeDocument/2006/relationships" r:embed="rId45">
          <a:extLst>
            <a:ext uri="{28A0092B-C50C-407E-A947-70E740481C1C}">
              <a14:useLocalDpi xmlns:a14="http://schemas.microsoft.com/office/drawing/2010/main" val="0"/>
            </a:ext>
            <a:ext uri="{96DAC541-7B7A-43D3-8B79-37D633B846F1}">
              <asvg:svgBlip xmlns:asvg="http://schemas.microsoft.com/office/drawing/2016/SVG/main" r:embed="rId46"/>
            </a:ext>
          </a:extLst>
        </a:blip>
        <a:srcRect l="49167" b="48333"/>
        <a:stretch/>
      </xdr:blipFill>
      <xdr:spPr>
        <a:xfrm rot="5400000">
          <a:off x="1056381" y="17665378"/>
          <a:ext cx="253365" cy="247900"/>
        </a:xfrm>
        <a:prstGeom prst="rect">
          <a:avLst/>
        </a:prstGeom>
      </xdr:spPr>
    </xdr:pic>
    <xdr:clientData/>
  </xdr:twoCellAnchor>
  <xdr:twoCellAnchor editAs="oneCell">
    <xdr:from>
      <xdr:col>39</xdr:col>
      <xdr:colOff>9459</xdr:colOff>
      <xdr:row>123</xdr:row>
      <xdr:rowOff>178555</xdr:rowOff>
    </xdr:from>
    <xdr:to>
      <xdr:col>42</xdr:col>
      <xdr:colOff>34474</xdr:colOff>
      <xdr:row>125</xdr:row>
      <xdr:rowOff>56635</xdr:rowOff>
    </xdr:to>
    <xdr:pic>
      <xdr:nvPicPr>
        <xdr:cNvPr id="98" name="Grafika 97" descr="Powrót z wypełnieniem pełnym">
          <a:extLst>
            <a:ext uri="{FF2B5EF4-FFF2-40B4-BE49-F238E27FC236}">
              <a16:creationId xmlns:a16="http://schemas.microsoft.com/office/drawing/2014/main" id="{11C93E8C-1046-4C4F-8F44-548B2B5270E0}"/>
            </a:ext>
          </a:extLst>
        </xdr:cNvPr>
        <xdr:cNvPicPr>
          <a:picLocks noChangeAspect="1"/>
        </xdr:cNvPicPr>
      </xdr:nvPicPr>
      <xdr:blipFill rotWithShape="1">
        <a:blip xmlns:r="http://schemas.openxmlformats.org/officeDocument/2006/relationships" r:embed="rId45">
          <a:extLst>
            <a:ext uri="{28A0092B-C50C-407E-A947-70E740481C1C}">
              <a14:useLocalDpi xmlns:a14="http://schemas.microsoft.com/office/drawing/2010/main" val="0"/>
            </a:ext>
            <a:ext uri="{96DAC541-7B7A-43D3-8B79-37D633B846F1}">
              <asvg:svgBlip xmlns:asvg="http://schemas.microsoft.com/office/drawing/2016/SVG/main" r:embed="rId46"/>
            </a:ext>
          </a:extLst>
        </a:blip>
        <a:srcRect l="49167" b="48333"/>
        <a:stretch/>
      </xdr:blipFill>
      <xdr:spPr>
        <a:xfrm rot="5400000">
          <a:off x="10724256" y="17665378"/>
          <a:ext cx="253365" cy="247900"/>
        </a:xfrm>
        <a:prstGeom prst="rect">
          <a:avLst/>
        </a:prstGeom>
      </xdr:spPr>
    </xdr:pic>
    <xdr:clientData/>
  </xdr:twoCellAnchor>
  <xdr:twoCellAnchor editAs="oneCell">
    <xdr:from>
      <xdr:col>18</xdr:col>
      <xdr:colOff>19050</xdr:colOff>
      <xdr:row>218</xdr:row>
      <xdr:rowOff>161925</xdr:rowOff>
    </xdr:from>
    <xdr:to>
      <xdr:col>22</xdr:col>
      <xdr:colOff>476087</xdr:colOff>
      <xdr:row>222</xdr:row>
      <xdr:rowOff>59942</xdr:rowOff>
    </xdr:to>
    <xdr:pic>
      <xdr:nvPicPr>
        <xdr:cNvPr id="109" name="Obraz 108">
          <a:extLst>
            <a:ext uri="{FF2B5EF4-FFF2-40B4-BE49-F238E27FC236}">
              <a16:creationId xmlns:a16="http://schemas.microsoft.com/office/drawing/2014/main" id="{08E31810-37FC-4307-977F-F7A0C6AAA72C}"/>
            </a:ext>
          </a:extLst>
        </xdr:cNvPr>
        <xdr:cNvPicPr>
          <a:picLocks noChangeAspect="1"/>
        </xdr:cNvPicPr>
      </xdr:nvPicPr>
      <xdr:blipFill>
        <a:blip xmlns:r="http://schemas.openxmlformats.org/officeDocument/2006/relationships" r:embed="rId47"/>
        <a:stretch>
          <a:fillRect/>
        </a:stretch>
      </xdr:blipFill>
      <xdr:spPr>
        <a:xfrm>
          <a:off x="914400" y="31432500"/>
          <a:ext cx="613247" cy="600962"/>
        </a:xfrm>
        <a:prstGeom prst="rect">
          <a:avLst/>
        </a:prstGeom>
      </xdr:spPr>
    </xdr:pic>
    <xdr:clientData/>
  </xdr:twoCellAnchor>
  <xdr:twoCellAnchor editAs="oneCell">
    <xdr:from>
      <xdr:col>18</xdr:col>
      <xdr:colOff>19050</xdr:colOff>
      <xdr:row>164</xdr:row>
      <xdr:rowOff>180342</xdr:rowOff>
    </xdr:from>
    <xdr:to>
      <xdr:col>22</xdr:col>
      <xdr:colOff>361950</xdr:colOff>
      <xdr:row>170</xdr:row>
      <xdr:rowOff>57151</xdr:rowOff>
    </xdr:to>
    <xdr:pic>
      <xdr:nvPicPr>
        <xdr:cNvPr id="79" name="Obraz 78">
          <a:extLst>
            <a:ext uri="{FF2B5EF4-FFF2-40B4-BE49-F238E27FC236}">
              <a16:creationId xmlns:a16="http://schemas.microsoft.com/office/drawing/2014/main" id="{441D7C89-517B-4DA5-B1D2-33C86A6DCAB2}"/>
            </a:ext>
          </a:extLst>
        </xdr:cNvPr>
        <xdr:cNvPicPr>
          <a:picLocks noChangeAspect="1"/>
        </xdr:cNvPicPr>
      </xdr:nvPicPr>
      <xdr:blipFill>
        <a:blip xmlns:r="http://schemas.openxmlformats.org/officeDocument/2006/relationships" r:embed="rId48"/>
        <a:stretch>
          <a:fillRect/>
        </a:stretch>
      </xdr:blipFill>
      <xdr:spPr>
        <a:xfrm>
          <a:off x="914400" y="24678642"/>
          <a:ext cx="487680" cy="907414"/>
        </a:xfrm>
        <a:prstGeom prst="rect">
          <a:avLst/>
        </a:prstGeom>
      </xdr:spPr>
    </xdr:pic>
    <xdr:clientData/>
  </xdr:twoCellAnchor>
  <xdr:oneCellAnchor>
    <xdr:from>
      <xdr:col>37</xdr:col>
      <xdr:colOff>262890</xdr:colOff>
      <xdr:row>228</xdr:row>
      <xdr:rowOff>91444</xdr:rowOff>
    </xdr:from>
    <xdr:ext cx="170704" cy="159929"/>
    <xdr:pic macro="[0]!trojnik75i90_add_">
      <xdr:nvPicPr>
        <xdr:cNvPr id="110" name="Grafika 109" descr="Odtwórz z wypełnieniem pełnym">
          <a:extLst>
            <a:ext uri="{FF2B5EF4-FFF2-40B4-BE49-F238E27FC236}">
              <a16:creationId xmlns:a16="http://schemas.microsoft.com/office/drawing/2014/main" id="{2012DE6D-5555-4DCF-896E-41140197572C}"/>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 uri="{96DAC541-7B7A-43D3-8B79-37D633B846F1}">
              <asvg:svgBlip xmlns:asvg="http://schemas.microsoft.com/office/drawing/2016/SVG/main" r:embed="rId18"/>
            </a:ext>
          </a:extLst>
        </a:blip>
        <a:stretch>
          <a:fillRect/>
        </a:stretch>
      </xdr:blipFill>
      <xdr:spPr>
        <a:xfrm rot="16200000">
          <a:off x="9650402" y="34675142"/>
          <a:ext cx="159929" cy="170704"/>
        </a:xfrm>
        <a:prstGeom prst="rect">
          <a:avLst/>
        </a:prstGeom>
      </xdr:spPr>
    </xdr:pic>
    <xdr:clientData/>
  </xdr:oneCellAnchor>
  <xdr:oneCellAnchor>
    <xdr:from>
      <xdr:col>37</xdr:col>
      <xdr:colOff>267461</xdr:colOff>
      <xdr:row>230</xdr:row>
      <xdr:rowOff>133423</xdr:rowOff>
    </xdr:from>
    <xdr:ext cx="161179" cy="148202"/>
    <xdr:pic macro="[0]!trojnik75i90_err">
      <xdr:nvPicPr>
        <xdr:cNvPr id="111" name="Grafika 110" descr="Odtwórz z wypełnieniem pełnym">
          <a:extLst>
            <a:ext uri="{FF2B5EF4-FFF2-40B4-BE49-F238E27FC236}">
              <a16:creationId xmlns:a16="http://schemas.microsoft.com/office/drawing/2014/main" id="{334783CC-52CF-4C94-863B-64ACF1D2B67E}"/>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 uri="{96DAC541-7B7A-43D3-8B79-37D633B846F1}">
              <asvg:svgBlip xmlns:asvg="http://schemas.microsoft.com/office/drawing/2016/SVG/main" r:embed="rId20"/>
            </a:ext>
          </a:extLst>
        </a:blip>
        <a:stretch>
          <a:fillRect/>
        </a:stretch>
      </xdr:blipFill>
      <xdr:spPr>
        <a:xfrm rot="5400000">
          <a:off x="9656075" y="35070349"/>
          <a:ext cx="148202" cy="161179"/>
        </a:xfrm>
        <a:prstGeom prst="rect">
          <a:avLst/>
        </a:prstGeom>
      </xdr:spPr>
    </xdr:pic>
    <xdr:clientData/>
  </xdr:oneCellAnchor>
  <xdr:twoCellAnchor>
    <xdr:from>
      <xdr:col>37</xdr:col>
      <xdr:colOff>610847</xdr:colOff>
      <xdr:row>230</xdr:row>
      <xdr:rowOff>93721</xdr:rowOff>
    </xdr:from>
    <xdr:to>
      <xdr:col>38</xdr:col>
      <xdr:colOff>335854</xdr:colOff>
      <xdr:row>231</xdr:row>
      <xdr:rowOff>66771</xdr:rowOff>
    </xdr:to>
    <xdr:sp macro="[0]!trojnik75i90_auto" textlink="">
      <xdr:nvSpPr>
        <xdr:cNvPr id="112" name="pole tekstowe 111">
          <a:extLst>
            <a:ext uri="{FF2B5EF4-FFF2-40B4-BE49-F238E27FC236}">
              <a16:creationId xmlns:a16="http://schemas.microsoft.com/office/drawing/2014/main" id="{60B25FFF-C7E4-40F6-9FF9-4328A2C51FB8}"/>
            </a:ext>
          </a:extLst>
        </xdr:cNvPr>
        <xdr:cNvSpPr txBox="1"/>
      </xdr:nvSpPr>
      <xdr:spPr>
        <a:xfrm>
          <a:off x="9992972" y="35044756"/>
          <a:ext cx="389852" cy="1483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i="1">
              <a:solidFill>
                <a:schemeClr val="accent2"/>
              </a:solidFill>
              <a:latin typeface="Roboto Condensed" panose="02000000000000000000" pitchFamily="2" charset="0"/>
              <a:ea typeface="Roboto Condensed" panose="02000000000000000000" pitchFamily="2" charset="0"/>
            </a:rPr>
            <a:t>Auto</a:t>
          </a:r>
          <a:endParaRPr lang="en-US" sz="1000" i="1">
            <a:solidFill>
              <a:schemeClr val="accent2"/>
            </a:solidFill>
            <a:latin typeface="Roboto Condensed" panose="02000000000000000000" pitchFamily="2" charset="0"/>
            <a:ea typeface="Roboto Condensed" panose="02000000000000000000" pitchFamily="2" charset="0"/>
          </a:endParaRPr>
        </a:p>
      </xdr:txBody>
    </xdr:sp>
    <xdr:clientData/>
  </xdr:twoCellAnchor>
  <xdr:twoCellAnchor editAs="oneCell">
    <xdr:from>
      <xdr:col>38</xdr:col>
      <xdr:colOff>556184</xdr:colOff>
      <xdr:row>152</xdr:row>
      <xdr:rowOff>45942</xdr:rowOff>
    </xdr:from>
    <xdr:to>
      <xdr:col>40</xdr:col>
      <xdr:colOff>22086</xdr:colOff>
      <xdr:row>154</xdr:row>
      <xdr:rowOff>134164</xdr:rowOff>
    </xdr:to>
    <xdr:pic>
      <xdr:nvPicPr>
        <xdr:cNvPr id="81" name="Obraz 80" descr="Aplikacja ViCare | Viessmann">
          <a:extLst>
            <a:ext uri="{FF2B5EF4-FFF2-40B4-BE49-F238E27FC236}">
              <a16:creationId xmlns:a16="http://schemas.microsoft.com/office/drawing/2014/main" id="{7AE2F86E-EA52-44DB-AD6C-76B67BACE08A}"/>
            </a:ext>
          </a:extLst>
        </xdr:cNvPr>
        <xdr:cNvPicPr>
          <a:picLocks noChangeArrowheads="1"/>
        </xdr:cNvPicPr>
      </xdr:nvPicPr>
      <xdr:blipFill rotWithShape="1">
        <a:blip xmlns:r="http://schemas.openxmlformats.org/officeDocument/2006/relationships" r:embed="rId49" cstate="email">
          <a:extLst>
            <a:ext uri="{28A0092B-C50C-407E-A947-70E740481C1C}">
              <a14:useLocalDpi xmlns:a14="http://schemas.microsoft.com/office/drawing/2010/main"/>
            </a:ext>
          </a:extLst>
        </a:blip>
        <a:srcRect/>
        <a:stretch/>
      </xdr:blipFill>
      <xdr:spPr bwMode="auto">
        <a:xfrm>
          <a:off x="10591724" y="22345872"/>
          <a:ext cx="246952" cy="4444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639205</xdr:colOff>
      <xdr:row>153</xdr:row>
      <xdr:rowOff>30086</xdr:rowOff>
    </xdr:from>
    <xdr:to>
      <xdr:col>37</xdr:col>
      <xdr:colOff>402003</xdr:colOff>
      <xdr:row>155</xdr:row>
      <xdr:rowOff>170258</xdr:rowOff>
    </xdr:to>
    <xdr:pic>
      <xdr:nvPicPr>
        <xdr:cNvPr id="82" name="Google Shape;1277;p272">
          <a:extLst>
            <a:ext uri="{FF2B5EF4-FFF2-40B4-BE49-F238E27FC236}">
              <a16:creationId xmlns:a16="http://schemas.microsoft.com/office/drawing/2014/main" id="{DAE38A5A-8065-4F71-844F-0190C79970E0}"/>
            </a:ext>
          </a:extLst>
        </xdr:cNvPr>
        <xdr:cNvPicPr preferRelativeResize="0">
          <a:picLocks noChangeAspect="1"/>
        </xdr:cNvPicPr>
      </xdr:nvPicPr>
      <xdr:blipFill>
        <a:blip xmlns:r="http://schemas.openxmlformats.org/officeDocument/2006/relationships" r:embed="rId50" cstate="email">
          <a:alphaModFix/>
          <a:extLst>
            <a:ext uri="{28A0092B-C50C-407E-A947-70E740481C1C}">
              <a14:useLocalDpi xmlns:a14="http://schemas.microsoft.com/office/drawing/2010/main"/>
            </a:ext>
          </a:extLst>
        </a:blip>
        <a:stretch>
          <a:fillRect/>
        </a:stretch>
      </xdr:blipFill>
      <xdr:spPr>
        <a:xfrm>
          <a:off x="9343150" y="22507181"/>
          <a:ext cx="427643" cy="507837"/>
        </a:xfrm>
        <a:prstGeom prst="rect">
          <a:avLst/>
        </a:prstGeom>
        <a:noFill/>
        <a:ln>
          <a:noFill/>
        </a:ln>
      </xdr:spPr>
    </xdr:pic>
    <xdr:clientData/>
  </xdr:twoCellAnchor>
  <xdr:twoCellAnchor editAs="oneCell">
    <xdr:from>
      <xdr:col>36</xdr:col>
      <xdr:colOff>555759</xdr:colOff>
      <xdr:row>158</xdr:row>
      <xdr:rowOff>80493</xdr:rowOff>
    </xdr:from>
    <xdr:to>
      <xdr:col>37</xdr:col>
      <xdr:colOff>384213</xdr:colOff>
      <xdr:row>160</xdr:row>
      <xdr:rowOff>91922</xdr:rowOff>
    </xdr:to>
    <xdr:pic>
      <xdr:nvPicPr>
        <xdr:cNvPr id="83" name="Obraz 82">
          <a:extLst>
            <a:ext uri="{FF2B5EF4-FFF2-40B4-BE49-F238E27FC236}">
              <a16:creationId xmlns:a16="http://schemas.microsoft.com/office/drawing/2014/main" id="{4326033B-A5D8-4C6A-8972-ED4392B60756}"/>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9257799" y="23466273"/>
          <a:ext cx="499014" cy="375284"/>
        </a:xfrm>
        <a:prstGeom prst="rect">
          <a:avLst/>
        </a:prstGeom>
      </xdr:spPr>
    </xdr:pic>
    <xdr:clientData/>
  </xdr:twoCellAnchor>
  <xdr:twoCellAnchor>
    <xdr:from>
      <xdr:col>35</xdr:col>
      <xdr:colOff>133350</xdr:colOff>
      <xdr:row>159</xdr:row>
      <xdr:rowOff>9586</xdr:rowOff>
    </xdr:from>
    <xdr:to>
      <xdr:col>36</xdr:col>
      <xdr:colOff>287327</xdr:colOff>
      <xdr:row>159</xdr:row>
      <xdr:rowOff>9586</xdr:rowOff>
    </xdr:to>
    <xdr:cxnSp macro="">
      <xdr:nvCxnSpPr>
        <xdr:cNvPr id="84" name="Łącznik prosty 83">
          <a:extLst>
            <a:ext uri="{FF2B5EF4-FFF2-40B4-BE49-F238E27FC236}">
              <a16:creationId xmlns:a16="http://schemas.microsoft.com/office/drawing/2014/main" id="{1FD0DB0F-FB64-4ECF-86CB-C59557DF07BF}"/>
            </a:ext>
          </a:extLst>
        </xdr:cNvPr>
        <xdr:cNvCxnSpPr/>
      </xdr:nvCxnSpPr>
      <xdr:spPr>
        <a:xfrm>
          <a:off x="8225790" y="23576341"/>
          <a:ext cx="763577" cy="0"/>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36</xdr:col>
      <xdr:colOff>284014</xdr:colOff>
      <xdr:row>157</xdr:row>
      <xdr:rowOff>65349</xdr:rowOff>
    </xdr:from>
    <xdr:to>
      <xdr:col>36</xdr:col>
      <xdr:colOff>589302</xdr:colOff>
      <xdr:row>159</xdr:row>
      <xdr:rowOff>134990</xdr:rowOff>
    </xdr:to>
    <xdr:pic>
      <xdr:nvPicPr>
        <xdr:cNvPr id="87" name="Obraz 86" descr="Viessmann Vitocal 200-S Pompa ciepła powietrze/woda o mocy 7,5 kW,  przepływowy podgrzewacz c.w.u.,">
          <a:extLst>
            <a:ext uri="{FF2B5EF4-FFF2-40B4-BE49-F238E27FC236}">
              <a16:creationId xmlns:a16="http://schemas.microsoft.com/office/drawing/2014/main" id="{6D9A0A15-2C02-4FAC-9FE5-E782C13DA899}"/>
            </a:ext>
          </a:extLst>
        </xdr:cNvPr>
        <xdr:cNvPicPr>
          <a:picLocks noChangeAspect="1" noChangeArrowheads="1"/>
        </xdr:cNvPicPr>
      </xdr:nvPicPr>
      <xdr:blipFill rotWithShape="1">
        <a:blip xmlns:r="http://schemas.openxmlformats.org/officeDocument/2006/relationships" r:embed="rId52" cstate="email">
          <a:extLst>
            <a:ext uri="{28A0092B-C50C-407E-A947-70E740481C1C}">
              <a14:useLocalDpi xmlns:a14="http://schemas.microsoft.com/office/drawing/2010/main"/>
            </a:ext>
          </a:extLst>
        </a:blip>
        <a:srcRect/>
        <a:stretch/>
      </xdr:blipFill>
      <xdr:spPr bwMode="auto">
        <a:xfrm>
          <a:off x="8993674" y="23266344"/>
          <a:ext cx="305288" cy="4296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36</xdr:col>
      <xdr:colOff>610914</xdr:colOff>
      <xdr:row>157</xdr:row>
      <xdr:rowOff>172642</xdr:rowOff>
    </xdr:from>
    <xdr:to>
      <xdr:col>37</xdr:col>
      <xdr:colOff>554181</xdr:colOff>
      <xdr:row>157</xdr:row>
      <xdr:rowOff>172642</xdr:rowOff>
    </xdr:to>
    <xdr:cxnSp macro="">
      <xdr:nvCxnSpPr>
        <xdr:cNvPr id="99" name="Łącznik prosty 98">
          <a:extLst>
            <a:ext uri="{FF2B5EF4-FFF2-40B4-BE49-F238E27FC236}">
              <a16:creationId xmlns:a16="http://schemas.microsoft.com/office/drawing/2014/main" id="{F4E4771F-0746-4C0B-9021-7F7D2E8D47C4}"/>
            </a:ext>
          </a:extLst>
        </xdr:cNvPr>
        <xdr:cNvCxnSpPr/>
      </xdr:nvCxnSpPr>
      <xdr:spPr>
        <a:xfrm>
          <a:off x="9316764" y="23371732"/>
          <a:ext cx="606207" cy="0"/>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38</xdr:col>
      <xdr:colOff>528452</xdr:colOff>
      <xdr:row>158</xdr:row>
      <xdr:rowOff>70274</xdr:rowOff>
    </xdr:from>
    <xdr:to>
      <xdr:col>39</xdr:col>
      <xdr:colOff>92115</xdr:colOff>
      <xdr:row>160</xdr:row>
      <xdr:rowOff>155294</xdr:rowOff>
    </xdr:to>
    <xdr:pic>
      <xdr:nvPicPr>
        <xdr:cNvPr id="100" name="Obraz 99" descr="Aplikacja ViCare | Viessmann">
          <a:extLst>
            <a:ext uri="{FF2B5EF4-FFF2-40B4-BE49-F238E27FC236}">
              <a16:creationId xmlns:a16="http://schemas.microsoft.com/office/drawing/2014/main" id="{0D54545D-F689-4D9B-9E1C-79BCC883DC8A}"/>
            </a:ext>
          </a:extLst>
        </xdr:cNvPr>
        <xdr:cNvPicPr>
          <a:picLocks noChangeAspect="1" noChangeArrowheads="1"/>
        </xdr:cNvPicPr>
      </xdr:nvPicPr>
      <xdr:blipFill rotWithShape="1">
        <a:blip xmlns:r="http://schemas.openxmlformats.org/officeDocument/2006/relationships" r:embed="rId53" cstate="email">
          <a:extLst>
            <a:ext uri="{28A0092B-C50C-407E-A947-70E740481C1C}">
              <a14:useLocalDpi xmlns:a14="http://schemas.microsoft.com/office/drawing/2010/main"/>
            </a:ext>
          </a:extLst>
        </a:blip>
        <a:srcRect/>
        <a:stretch/>
      </xdr:blipFill>
      <xdr:spPr bwMode="auto">
        <a:xfrm>
          <a:off x="10565897" y="23452244"/>
          <a:ext cx="236128" cy="448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39</xdr:col>
      <xdr:colOff>23899</xdr:colOff>
      <xdr:row>158</xdr:row>
      <xdr:rowOff>122528</xdr:rowOff>
    </xdr:from>
    <xdr:to>
      <xdr:col>43</xdr:col>
      <xdr:colOff>20090</xdr:colOff>
      <xdr:row>159</xdr:row>
      <xdr:rowOff>175100</xdr:rowOff>
    </xdr:to>
    <xdr:pic>
      <xdr:nvPicPr>
        <xdr:cNvPr id="101" name="Obraz 100" descr="Aplikacja ViCare w App Store">
          <a:extLst>
            <a:ext uri="{FF2B5EF4-FFF2-40B4-BE49-F238E27FC236}">
              <a16:creationId xmlns:a16="http://schemas.microsoft.com/office/drawing/2014/main" id="{86BE6DA8-A672-47A5-8D87-366C5321E316}"/>
            </a:ext>
          </a:extLst>
        </xdr:cNvPr>
        <xdr:cNvPicPr>
          <a:picLocks noChangeAspect="1" noChangeArrowheads="1"/>
        </xdr:cNvPicPr>
      </xdr:nvPicPr>
      <xdr:blipFill rotWithShape="1">
        <a:blip xmlns:r="http://schemas.openxmlformats.org/officeDocument/2006/relationships" r:embed="rId54" cstate="email">
          <a:extLst>
            <a:ext uri="{28A0092B-C50C-407E-A947-70E740481C1C}">
              <a14:useLocalDpi xmlns:a14="http://schemas.microsoft.com/office/drawing/2010/main"/>
            </a:ext>
          </a:extLst>
        </a:blip>
        <a:srcRect l="32191" t="13856" r="32151" b="13748"/>
        <a:stretch/>
      </xdr:blipFill>
      <xdr:spPr bwMode="auto">
        <a:xfrm>
          <a:off x="10726189" y="23508308"/>
          <a:ext cx="253366" cy="2278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39</xdr:col>
      <xdr:colOff>69322</xdr:colOff>
      <xdr:row>152</xdr:row>
      <xdr:rowOff>118990</xdr:rowOff>
    </xdr:from>
    <xdr:to>
      <xdr:col>44</xdr:col>
      <xdr:colOff>618</xdr:colOff>
      <xdr:row>153</xdr:row>
      <xdr:rowOff>155999</xdr:rowOff>
    </xdr:to>
    <xdr:pic>
      <xdr:nvPicPr>
        <xdr:cNvPr id="105" name="Obraz 104" descr="Aplikacja ViCare w App Store">
          <a:extLst>
            <a:ext uri="{FF2B5EF4-FFF2-40B4-BE49-F238E27FC236}">
              <a16:creationId xmlns:a16="http://schemas.microsoft.com/office/drawing/2014/main" id="{9C2F56ED-B98B-4495-B2FD-B164A6DBA7B3}"/>
            </a:ext>
          </a:extLst>
        </xdr:cNvPr>
        <xdr:cNvPicPr>
          <a:picLocks noChangeAspect="1" noChangeArrowheads="1"/>
        </xdr:cNvPicPr>
      </xdr:nvPicPr>
      <xdr:blipFill rotWithShape="1">
        <a:blip xmlns:r="http://schemas.openxmlformats.org/officeDocument/2006/relationships" r:embed="rId55" cstate="email">
          <a:extLst>
            <a:ext uri="{28A0092B-C50C-407E-A947-70E740481C1C}">
              <a14:useLocalDpi xmlns:a14="http://schemas.microsoft.com/office/drawing/2010/main"/>
            </a:ext>
          </a:extLst>
        </a:blip>
        <a:srcRect l="32191" t="13856" r="32151" b="13748"/>
        <a:stretch/>
      </xdr:blipFill>
      <xdr:spPr bwMode="auto">
        <a:xfrm>
          <a:off x="10773517" y="22418920"/>
          <a:ext cx="228476" cy="2160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574243</xdr:colOff>
      <xdr:row>157</xdr:row>
      <xdr:rowOff>52559</xdr:rowOff>
    </xdr:from>
    <xdr:to>
      <xdr:col>38</xdr:col>
      <xdr:colOff>135310</xdr:colOff>
      <xdr:row>158</xdr:row>
      <xdr:rowOff>132025</xdr:rowOff>
    </xdr:to>
    <xdr:pic>
      <xdr:nvPicPr>
        <xdr:cNvPr id="106" name="Obraz 105">
          <a:extLst>
            <a:ext uri="{FF2B5EF4-FFF2-40B4-BE49-F238E27FC236}">
              <a16:creationId xmlns:a16="http://schemas.microsoft.com/office/drawing/2014/main" id="{48360E61-5583-4C24-A60B-6E4031BC2411}"/>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9946843" y="23259269"/>
          <a:ext cx="224007" cy="260441"/>
        </a:xfrm>
        <a:prstGeom prst="rect">
          <a:avLst/>
        </a:prstGeom>
      </xdr:spPr>
    </xdr:pic>
    <xdr:clientData/>
  </xdr:twoCellAnchor>
  <xdr:twoCellAnchor editAs="oneCell">
    <xdr:from>
      <xdr:col>38</xdr:col>
      <xdr:colOff>97074</xdr:colOff>
      <xdr:row>157</xdr:row>
      <xdr:rowOff>48616</xdr:rowOff>
    </xdr:from>
    <xdr:to>
      <xdr:col>38</xdr:col>
      <xdr:colOff>362141</xdr:colOff>
      <xdr:row>158</xdr:row>
      <xdr:rowOff>131074</xdr:rowOff>
    </xdr:to>
    <xdr:pic>
      <xdr:nvPicPr>
        <xdr:cNvPr id="108" name="Grafika 107" descr="Bezprzewodowe kontur">
          <a:extLst>
            <a:ext uri="{FF2B5EF4-FFF2-40B4-BE49-F238E27FC236}">
              <a16:creationId xmlns:a16="http://schemas.microsoft.com/office/drawing/2014/main" id="{EA618AE1-DEF4-4DFC-8543-98194D53243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 uri="{96DAC541-7B7A-43D3-8B79-37D633B846F1}">
              <asvg:svgBlip xmlns:asvg="http://schemas.microsoft.com/office/drawing/2016/SVG/main" r:embed="rId58"/>
            </a:ext>
          </a:extLst>
        </a:blip>
        <a:stretch>
          <a:fillRect/>
        </a:stretch>
      </xdr:blipFill>
      <xdr:spPr>
        <a:xfrm rot="8188822">
          <a:off x="10132614" y="23253421"/>
          <a:ext cx="265067" cy="265338"/>
        </a:xfrm>
        <a:prstGeom prst="rect">
          <a:avLst/>
        </a:prstGeom>
      </xdr:spPr>
    </xdr:pic>
    <xdr:clientData/>
  </xdr:twoCellAnchor>
  <xdr:twoCellAnchor editAs="oneCell">
    <xdr:from>
      <xdr:col>36</xdr:col>
      <xdr:colOff>290140</xdr:colOff>
      <xdr:row>152</xdr:row>
      <xdr:rowOff>2546</xdr:rowOff>
    </xdr:from>
    <xdr:to>
      <xdr:col>36</xdr:col>
      <xdr:colOff>626496</xdr:colOff>
      <xdr:row>154</xdr:row>
      <xdr:rowOff>113232</xdr:rowOff>
    </xdr:to>
    <xdr:pic>
      <xdr:nvPicPr>
        <xdr:cNvPr id="113" name="Obraz 112">
          <a:extLst>
            <a:ext uri="{FF2B5EF4-FFF2-40B4-BE49-F238E27FC236}">
              <a16:creationId xmlns:a16="http://schemas.microsoft.com/office/drawing/2014/main" id="{258C67AB-F01B-4D5F-BD26-C0214E3CE559}"/>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8992180" y="22300571"/>
          <a:ext cx="343976" cy="472636"/>
        </a:xfrm>
        <a:prstGeom prst="rect">
          <a:avLst/>
        </a:prstGeom>
      </xdr:spPr>
    </xdr:pic>
    <xdr:clientData/>
  </xdr:twoCellAnchor>
  <xdr:twoCellAnchor editAs="oneCell">
    <xdr:from>
      <xdr:col>37</xdr:col>
      <xdr:colOff>18113</xdr:colOff>
      <xdr:row>151</xdr:row>
      <xdr:rowOff>127624</xdr:rowOff>
    </xdr:from>
    <xdr:to>
      <xdr:col>37</xdr:col>
      <xdr:colOff>245079</xdr:colOff>
      <xdr:row>152</xdr:row>
      <xdr:rowOff>168495</xdr:rowOff>
    </xdr:to>
    <xdr:pic>
      <xdr:nvPicPr>
        <xdr:cNvPr id="114" name="Grafika 113" descr="Bezprzewodowe kontur">
          <a:extLst>
            <a:ext uri="{FF2B5EF4-FFF2-40B4-BE49-F238E27FC236}">
              <a16:creationId xmlns:a16="http://schemas.microsoft.com/office/drawing/2014/main" id="{248ABCA0-D2E2-4E7B-9B6E-909293965A7F}"/>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 uri="{96DAC541-7B7A-43D3-8B79-37D633B846F1}">
              <asvg:svgBlip xmlns:asvg="http://schemas.microsoft.com/office/drawing/2016/SVG/main" r:embed="rId58"/>
            </a:ext>
          </a:extLst>
        </a:blip>
        <a:stretch>
          <a:fillRect/>
        </a:stretch>
      </xdr:blipFill>
      <xdr:spPr>
        <a:xfrm rot="8188822">
          <a:off x="9394523" y="22248484"/>
          <a:ext cx="226966" cy="221846"/>
        </a:xfrm>
        <a:prstGeom prst="rect">
          <a:avLst/>
        </a:prstGeom>
      </xdr:spPr>
    </xdr:pic>
    <xdr:clientData/>
  </xdr:twoCellAnchor>
  <xdr:twoCellAnchor editAs="oneCell">
    <xdr:from>
      <xdr:col>33</xdr:col>
      <xdr:colOff>164765</xdr:colOff>
      <xdr:row>151</xdr:row>
      <xdr:rowOff>36853</xdr:rowOff>
    </xdr:from>
    <xdr:to>
      <xdr:col>33</xdr:col>
      <xdr:colOff>477333</xdr:colOff>
      <xdr:row>153</xdr:row>
      <xdr:rowOff>174169</xdr:rowOff>
    </xdr:to>
    <xdr:pic>
      <xdr:nvPicPr>
        <xdr:cNvPr id="115" name="Obraz 114">
          <a:extLst>
            <a:ext uri="{FF2B5EF4-FFF2-40B4-BE49-F238E27FC236}">
              <a16:creationId xmlns:a16="http://schemas.microsoft.com/office/drawing/2014/main" id="{6C3D97DB-3E0D-444B-BC75-5B6523D9E1A9}"/>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6893225" y="22153903"/>
          <a:ext cx="304948" cy="495456"/>
        </a:xfrm>
        <a:prstGeom prst="rect">
          <a:avLst/>
        </a:prstGeom>
      </xdr:spPr>
    </xdr:pic>
    <xdr:clientData/>
  </xdr:twoCellAnchor>
  <xdr:twoCellAnchor editAs="oneCell">
    <xdr:from>
      <xdr:col>33</xdr:col>
      <xdr:colOff>138980</xdr:colOff>
      <xdr:row>154</xdr:row>
      <xdr:rowOff>19018</xdr:rowOff>
    </xdr:from>
    <xdr:to>
      <xdr:col>33</xdr:col>
      <xdr:colOff>479610</xdr:colOff>
      <xdr:row>156</xdr:row>
      <xdr:rowOff>59329</xdr:rowOff>
    </xdr:to>
    <xdr:pic>
      <xdr:nvPicPr>
        <xdr:cNvPr id="116" name="Obraz 115">
          <a:extLst>
            <a:ext uri="{FF2B5EF4-FFF2-40B4-BE49-F238E27FC236}">
              <a16:creationId xmlns:a16="http://schemas.microsoft.com/office/drawing/2014/main" id="{2E48AC74-665F-4F13-A8B7-4252420B0E5B}"/>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6859820" y="22682803"/>
          <a:ext cx="340630" cy="394641"/>
        </a:xfrm>
        <a:prstGeom prst="rect">
          <a:avLst/>
        </a:prstGeom>
      </xdr:spPr>
    </xdr:pic>
    <xdr:clientData/>
  </xdr:twoCellAnchor>
  <xdr:twoCellAnchor>
    <xdr:from>
      <xdr:col>33</xdr:col>
      <xdr:colOff>550001</xdr:colOff>
      <xdr:row>152</xdr:row>
      <xdr:rowOff>136071</xdr:rowOff>
    </xdr:from>
    <xdr:to>
      <xdr:col>36</xdr:col>
      <xdr:colOff>242454</xdr:colOff>
      <xdr:row>152</xdr:row>
      <xdr:rowOff>136071</xdr:rowOff>
    </xdr:to>
    <xdr:cxnSp macro="">
      <xdr:nvCxnSpPr>
        <xdr:cNvPr id="117" name="Łącznik prosty 116">
          <a:extLst>
            <a:ext uri="{FF2B5EF4-FFF2-40B4-BE49-F238E27FC236}">
              <a16:creationId xmlns:a16="http://schemas.microsoft.com/office/drawing/2014/main" id="{B1EA3F15-2F4B-4F64-A632-46EDFAD14FB0}"/>
            </a:ext>
          </a:extLst>
        </xdr:cNvPr>
        <xdr:cNvCxnSpPr/>
      </xdr:nvCxnSpPr>
      <xdr:spPr>
        <a:xfrm>
          <a:off x="7278461" y="22430286"/>
          <a:ext cx="1673653" cy="0"/>
        </a:xfrm>
        <a:prstGeom prst="line">
          <a:avLst/>
        </a:prstGeom>
        <a:ln>
          <a:solidFill>
            <a:srgbClr val="EF4423"/>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492673</xdr:colOff>
      <xdr:row>154</xdr:row>
      <xdr:rowOff>172944</xdr:rowOff>
    </xdr:from>
    <xdr:to>
      <xdr:col>34</xdr:col>
      <xdr:colOff>472966</xdr:colOff>
      <xdr:row>154</xdr:row>
      <xdr:rowOff>172944</xdr:rowOff>
    </xdr:to>
    <xdr:cxnSp macro="">
      <xdr:nvCxnSpPr>
        <xdr:cNvPr id="118" name="Łącznik prosty 117">
          <a:extLst>
            <a:ext uri="{FF2B5EF4-FFF2-40B4-BE49-F238E27FC236}">
              <a16:creationId xmlns:a16="http://schemas.microsoft.com/office/drawing/2014/main" id="{6A142DD2-C433-4AFB-88E2-0EF0705C50B9}"/>
            </a:ext>
          </a:extLst>
        </xdr:cNvPr>
        <xdr:cNvCxnSpPr/>
      </xdr:nvCxnSpPr>
      <xdr:spPr>
        <a:xfrm>
          <a:off x="7217323" y="22829109"/>
          <a:ext cx="746103" cy="0"/>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34</xdr:col>
      <xdr:colOff>475177</xdr:colOff>
      <xdr:row>152</xdr:row>
      <xdr:rowOff>3314</xdr:rowOff>
    </xdr:from>
    <xdr:to>
      <xdr:col>35</xdr:col>
      <xdr:colOff>327259</xdr:colOff>
      <xdr:row>155</xdr:row>
      <xdr:rowOff>168157</xdr:rowOff>
    </xdr:to>
    <xdr:pic>
      <xdr:nvPicPr>
        <xdr:cNvPr id="119" name="Obraz 118">
          <a:extLst>
            <a:ext uri="{FF2B5EF4-FFF2-40B4-BE49-F238E27FC236}">
              <a16:creationId xmlns:a16="http://schemas.microsoft.com/office/drawing/2014/main" id="{37F375F9-1E29-4A10-A9E8-5F407EC6143E}"/>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7965637" y="22301339"/>
          <a:ext cx="454062" cy="711578"/>
        </a:xfrm>
        <a:prstGeom prst="rect">
          <a:avLst/>
        </a:prstGeom>
        <a:effectLst>
          <a:outerShdw blurRad="63500" sx="102000" sy="102000" algn="ctr" rotWithShape="0">
            <a:prstClr val="black">
              <a:alpha val="40000"/>
            </a:prstClr>
          </a:outerShdw>
        </a:effectLst>
      </xdr:spPr>
    </xdr:pic>
    <xdr:clientData/>
  </xdr:twoCellAnchor>
  <xdr:twoCellAnchor editAs="oneCell">
    <xdr:from>
      <xdr:col>35</xdr:col>
      <xdr:colOff>309217</xdr:colOff>
      <xdr:row>151</xdr:row>
      <xdr:rowOff>68774</xdr:rowOff>
    </xdr:from>
    <xdr:to>
      <xdr:col>35</xdr:col>
      <xdr:colOff>555564</xdr:colOff>
      <xdr:row>152</xdr:row>
      <xdr:rowOff>98592</xdr:rowOff>
    </xdr:to>
    <xdr:pic>
      <xdr:nvPicPr>
        <xdr:cNvPr id="120" name="Grafika 119" descr="Bezprzewodowe kontur">
          <a:extLst>
            <a:ext uri="{FF2B5EF4-FFF2-40B4-BE49-F238E27FC236}">
              <a16:creationId xmlns:a16="http://schemas.microsoft.com/office/drawing/2014/main" id="{8890813C-1B01-457A-9AA4-057AC8958F6E}"/>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 uri="{96DAC541-7B7A-43D3-8B79-37D633B846F1}">
              <asvg:svgBlip xmlns:asvg="http://schemas.microsoft.com/office/drawing/2016/SVG/main" r:embed="rId58"/>
            </a:ext>
          </a:extLst>
        </a:blip>
        <a:stretch>
          <a:fillRect/>
        </a:stretch>
      </xdr:blipFill>
      <xdr:spPr>
        <a:xfrm rot="8188822">
          <a:off x="8407372" y="22183919"/>
          <a:ext cx="240632" cy="208888"/>
        </a:xfrm>
        <a:prstGeom prst="rect">
          <a:avLst/>
        </a:prstGeom>
      </xdr:spPr>
    </xdr:pic>
    <xdr:clientData/>
  </xdr:twoCellAnchor>
  <xdr:twoCellAnchor>
    <xdr:from>
      <xdr:col>35</xdr:col>
      <xdr:colOff>331434</xdr:colOff>
      <xdr:row>153</xdr:row>
      <xdr:rowOff>136928</xdr:rowOff>
    </xdr:from>
    <xdr:to>
      <xdr:col>36</xdr:col>
      <xdr:colOff>244359</xdr:colOff>
      <xdr:row>153</xdr:row>
      <xdr:rowOff>136928</xdr:rowOff>
    </xdr:to>
    <xdr:cxnSp macro="">
      <xdr:nvCxnSpPr>
        <xdr:cNvPr id="121" name="Łącznik prosty 120">
          <a:extLst>
            <a:ext uri="{FF2B5EF4-FFF2-40B4-BE49-F238E27FC236}">
              <a16:creationId xmlns:a16="http://schemas.microsoft.com/office/drawing/2014/main" id="{94CD3E8C-2B98-4113-80C8-983854460C80}"/>
            </a:ext>
          </a:extLst>
        </xdr:cNvPr>
        <xdr:cNvCxnSpPr/>
      </xdr:nvCxnSpPr>
      <xdr:spPr>
        <a:xfrm>
          <a:off x="8423874" y="22612118"/>
          <a:ext cx="530145" cy="0"/>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216915</xdr:colOff>
      <xdr:row>161</xdr:row>
      <xdr:rowOff>17191</xdr:rowOff>
    </xdr:from>
    <xdr:to>
      <xdr:col>37</xdr:col>
      <xdr:colOff>534578</xdr:colOff>
      <xdr:row>161</xdr:row>
      <xdr:rowOff>17191</xdr:rowOff>
    </xdr:to>
    <xdr:cxnSp macro="">
      <xdr:nvCxnSpPr>
        <xdr:cNvPr id="122" name="Łącznik prosty 121">
          <a:extLst>
            <a:ext uri="{FF2B5EF4-FFF2-40B4-BE49-F238E27FC236}">
              <a16:creationId xmlns:a16="http://schemas.microsoft.com/office/drawing/2014/main" id="{04A39961-5C7F-42B6-A326-F642E90DB6C5}"/>
            </a:ext>
          </a:extLst>
        </xdr:cNvPr>
        <xdr:cNvCxnSpPr/>
      </xdr:nvCxnSpPr>
      <xdr:spPr>
        <a:xfrm>
          <a:off x="8309355" y="23947801"/>
          <a:ext cx="1597823" cy="0"/>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38</xdr:col>
      <xdr:colOff>224155</xdr:colOff>
      <xdr:row>160</xdr:row>
      <xdr:rowOff>45858</xdr:rowOff>
    </xdr:from>
    <xdr:to>
      <xdr:col>38</xdr:col>
      <xdr:colOff>441927</xdr:colOff>
      <xdr:row>161</xdr:row>
      <xdr:rowOff>60436</xdr:rowOff>
    </xdr:to>
    <xdr:pic>
      <xdr:nvPicPr>
        <xdr:cNvPr id="123" name="Grafika 122" descr="Bezprzewodowe kontur">
          <a:extLst>
            <a:ext uri="{FF2B5EF4-FFF2-40B4-BE49-F238E27FC236}">
              <a16:creationId xmlns:a16="http://schemas.microsoft.com/office/drawing/2014/main" id="{5EFB08BC-DFA8-49EC-85E8-C5575FC42441}"/>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 uri="{96DAC541-7B7A-43D3-8B79-37D633B846F1}">
              <asvg:svgBlip xmlns:asvg="http://schemas.microsoft.com/office/drawing/2016/SVG/main" r:embed="rId58"/>
            </a:ext>
          </a:extLst>
        </a:blip>
        <a:stretch>
          <a:fillRect/>
        </a:stretch>
      </xdr:blipFill>
      <xdr:spPr>
        <a:xfrm rot="8188822">
          <a:off x="10261600" y="23793588"/>
          <a:ext cx="215867" cy="189838"/>
        </a:xfrm>
        <a:prstGeom prst="rect">
          <a:avLst/>
        </a:prstGeom>
      </xdr:spPr>
    </xdr:pic>
    <xdr:clientData/>
  </xdr:twoCellAnchor>
  <xdr:twoCellAnchor editAs="oneCell">
    <xdr:from>
      <xdr:col>37</xdr:col>
      <xdr:colOff>498525</xdr:colOff>
      <xdr:row>160</xdr:row>
      <xdr:rowOff>92510</xdr:rowOff>
    </xdr:from>
    <xdr:to>
      <xdr:col>38</xdr:col>
      <xdr:colOff>211602</xdr:colOff>
      <xdr:row>162</xdr:row>
      <xdr:rowOff>96715</xdr:rowOff>
    </xdr:to>
    <xdr:pic>
      <xdr:nvPicPr>
        <xdr:cNvPr id="124" name="Obraz 123">
          <a:extLst>
            <a:ext uri="{FF2B5EF4-FFF2-40B4-BE49-F238E27FC236}">
              <a16:creationId xmlns:a16="http://schemas.microsoft.com/office/drawing/2014/main" id="{E501EB5A-B4F2-42BF-BA2E-B2F5B9307EEB}"/>
            </a:ext>
          </a:extLst>
        </xdr:cNvPr>
        <xdr:cNvPicPr>
          <a:picLocks noChangeAspect="1"/>
        </xdr:cNvPicPr>
      </xdr:nvPicPr>
      <xdr:blipFill>
        <a:blip xmlns:r="http://schemas.openxmlformats.org/officeDocument/2006/relationships" r:embed="rId63"/>
        <a:stretch>
          <a:fillRect/>
        </a:stretch>
      </xdr:blipFill>
      <xdr:spPr>
        <a:xfrm>
          <a:off x="9871125" y="23842145"/>
          <a:ext cx="376017" cy="358535"/>
        </a:xfrm>
        <a:prstGeom prst="rect">
          <a:avLst/>
        </a:prstGeom>
      </xdr:spPr>
    </xdr:pic>
    <xdr:clientData/>
  </xdr:twoCellAnchor>
  <xdr:twoCellAnchor>
    <xdr:from>
      <xdr:col>33</xdr:col>
      <xdr:colOff>445544</xdr:colOff>
      <xdr:row>160</xdr:row>
      <xdr:rowOff>76939</xdr:rowOff>
    </xdr:from>
    <xdr:to>
      <xdr:col>34</xdr:col>
      <xdr:colOff>392466</xdr:colOff>
      <xdr:row>160</xdr:row>
      <xdr:rowOff>76939</xdr:rowOff>
    </xdr:to>
    <xdr:cxnSp macro="">
      <xdr:nvCxnSpPr>
        <xdr:cNvPr id="125" name="Łącznik prosty 124">
          <a:extLst>
            <a:ext uri="{FF2B5EF4-FFF2-40B4-BE49-F238E27FC236}">
              <a16:creationId xmlns:a16="http://schemas.microsoft.com/office/drawing/2014/main" id="{A08213E0-6C85-4938-97BF-92D1A292DBB0}"/>
            </a:ext>
          </a:extLst>
        </xdr:cNvPr>
        <xdr:cNvCxnSpPr/>
      </xdr:nvCxnSpPr>
      <xdr:spPr>
        <a:xfrm>
          <a:off x="7166384" y="23822764"/>
          <a:ext cx="716542" cy="0"/>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33</xdr:col>
      <xdr:colOff>16558</xdr:colOff>
      <xdr:row>159</xdr:row>
      <xdr:rowOff>95251</xdr:rowOff>
    </xdr:from>
    <xdr:to>
      <xdr:col>33</xdr:col>
      <xdr:colOff>440202</xdr:colOff>
      <xdr:row>161</xdr:row>
      <xdr:rowOff>57100</xdr:rowOff>
    </xdr:to>
    <xdr:pic>
      <xdr:nvPicPr>
        <xdr:cNvPr id="126" name="Obraz 125">
          <a:extLst>
            <a:ext uri="{FF2B5EF4-FFF2-40B4-BE49-F238E27FC236}">
              <a16:creationId xmlns:a16="http://schemas.microsoft.com/office/drawing/2014/main" id="{C09F5BA0-166B-4EB0-91A6-77D552E59EAC}"/>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6745018" y="23656291"/>
          <a:ext cx="416024" cy="331419"/>
        </a:xfrm>
        <a:prstGeom prst="rect">
          <a:avLst/>
        </a:prstGeom>
        <a:effectLst/>
      </xdr:spPr>
    </xdr:pic>
    <xdr:clientData/>
  </xdr:twoCellAnchor>
  <xdr:twoCellAnchor editAs="oneCell">
    <xdr:from>
      <xdr:col>34</xdr:col>
      <xdr:colOff>247650</xdr:colOff>
      <xdr:row>158</xdr:row>
      <xdr:rowOff>85725</xdr:rowOff>
    </xdr:from>
    <xdr:to>
      <xdr:col>35</xdr:col>
      <xdr:colOff>285750</xdr:colOff>
      <xdr:row>161</xdr:row>
      <xdr:rowOff>136727</xdr:rowOff>
    </xdr:to>
    <xdr:pic>
      <xdr:nvPicPr>
        <xdr:cNvPr id="127" name="Obraz 126">
          <a:extLst>
            <a:ext uri="{FF2B5EF4-FFF2-40B4-BE49-F238E27FC236}">
              <a16:creationId xmlns:a16="http://schemas.microsoft.com/office/drawing/2014/main" id="{C33207C3-A359-46EA-A82D-4D150EB23344}"/>
            </a:ext>
          </a:extLst>
        </xdr:cNvPr>
        <xdr:cNvPicPr>
          <a:picLocks noChangeAspect="1"/>
        </xdr:cNvPicPr>
      </xdr:nvPicPr>
      <xdr:blipFill>
        <a:blip xmlns:r="http://schemas.openxmlformats.org/officeDocument/2006/relationships" r:embed="rId65"/>
        <a:stretch>
          <a:fillRect/>
        </a:stretch>
      </xdr:blipFill>
      <xdr:spPr>
        <a:xfrm>
          <a:off x="7730490" y="23471505"/>
          <a:ext cx="647700" cy="588212"/>
        </a:xfrm>
        <a:prstGeom prst="rect">
          <a:avLst/>
        </a:prstGeom>
        <a:effectLst>
          <a:outerShdw blurRad="63500" sx="102000" sy="102000" algn="ctr" rotWithShape="0">
            <a:prstClr val="black">
              <a:alpha val="40000"/>
            </a:prstClr>
          </a:outerShdw>
        </a:effectLst>
      </xdr:spPr>
    </xdr:pic>
    <xdr:clientData/>
  </xdr:twoCellAnchor>
  <xdr:twoCellAnchor editAs="oneCell">
    <xdr:from>
      <xdr:col>33</xdr:col>
      <xdr:colOff>205154</xdr:colOff>
      <xdr:row>157</xdr:row>
      <xdr:rowOff>161192</xdr:rowOff>
    </xdr:from>
    <xdr:to>
      <xdr:col>33</xdr:col>
      <xdr:colOff>398061</xdr:colOff>
      <xdr:row>159</xdr:row>
      <xdr:rowOff>3406</xdr:rowOff>
    </xdr:to>
    <xdr:pic>
      <xdr:nvPicPr>
        <xdr:cNvPr id="128" name="Obraz 127">
          <a:extLst>
            <a:ext uri="{FF2B5EF4-FFF2-40B4-BE49-F238E27FC236}">
              <a16:creationId xmlns:a16="http://schemas.microsoft.com/office/drawing/2014/main" id="{A34313E3-3A37-471F-9314-80F053E1C870}"/>
            </a:ext>
          </a:extLst>
        </xdr:cNvPr>
        <xdr:cNvPicPr>
          <a:picLocks noChangeAspect="1"/>
        </xdr:cNvPicPr>
      </xdr:nvPicPr>
      <xdr:blipFill>
        <a:blip xmlns:r="http://schemas.openxmlformats.org/officeDocument/2006/relationships" r:embed="rId66" cstate="email">
          <a:extLst>
            <a:ext uri="{BEBA8EAE-BF5A-486C-A8C5-ECC9F3942E4B}">
              <a14:imgProps xmlns:a14="http://schemas.microsoft.com/office/drawing/2010/main">
                <a14:imgLayer r:embed="rId67">
                  <a14:imgEffect>
                    <a14:saturation sat="0"/>
                  </a14:imgEffect>
                </a14:imgLayer>
              </a14:imgProps>
            </a:ext>
            <a:ext uri="{28A0092B-C50C-407E-A947-70E740481C1C}">
              <a14:useLocalDpi xmlns:a14="http://schemas.microsoft.com/office/drawing/2010/main"/>
            </a:ext>
          </a:extLst>
        </a:blip>
        <a:stretch>
          <a:fillRect/>
        </a:stretch>
      </xdr:blipFill>
      <xdr:spPr>
        <a:xfrm>
          <a:off x="6933614" y="23365997"/>
          <a:ext cx="192907" cy="202259"/>
        </a:xfrm>
        <a:prstGeom prst="rect">
          <a:avLst/>
        </a:prstGeom>
      </xdr:spPr>
    </xdr:pic>
    <xdr:clientData/>
  </xdr:twoCellAnchor>
  <xdr:twoCellAnchor editAs="oneCell">
    <xdr:from>
      <xdr:col>12</xdr:col>
      <xdr:colOff>9927</xdr:colOff>
      <xdr:row>177</xdr:row>
      <xdr:rowOff>9525</xdr:rowOff>
    </xdr:from>
    <xdr:to>
      <xdr:col>22</xdr:col>
      <xdr:colOff>491491</xdr:colOff>
      <xdr:row>180</xdr:row>
      <xdr:rowOff>133350</xdr:rowOff>
    </xdr:to>
    <xdr:pic>
      <xdr:nvPicPr>
        <xdr:cNvPr id="12" name="Obraz 11">
          <a:extLst>
            <a:ext uri="{FF2B5EF4-FFF2-40B4-BE49-F238E27FC236}">
              <a16:creationId xmlns:a16="http://schemas.microsoft.com/office/drawing/2014/main" id="{983D41E2-81DE-456B-9186-ADFC01A8BE36}"/>
            </a:ext>
          </a:extLst>
        </xdr:cNvPr>
        <xdr:cNvPicPr>
          <a:picLocks noChangeAspect="1"/>
        </xdr:cNvPicPr>
      </xdr:nvPicPr>
      <xdr:blipFill>
        <a:blip xmlns:r="http://schemas.openxmlformats.org/officeDocument/2006/relationships" r:embed="rId68"/>
        <a:stretch>
          <a:fillRect/>
        </a:stretch>
      </xdr:blipFill>
      <xdr:spPr>
        <a:xfrm>
          <a:off x="667152" y="26593800"/>
          <a:ext cx="862564" cy="634365"/>
        </a:xfrm>
        <a:prstGeom prst="rect">
          <a:avLst/>
        </a:prstGeom>
      </xdr:spPr>
    </xdr:pic>
    <xdr:clientData/>
  </xdr:twoCellAnchor>
  <xdr:twoCellAnchor editAs="oneCell">
    <xdr:from>
      <xdr:col>18</xdr:col>
      <xdr:colOff>11430</xdr:colOff>
      <xdr:row>181</xdr:row>
      <xdr:rowOff>76201</xdr:rowOff>
    </xdr:from>
    <xdr:to>
      <xdr:col>22</xdr:col>
      <xdr:colOff>438150</xdr:colOff>
      <xdr:row>183</xdr:row>
      <xdr:rowOff>135215</xdr:rowOff>
    </xdr:to>
    <xdr:pic>
      <xdr:nvPicPr>
        <xdr:cNvPr id="33" name="Obraz 32">
          <a:extLst>
            <a:ext uri="{FF2B5EF4-FFF2-40B4-BE49-F238E27FC236}">
              <a16:creationId xmlns:a16="http://schemas.microsoft.com/office/drawing/2014/main" id="{F51A7EF6-80DA-4148-A88D-B2C8CEAAB30C}"/>
            </a:ext>
          </a:extLst>
        </xdr:cNvPr>
        <xdr:cNvPicPr>
          <a:picLocks noChangeAspect="1"/>
        </xdr:cNvPicPr>
      </xdr:nvPicPr>
      <xdr:blipFill>
        <a:blip xmlns:r="http://schemas.openxmlformats.org/officeDocument/2006/relationships" r:embed="rId69"/>
        <a:stretch>
          <a:fillRect/>
        </a:stretch>
      </xdr:blipFill>
      <xdr:spPr>
        <a:xfrm>
          <a:off x="897255" y="27355801"/>
          <a:ext cx="569595" cy="392389"/>
        </a:xfrm>
        <a:prstGeom prst="rect">
          <a:avLst/>
        </a:prstGeom>
      </xdr:spPr>
    </xdr:pic>
    <xdr:clientData/>
  </xdr:twoCellAnchor>
  <xdr:twoCellAnchor editAs="oneCell">
    <xdr:from>
      <xdr:col>11</xdr:col>
      <xdr:colOff>19050</xdr:colOff>
      <xdr:row>187</xdr:row>
      <xdr:rowOff>26670</xdr:rowOff>
    </xdr:from>
    <xdr:to>
      <xdr:col>22</xdr:col>
      <xdr:colOff>477754</xdr:colOff>
      <xdr:row>190</xdr:row>
      <xdr:rowOff>129540</xdr:rowOff>
    </xdr:to>
    <xdr:pic>
      <xdr:nvPicPr>
        <xdr:cNvPr id="34" name="Obraz 33">
          <a:extLst>
            <a:ext uri="{FF2B5EF4-FFF2-40B4-BE49-F238E27FC236}">
              <a16:creationId xmlns:a16="http://schemas.microsoft.com/office/drawing/2014/main" id="{4BA77538-CFBE-41E8-BC37-66ACA3B97082}"/>
            </a:ext>
          </a:extLst>
        </xdr:cNvPr>
        <xdr:cNvPicPr>
          <a:picLocks noChangeAspect="1"/>
        </xdr:cNvPicPr>
      </xdr:nvPicPr>
      <xdr:blipFill>
        <a:blip xmlns:r="http://schemas.openxmlformats.org/officeDocument/2006/relationships" r:embed="rId68"/>
        <a:stretch>
          <a:fillRect/>
        </a:stretch>
      </xdr:blipFill>
      <xdr:spPr>
        <a:xfrm>
          <a:off x="638175" y="28334970"/>
          <a:ext cx="864469" cy="621030"/>
        </a:xfrm>
        <a:prstGeom prst="rect">
          <a:avLst/>
        </a:prstGeom>
      </xdr:spPr>
    </xdr:pic>
    <xdr:clientData/>
  </xdr:twoCellAnchor>
  <xdr:twoCellAnchor editAs="oneCell">
    <xdr:from>
      <xdr:col>17</xdr:col>
      <xdr:colOff>11430</xdr:colOff>
      <xdr:row>191</xdr:row>
      <xdr:rowOff>106681</xdr:rowOff>
    </xdr:from>
    <xdr:to>
      <xdr:col>22</xdr:col>
      <xdr:colOff>400050</xdr:colOff>
      <xdr:row>193</xdr:row>
      <xdr:rowOff>133310</xdr:rowOff>
    </xdr:to>
    <xdr:pic>
      <xdr:nvPicPr>
        <xdr:cNvPr id="35" name="Obraz 34">
          <a:extLst>
            <a:ext uri="{FF2B5EF4-FFF2-40B4-BE49-F238E27FC236}">
              <a16:creationId xmlns:a16="http://schemas.microsoft.com/office/drawing/2014/main" id="{E0E9837A-DD53-4D49-9C0A-CE7A54A20390}"/>
            </a:ext>
          </a:extLst>
        </xdr:cNvPr>
        <xdr:cNvPicPr>
          <a:picLocks noChangeAspect="1"/>
        </xdr:cNvPicPr>
      </xdr:nvPicPr>
      <xdr:blipFill>
        <a:blip xmlns:r="http://schemas.openxmlformats.org/officeDocument/2006/relationships" r:embed="rId69"/>
        <a:stretch>
          <a:fillRect/>
        </a:stretch>
      </xdr:blipFill>
      <xdr:spPr>
        <a:xfrm>
          <a:off x="859155" y="29100781"/>
          <a:ext cx="565785" cy="379054"/>
        </a:xfrm>
        <a:prstGeom prst="rect">
          <a:avLst/>
        </a:prstGeom>
      </xdr:spPr>
    </xdr:pic>
    <xdr:clientData/>
  </xdr:twoCellAnchor>
  <xdr:twoCellAnchor editAs="oneCell">
    <xdr:from>
      <xdr:col>5</xdr:col>
      <xdr:colOff>19812</xdr:colOff>
      <xdr:row>171</xdr:row>
      <xdr:rowOff>26046</xdr:rowOff>
    </xdr:from>
    <xdr:to>
      <xdr:col>22</xdr:col>
      <xdr:colOff>438707</xdr:colOff>
      <xdr:row>173</xdr:row>
      <xdr:rowOff>148591</xdr:rowOff>
    </xdr:to>
    <xdr:pic>
      <xdr:nvPicPr>
        <xdr:cNvPr id="38" name="Obraz 37">
          <a:extLst>
            <a:ext uri="{FF2B5EF4-FFF2-40B4-BE49-F238E27FC236}">
              <a16:creationId xmlns:a16="http://schemas.microsoft.com/office/drawing/2014/main" id="{E3081E00-CCB9-62D5-5D6B-14163D33591F}"/>
            </a:ext>
          </a:extLst>
        </xdr:cNvPr>
        <xdr:cNvPicPr>
          <a:picLocks noChangeAspect="1"/>
        </xdr:cNvPicPr>
      </xdr:nvPicPr>
      <xdr:blipFill>
        <a:blip xmlns:r="http://schemas.openxmlformats.org/officeDocument/2006/relationships" r:embed="rId70"/>
        <a:stretch>
          <a:fillRect/>
        </a:stretch>
      </xdr:blipFill>
      <xdr:spPr>
        <a:xfrm>
          <a:off x="410337" y="25572096"/>
          <a:ext cx="1053260" cy="46544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202203</xdr:colOff>
      <xdr:row>39</xdr:row>
      <xdr:rowOff>9797</xdr:rowOff>
    </xdr:from>
    <xdr:to>
      <xdr:col>8</xdr:col>
      <xdr:colOff>1804</xdr:colOff>
      <xdr:row>70</xdr:row>
      <xdr:rowOff>54775</xdr:rowOff>
    </xdr:to>
    <xdr:pic>
      <xdr:nvPicPr>
        <xdr:cNvPr id="22" name="Obraz 21">
          <a:extLst>
            <a:ext uri="{FF2B5EF4-FFF2-40B4-BE49-F238E27FC236}">
              <a16:creationId xmlns:a16="http://schemas.microsoft.com/office/drawing/2014/main" id="{00000000-0008-0000-0200-000016000000}"/>
            </a:ext>
          </a:extLst>
        </xdr:cNvPr>
        <xdr:cNvPicPr>
          <a:picLocks noChangeAspect="1"/>
        </xdr:cNvPicPr>
      </xdr:nvPicPr>
      <xdr:blipFill rotWithShape="1">
        <a:blip xmlns:r="http://schemas.openxmlformats.org/officeDocument/2006/relationships" r:embed="rId1" cstate="email">
          <a:extLst>
            <a:ext uri="{BEBA8EAE-BF5A-486C-A8C5-ECC9F3942E4B}">
              <a14:imgProps xmlns:a14="http://schemas.microsoft.com/office/drawing/2010/main">
                <a14:imgLayer r:embed="rId2">
                  <a14:imgEffect>
                    <a14:brightnessContrast contrast="-40000"/>
                  </a14:imgEffect>
                </a14:imgLayer>
              </a14:imgProps>
            </a:ext>
            <a:ext uri="{28A0092B-C50C-407E-A947-70E740481C1C}">
              <a14:useLocalDpi xmlns:a14="http://schemas.microsoft.com/office/drawing/2010/main"/>
            </a:ext>
          </a:extLst>
        </a:blip>
        <a:srcRect/>
        <a:stretch/>
      </xdr:blipFill>
      <xdr:spPr>
        <a:xfrm>
          <a:off x="202203" y="5683976"/>
          <a:ext cx="4140280" cy="3808911"/>
        </a:xfrm>
        <a:prstGeom prst="rect">
          <a:avLst/>
        </a:prstGeom>
      </xdr:spPr>
    </xdr:pic>
    <xdr:clientData/>
  </xdr:twoCellAnchor>
  <xdr:twoCellAnchor editAs="oneCell">
    <xdr:from>
      <xdr:col>1</xdr:col>
      <xdr:colOff>7620</xdr:colOff>
      <xdr:row>5</xdr:row>
      <xdr:rowOff>104775</xdr:rowOff>
    </xdr:from>
    <xdr:to>
      <xdr:col>7</xdr:col>
      <xdr:colOff>135255</xdr:colOff>
      <xdr:row>36</xdr:row>
      <xdr:rowOff>84492</xdr:rowOff>
    </xdr:to>
    <xdr:pic>
      <xdr:nvPicPr>
        <xdr:cNvPr id="27" name="Google Shape;308;p37">
          <a:extLst>
            <a:ext uri="{FF2B5EF4-FFF2-40B4-BE49-F238E27FC236}">
              <a16:creationId xmlns:a16="http://schemas.microsoft.com/office/drawing/2014/main" id="{00000000-0008-0000-0200-00001B000000}"/>
            </a:ext>
          </a:extLst>
        </xdr:cNvPr>
        <xdr:cNvPicPr preferRelativeResize="0">
          <a:picLocks noChangeAspect="1"/>
        </xdr:cNvPicPr>
      </xdr:nvPicPr>
      <xdr:blipFill rotWithShape="1">
        <a:blip xmlns:r="http://schemas.openxmlformats.org/officeDocument/2006/relationships" r:embed="rId3" cstate="email">
          <a:alphaModFix/>
          <a:extLst>
            <a:ext uri="{BEBA8EAE-BF5A-486C-A8C5-ECC9F3942E4B}">
              <a14:imgProps xmlns:a14="http://schemas.microsoft.com/office/drawing/2010/main">
                <a14:imgLayer r:embed="rId4">
                  <a14:imgEffect>
                    <a14:brightnessContrast contrast="-40000"/>
                  </a14:imgEffect>
                </a14:imgLayer>
              </a14:imgProps>
            </a:ext>
            <a:ext uri="{28A0092B-C50C-407E-A947-70E740481C1C}">
              <a14:useLocalDpi xmlns:a14="http://schemas.microsoft.com/office/drawing/2010/main"/>
            </a:ext>
          </a:extLst>
        </a:blip>
        <a:srcRect l="7144" t="5156" r="7781" b="5636"/>
        <a:stretch/>
      </xdr:blipFill>
      <xdr:spPr>
        <a:xfrm>
          <a:off x="312420" y="742950"/>
          <a:ext cx="3743325" cy="3781425"/>
        </a:xfrm>
        <a:prstGeom prst="rect">
          <a:avLst/>
        </a:prstGeom>
        <a:noFill/>
        <a:ln>
          <a:noFill/>
        </a:ln>
      </xdr:spPr>
    </xdr:pic>
    <xdr:clientData/>
  </xdr:twoCellAnchor>
  <xdr:twoCellAnchor editAs="oneCell">
    <xdr:from>
      <xdr:col>1</xdr:col>
      <xdr:colOff>252550</xdr:colOff>
      <xdr:row>71</xdr:row>
      <xdr:rowOff>46264</xdr:rowOff>
    </xdr:from>
    <xdr:to>
      <xdr:col>4</xdr:col>
      <xdr:colOff>469001</xdr:colOff>
      <xdr:row>78</xdr:row>
      <xdr:rowOff>47353</xdr:rowOff>
    </xdr:to>
    <xdr:pic>
      <xdr:nvPicPr>
        <xdr:cNvPr id="3" name="Obraz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535579" y="9821635"/>
          <a:ext cx="2041441" cy="1292679"/>
        </a:xfrm>
        <a:prstGeom prst="rect">
          <a:avLst/>
        </a:prstGeom>
      </xdr:spPr>
    </xdr:pic>
    <xdr:clientData/>
  </xdr:twoCellAnchor>
  <xdr:twoCellAnchor>
    <xdr:from>
      <xdr:col>6</xdr:col>
      <xdr:colOff>379911</xdr:colOff>
      <xdr:row>12</xdr:row>
      <xdr:rowOff>17959</xdr:rowOff>
    </xdr:from>
    <xdr:to>
      <xdr:col>7</xdr:col>
      <xdr:colOff>209001</xdr:colOff>
      <xdr:row>15</xdr:row>
      <xdr:rowOff>7886</xdr:rowOff>
    </xdr:to>
    <xdr:sp macro="" textlink="">
      <xdr:nvSpPr>
        <xdr:cNvPr id="4" name="Owal 3">
          <a:extLst>
            <a:ext uri="{FF2B5EF4-FFF2-40B4-BE49-F238E27FC236}">
              <a16:creationId xmlns:a16="http://schemas.microsoft.com/office/drawing/2014/main" id="{00000000-0008-0000-0200-000004000000}"/>
            </a:ext>
          </a:extLst>
        </xdr:cNvPr>
        <xdr:cNvSpPr/>
      </xdr:nvSpPr>
      <xdr:spPr>
        <a:xfrm>
          <a:off x="3875586" y="1675309"/>
          <a:ext cx="248190" cy="24710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6</a:t>
          </a:r>
        </a:p>
      </xdr:txBody>
    </xdr:sp>
    <xdr:clientData/>
  </xdr:twoCellAnchor>
  <xdr:twoCellAnchor>
    <xdr:from>
      <xdr:col>2</xdr:col>
      <xdr:colOff>48714</xdr:colOff>
      <xdr:row>15</xdr:row>
      <xdr:rowOff>10612</xdr:rowOff>
    </xdr:from>
    <xdr:to>
      <xdr:col>2</xdr:col>
      <xdr:colOff>296904</xdr:colOff>
      <xdr:row>17</xdr:row>
      <xdr:rowOff>37822</xdr:rowOff>
    </xdr:to>
    <xdr:sp macro="" textlink="">
      <xdr:nvSpPr>
        <xdr:cNvPr id="5" name="Owal 4">
          <a:extLst>
            <a:ext uri="{FF2B5EF4-FFF2-40B4-BE49-F238E27FC236}">
              <a16:creationId xmlns:a16="http://schemas.microsoft.com/office/drawing/2014/main" id="{00000000-0008-0000-0200-000005000000}"/>
            </a:ext>
          </a:extLst>
        </xdr:cNvPr>
        <xdr:cNvSpPr/>
      </xdr:nvSpPr>
      <xdr:spPr>
        <a:xfrm>
          <a:off x="991689" y="1925137"/>
          <a:ext cx="248190" cy="246285"/>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5</a:t>
          </a:r>
        </a:p>
      </xdr:txBody>
    </xdr:sp>
    <xdr:clientData/>
  </xdr:twoCellAnchor>
  <xdr:twoCellAnchor>
    <xdr:from>
      <xdr:col>3</xdr:col>
      <xdr:colOff>255270</xdr:colOff>
      <xdr:row>17</xdr:row>
      <xdr:rowOff>57149</xdr:rowOff>
    </xdr:from>
    <xdr:to>
      <xdr:col>3</xdr:col>
      <xdr:colOff>512985</xdr:colOff>
      <xdr:row>19</xdr:row>
      <xdr:rowOff>76739</xdr:rowOff>
    </xdr:to>
    <xdr:sp macro="" textlink="">
      <xdr:nvSpPr>
        <xdr:cNvPr id="6" name="Owal 5">
          <a:extLst>
            <a:ext uri="{FF2B5EF4-FFF2-40B4-BE49-F238E27FC236}">
              <a16:creationId xmlns:a16="http://schemas.microsoft.com/office/drawing/2014/main" id="{00000000-0008-0000-0200-000006000000}"/>
            </a:ext>
          </a:extLst>
        </xdr:cNvPr>
        <xdr:cNvSpPr/>
      </xdr:nvSpPr>
      <xdr:spPr>
        <a:xfrm>
          <a:off x="1836420" y="2190749"/>
          <a:ext cx="257715" cy="238665"/>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7</a:t>
          </a:r>
        </a:p>
      </xdr:txBody>
    </xdr:sp>
    <xdr:clientData/>
  </xdr:twoCellAnchor>
  <xdr:twoCellAnchor>
    <xdr:from>
      <xdr:col>5</xdr:col>
      <xdr:colOff>116010</xdr:colOff>
      <xdr:row>16</xdr:row>
      <xdr:rowOff>1283</xdr:rowOff>
    </xdr:from>
    <xdr:to>
      <xdr:col>5</xdr:col>
      <xdr:colOff>370040</xdr:colOff>
      <xdr:row>18</xdr:row>
      <xdr:rowOff>29629</xdr:rowOff>
    </xdr:to>
    <xdr:sp macro="" textlink="">
      <xdr:nvSpPr>
        <xdr:cNvPr id="7" name="Owal 6">
          <a:extLst>
            <a:ext uri="{FF2B5EF4-FFF2-40B4-BE49-F238E27FC236}">
              <a16:creationId xmlns:a16="http://schemas.microsoft.com/office/drawing/2014/main" id="{00000000-0008-0000-0200-000007000000}"/>
            </a:ext>
          </a:extLst>
        </xdr:cNvPr>
        <xdr:cNvSpPr/>
      </xdr:nvSpPr>
      <xdr:spPr>
        <a:xfrm>
          <a:off x="2973510" y="2096783"/>
          <a:ext cx="254030" cy="247421"/>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8</a:t>
          </a:r>
        </a:p>
      </xdr:txBody>
    </xdr:sp>
    <xdr:clientData/>
  </xdr:twoCellAnchor>
  <xdr:twoCellAnchor>
    <xdr:from>
      <xdr:col>4</xdr:col>
      <xdr:colOff>264795</xdr:colOff>
      <xdr:row>21</xdr:row>
      <xdr:rowOff>1904</xdr:rowOff>
    </xdr:from>
    <xdr:to>
      <xdr:col>4</xdr:col>
      <xdr:colOff>522510</xdr:colOff>
      <xdr:row>23</xdr:row>
      <xdr:rowOff>27209</xdr:rowOff>
    </xdr:to>
    <xdr:sp macro="" textlink="">
      <xdr:nvSpPr>
        <xdr:cNvPr id="8" name="Owal 7">
          <a:extLst>
            <a:ext uri="{FF2B5EF4-FFF2-40B4-BE49-F238E27FC236}">
              <a16:creationId xmlns:a16="http://schemas.microsoft.com/office/drawing/2014/main" id="{00000000-0008-0000-0200-000008000000}"/>
            </a:ext>
          </a:extLst>
        </xdr:cNvPr>
        <xdr:cNvSpPr/>
      </xdr:nvSpPr>
      <xdr:spPr>
        <a:xfrm>
          <a:off x="2484120" y="2573654"/>
          <a:ext cx="257715" cy="244380"/>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9</a:t>
          </a:r>
        </a:p>
      </xdr:txBody>
    </xdr:sp>
    <xdr:clientData/>
  </xdr:twoCellAnchor>
  <xdr:twoCellAnchor>
    <xdr:from>
      <xdr:col>2</xdr:col>
      <xdr:colOff>161925</xdr:colOff>
      <xdr:row>25</xdr:row>
      <xdr:rowOff>144779</xdr:rowOff>
    </xdr:from>
    <xdr:to>
      <xdr:col>2</xdr:col>
      <xdr:colOff>417735</xdr:colOff>
      <xdr:row>27</xdr:row>
      <xdr:rowOff>160559</xdr:rowOff>
    </xdr:to>
    <xdr:sp macro="" textlink="">
      <xdr:nvSpPr>
        <xdr:cNvPr id="9" name="Owal 8">
          <a:extLst>
            <a:ext uri="{FF2B5EF4-FFF2-40B4-BE49-F238E27FC236}">
              <a16:creationId xmlns:a16="http://schemas.microsoft.com/office/drawing/2014/main" id="{00000000-0008-0000-0200-000009000000}"/>
            </a:ext>
          </a:extLst>
        </xdr:cNvPr>
        <xdr:cNvSpPr/>
      </xdr:nvSpPr>
      <xdr:spPr>
        <a:xfrm>
          <a:off x="1104900" y="3154679"/>
          <a:ext cx="255810" cy="234855"/>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10</a:t>
          </a:r>
        </a:p>
      </xdr:txBody>
    </xdr:sp>
    <xdr:clientData/>
  </xdr:twoCellAnchor>
  <xdr:twoCellAnchor>
    <xdr:from>
      <xdr:col>2</xdr:col>
      <xdr:colOff>29663</xdr:colOff>
      <xdr:row>6</xdr:row>
      <xdr:rowOff>47624</xdr:rowOff>
    </xdr:from>
    <xdr:to>
      <xdr:col>2</xdr:col>
      <xdr:colOff>294998</xdr:colOff>
      <xdr:row>7</xdr:row>
      <xdr:rowOff>95517</xdr:rowOff>
    </xdr:to>
    <xdr:sp macro="" textlink="">
      <xdr:nvSpPr>
        <xdr:cNvPr id="10" name="Owal 9">
          <a:extLst>
            <a:ext uri="{FF2B5EF4-FFF2-40B4-BE49-F238E27FC236}">
              <a16:creationId xmlns:a16="http://schemas.microsoft.com/office/drawing/2014/main" id="{00000000-0008-0000-0200-00000A000000}"/>
            </a:ext>
          </a:extLst>
        </xdr:cNvPr>
        <xdr:cNvSpPr/>
      </xdr:nvSpPr>
      <xdr:spPr>
        <a:xfrm>
          <a:off x="972638" y="885824"/>
          <a:ext cx="265335" cy="247918"/>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2</a:t>
          </a:r>
        </a:p>
      </xdr:txBody>
    </xdr:sp>
    <xdr:clientData/>
  </xdr:twoCellAnchor>
  <xdr:twoCellAnchor>
    <xdr:from>
      <xdr:col>5</xdr:col>
      <xdr:colOff>418283</xdr:colOff>
      <xdr:row>6</xdr:row>
      <xdr:rowOff>56604</xdr:rowOff>
    </xdr:from>
    <xdr:to>
      <xdr:col>6</xdr:col>
      <xdr:colOff>50108</xdr:colOff>
      <xdr:row>7</xdr:row>
      <xdr:rowOff>104769</xdr:rowOff>
    </xdr:to>
    <xdr:sp macro="" textlink="">
      <xdr:nvSpPr>
        <xdr:cNvPr id="11" name="Owal 10">
          <a:extLst>
            <a:ext uri="{FF2B5EF4-FFF2-40B4-BE49-F238E27FC236}">
              <a16:creationId xmlns:a16="http://schemas.microsoft.com/office/drawing/2014/main" id="{00000000-0008-0000-0200-00000B000000}"/>
            </a:ext>
          </a:extLst>
        </xdr:cNvPr>
        <xdr:cNvSpPr/>
      </xdr:nvSpPr>
      <xdr:spPr>
        <a:xfrm>
          <a:off x="3275783" y="894804"/>
          <a:ext cx="270000" cy="248190"/>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a:t>
          </a:r>
        </a:p>
      </xdr:txBody>
    </xdr:sp>
    <xdr:clientData/>
  </xdr:twoCellAnchor>
  <xdr:twoCellAnchor>
    <xdr:from>
      <xdr:col>2</xdr:col>
      <xdr:colOff>583203</xdr:colOff>
      <xdr:row>7</xdr:row>
      <xdr:rowOff>142057</xdr:rowOff>
    </xdr:from>
    <xdr:to>
      <xdr:col>3</xdr:col>
      <xdr:colOff>191857</xdr:colOff>
      <xdr:row>9</xdr:row>
      <xdr:rowOff>174438</xdr:rowOff>
    </xdr:to>
    <xdr:sp macro="" textlink="">
      <xdr:nvSpPr>
        <xdr:cNvPr id="12" name="Owal 11">
          <a:extLst>
            <a:ext uri="{FF2B5EF4-FFF2-40B4-BE49-F238E27FC236}">
              <a16:creationId xmlns:a16="http://schemas.microsoft.com/office/drawing/2014/main" id="{00000000-0008-0000-0200-00000C000000}"/>
            </a:ext>
          </a:extLst>
        </xdr:cNvPr>
        <xdr:cNvSpPr/>
      </xdr:nvSpPr>
      <xdr:spPr>
        <a:xfrm>
          <a:off x="1522096" y="1162593"/>
          <a:ext cx="248190" cy="250095"/>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4</a:t>
          </a:r>
        </a:p>
      </xdr:txBody>
    </xdr:sp>
    <xdr:clientData/>
  </xdr:twoCellAnchor>
  <xdr:twoCellAnchor>
    <xdr:from>
      <xdr:col>4</xdr:col>
      <xdr:colOff>392158</xdr:colOff>
      <xdr:row>4</xdr:row>
      <xdr:rowOff>200025</xdr:rowOff>
    </xdr:from>
    <xdr:to>
      <xdr:col>5</xdr:col>
      <xdr:colOff>26938</xdr:colOff>
      <xdr:row>6</xdr:row>
      <xdr:rowOff>9086</xdr:rowOff>
    </xdr:to>
    <xdr:sp macro="" textlink="">
      <xdr:nvSpPr>
        <xdr:cNvPr id="13" name="Owal 12">
          <a:extLst>
            <a:ext uri="{FF2B5EF4-FFF2-40B4-BE49-F238E27FC236}">
              <a16:creationId xmlns:a16="http://schemas.microsoft.com/office/drawing/2014/main" id="{00000000-0008-0000-0200-00000D000000}"/>
            </a:ext>
          </a:extLst>
        </xdr:cNvPr>
        <xdr:cNvSpPr/>
      </xdr:nvSpPr>
      <xdr:spPr>
        <a:xfrm>
          <a:off x="2610923" y="1051672"/>
          <a:ext cx="273515" cy="234885"/>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3</a:t>
          </a:r>
        </a:p>
      </xdr:txBody>
    </xdr:sp>
    <xdr:clientData/>
  </xdr:twoCellAnchor>
  <xdr:twoCellAnchor>
    <xdr:from>
      <xdr:col>4</xdr:col>
      <xdr:colOff>328750</xdr:colOff>
      <xdr:row>70</xdr:row>
      <xdr:rowOff>160562</xdr:rowOff>
    </xdr:from>
    <xdr:to>
      <xdr:col>4</xdr:col>
      <xdr:colOff>586465</xdr:colOff>
      <xdr:row>72</xdr:row>
      <xdr:rowOff>27753</xdr:rowOff>
    </xdr:to>
    <xdr:sp macro="" textlink="">
      <xdr:nvSpPr>
        <xdr:cNvPr id="14" name="Owal 13">
          <a:extLst>
            <a:ext uri="{FF2B5EF4-FFF2-40B4-BE49-F238E27FC236}">
              <a16:creationId xmlns:a16="http://schemas.microsoft.com/office/drawing/2014/main" id="{00000000-0008-0000-0200-00000E000000}"/>
            </a:ext>
          </a:extLst>
        </xdr:cNvPr>
        <xdr:cNvSpPr/>
      </xdr:nvSpPr>
      <xdr:spPr>
        <a:xfrm>
          <a:off x="2546714" y="9739991"/>
          <a:ext cx="257715" cy="220976"/>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12</a:t>
          </a:r>
        </a:p>
      </xdr:txBody>
    </xdr:sp>
    <xdr:clientData/>
  </xdr:twoCellAnchor>
  <xdr:twoCellAnchor>
    <xdr:from>
      <xdr:col>5</xdr:col>
      <xdr:colOff>266645</xdr:colOff>
      <xdr:row>34</xdr:row>
      <xdr:rowOff>39732</xdr:rowOff>
    </xdr:from>
    <xdr:to>
      <xdr:col>5</xdr:col>
      <xdr:colOff>516264</xdr:colOff>
      <xdr:row>35</xdr:row>
      <xdr:rowOff>107024</xdr:rowOff>
    </xdr:to>
    <xdr:sp macro="" textlink="">
      <xdr:nvSpPr>
        <xdr:cNvPr id="15" name="Owal 14">
          <a:extLst>
            <a:ext uri="{FF2B5EF4-FFF2-40B4-BE49-F238E27FC236}">
              <a16:creationId xmlns:a16="http://schemas.microsoft.com/office/drawing/2014/main" id="{00000000-0008-0000-0200-00000F000000}"/>
            </a:ext>
          </a:extLst>
        </xdr:cNvPr>
        <xdr:cNvSpPr/>
      </xdr:nvSpPr>
      <xdr:spPr>
        <a:xfrm>
          <a:off x="3124145" y="4488467"/>
          <a:ext cx="249619" cy="246586"/>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11</a:t>
          </a:r>
        </a:p>
      </xdr:txBody>
    </xdr:sp>
    <xdr:clientData/>
  </xdr:twoCellAnchor>
  <xdr:twoCellAnchor>
    <xdr:from>
      <xdr:col>4</xdr:col>
      <xdr:colOff>68132</xdr:colOff>
      <xdr:row>33</xdr:row>
      <xdr:rowOff>126815</xdr:rowOff>
    </xdr:from>
    <xdr:to>
      <xdr:col>4</xdr:col>
      <xdr:colOff>68132</xdr:colOff>
      <xdr:row>34</xdr:row>
      <xdr:rowOff>160585</xdr:rowOff>
    </xdr:to>
    <xdr:cxnSp macro="">
      <xdr:nvCxnSpPr>
        <xdr:cNvPr id="17" name="Łącznik prosty ze strzałką 16">
          <a:extLst>
            <a:ext uri="{FF2B5EF4-FFF2-40B4-BE49-F238E27FC236}">
              <a16:creationId xmlns:a16="http://schemas.microsoft.com/office/drawing/2014/main" id="{00000000-0008-0000-0200-000011000000}"/>
            </a:ext>
          </a:extLst>
        </xdr:cNvPr>
        <xdr:cNvCxnSpPr/>
      </xdr:nvCxnSpPr>
      <xdr:spPr>
        <a:xfrm flipV="1">
          <a:off x="2286897" y="4396256"/>
          <a:ext cx="0" cy="213064"/>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69444</xdr:colOff>
      <xdr:row>34</xdr:row>
      <xdr:rowOff>160583</xdr:rowOff>
    </xdr:from>
    <xdr:to>
      <xdr:col>4</xdr:col>
      <xdr:colOff>257767</xdr:colOff>
      <xdr:row>34</xdr:row>
      <xdr:rowOff>160583</xdr:rowOff>
    </xdr:to>
    <xdr:cxnSp macro="">
      <xdr:nvCxnSpPr>
        <xdr:cNvPr id="19" name="Łącznik prosty 18">
          <a:extLst>
            <a:ext uri="{FF2B5EF4-FFF2-40B4-BE49-F238E27FC236}">
              <a16:creationId xmlns:a16="http://schemas.microsoft.com/office/drawing/2014/main" id="{00000000-0008-0000-0200-000013000000}"/>
            </a:ext>
          </a:extLst>
        </xdr:cNvPr>
        <xdr:cNvCxnSpPr/>
      </xdr:nvCxnSpPr>
      <xdr:spPr>
        <a:xfrm>
          <a:off x="2288209" y="4609318"/>
          <a:ext cx="188323" cy="0"/>
        </a:xfrm>
        <a:prstGeom prst="line">
          <a:avLst/>
        </a:prstGeom>
        <a:ln>
          <a:solidFill>
            <a:srgbClr val="FF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268925</xdr:colOff>
      <xdr:row>34</xdr:row>
      <xdr:rowOff>160583</xdr:rowOff>
    </xdr:from>
    <xdr:to>
      <xdr:col>5</xdr:col>
      <xdr:colOff>257767</xdr:colOff>
      <xdr:row>34</xdr:row>
      <xdr:rowOff>160583</xdr:rowOff>
    </xdr:to>
    <xdr:cxnSp macro="">
      <xdr:nvCxnSpPr>
        <xdr:cNvPr id="21" name="Łącznik prosty 20">
          <a:extLst>
            <a:ext uri="{FF2B5EF4-FFF2-40B4-BE49-F238E27FC236}">
              <a16:creationId xmlns:a16="http://schemas.microsoft.com/office/drawing/2014/main" id="{00000000-0008-0000-0200-000015000000}"/>
            </a:ext>
          </a:extLst>
        </xdr:cNvPr>
        <xdr:cNvCxnSpPr/>
      </xdr:nvCxnSpPr>
      <xdr:spPr>
        <a:xfrm>
          <a:off x="2487690" y="4609318"/>
          <a:ext cx="627577" cy="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461775</xdr:colOff>
      <xdr:row>24</xdr:row>
      <xdr:rowOff>39350</xdr:rowOff>
    </xdr:from>
    <xdr:to>
      <xdr:col>8</xdr:col>
      <xdr:colOff>22139</xdr:colOff>
      <xdr:row>27</xdr:row>
      <xdr:rowOff>58568</xdr:rowOff>
    </xdr:to>
    <xdr:pic>
      <xdr:nvPicPr>
        <xdr:cNvPr id="25" name="Obraz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3319275" y="2978493"/>
          <a:ext cx="1053068" cy="281563"/>
        </a:xfrm>
        <a:prstGeom prst="rect">
          <a:avLst/>
        </a:prstGeom>
      </xdr:spPr>
    </xdr:pic>
    <xdr:clientData/>
  </xdr:twoCellAnchor>
  <xdr:twoCellAnchor editAs="oneCell">
    <xdr:from>
      <xdr:col>5</xdr:col>
      <xdr:colOff>453610</xdr:colOff>
      <xdr:row>27</xdr:row>
      <xdr:rowOff>112857</xdr:rowOff>
    </xdr:from>
    <xdr:to>
      <xdr:col>8</xdr:col>
      <xdr:colOff>150767</xdr:colOff>
      <xdr:row>29</xdr:row>
      <xdr:rowOff>165002</xdr:rowOff>
    </xdr:to>
    <xdr:pic>
      <xdr:nvPicPr>
        <xdr:cNvPr id="26" name="Obraz 25">
          <a:extLst>
            <a:ext uri="{FF2B5EF4-FFF2-40B4-BE49-F238E27FC236}">
              <a16:creationId xmlns:a16="http://schemas.microsoft.com/office/drawing/2014/main" id="{00000000-0008-0000-0200-00001A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3311110" y="3310536"/>
          <a:ext cx="1176526" cy="267955"/>
        </a:xfrm>
        <a:prstGeom prst="rect">
          <a:avLst/>
        </a:prstGeom>
      </xdr:spPr>
    </xdr:pic>
    <xdr:clientData/>
  </xdr:twoCellAnchor>
  <xdr:twoCellAnchor editAs="oneCell">
    <xdr:from>
      <xdr:col>5</xdr:col>
      <xdr:colOff>446504</xdr:colOff>
      <xdr:row>71</xdr:row>
      <xdr:rowOff>114221</xdr:rowOff>
    </xdr:from>
    <xdr:to>
      <xdr:col>8</xdr:col>
      <xdr:colOff>268292</xdr:colOff>
      <xdr:row>80</xdr:row>
      <xdr:rowOff>113261</xdr:rowOff>
    </xdr:to>
    <xdr:pic>
      <xdr:nvPicPr>
        <xdr:cNvPr id="16" name="Obraz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rot="19575036">
          <a:off x="3304004" y="9870542"/>
          <a:ext cx="1308777" cy="1591075"/>
        </a:xfrm>
        <a:prstGeom prst="rect">
          <a:avLst/>
        </a:prstGeom>
      </xdr:spPr>
    </xdr:pic>
    <xdr:clientData/>
  </xdr:twoCellAnchor>
  <xdr:twoCellAnchor>
    <xdr:from>
      <xdr:col>5</xdr:col>
      <xdr:colOff>637359</xdr:colOff>
      <xdr:row>70</xdr:row>
      <xdr:rowOff>140877</xdr:rowOff>
    </xdr:from>
    <xdr:to>
      <xdr:col>6</xdr:col>
      <xdr:colOff>263469</xdr:colOff>
      <xdr:row>72</xdr:row>
      <xdr:rowOff>29023</xdr:rowOff>
    </xdr:to>
    <xdr:sp macro="" textlink="">
      <xdr:nvSpPr>
        <xdr:cNvPr id="23" name="Owal 22">
          <a:extLst>
            <a:ext uri="{FF2B5EF4-FFF2-40B4-BE49-F238E27FC236}">
              <a16:creationId xmlns:a16="http://schemas.microsoft.com/office/drawing/2014/main" id="{00000000-0008-0000-0200-000017000000}"/>
            </a:ext>
          </a:extLst>
        </xdr:cNvPr>
        <xdr:cNvSpPr/>
      </xdr:nvSpPr>
      <xdr:spPr>
        <a:xfrm>
          <a:off x="3494859" y="9720306"/>
          <a:ext cx="265646" cy="241931"/>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13</a:t>
          </a:r>
        </a:p>
      </xdr:txBody>
    </xdr:sp>
    <xdr:clientData/>
  </xdr:twoCellAnchor>
  <xdr:twoCellAnchor editAs="oneCell">
    <xdr:from>
      <xdr:col>14</xdr:col>
      <xdr:colOff>534490</xdr:colOff>
      <xdr:row>6</xdr:row>
      <xdr:rowOff>44630</xdr:rowOff>
    </xdr:from>
    <xdr:to>
      <xdr:col>19</xdr:col>
      <xdr:colOff>594331</xdr:colOff>
      <xdr:row>27</xdr:row>
      <xdr:rowOff>19593</xdr:rowOff>
    </xdr:to>
    <xdr:pic>
      <xdr:nvPicPr>
        <xdr:cNvPr id="28" name="Google Shape;329;p38">
          <a:extLst>
            <a:ext uri="{FF2B5EF4-FFF2-40B4-BE49-F238E27FC236}">
              <a16:creationId xmlns:a16="http://schemas.microsoft.com/office/drawing/2014/main" id="{00000000-0008-0000-0200-00001C000000}"/>
            </a:ext>
          </a:extLst>
        </xdr:cNvPr>
        <xdr:cNvPicPr preferRelativeResize="0"/>
      </xdr:nvPicPr>
      <xdr:blipFill rotWithShape="1">
        <a:blip xmlns:r="http://schemas.openxmlformats.org/officeDocument/2006/relationships" r:embed="rId9" cstate="email">
          <a:alphaModFix/>
          <a:extLst>
            <a:ext uri="{28A0092B-C50C-407E-A947-70E740481C1C}">
              <a14:useLocalDpi xmlns:a14="http://schemas.microsoft.com/office/drawing/2010/main"/>
            </a:ext>
          </a:extLst>
        </a:blip>
        <a:srcRect/>
        <a:stretch/>
      </xdr:blipFill>
      <xdr:spPr>
        <a:xfrm>
          <a:off x="11338561" y="861059"/>
          <a:ext cx="3263235" cy="2360023"/>
        </a:xfrm>
        <a:prstGeom prst="rect">
          <a:avLst/>
        </a:prstGeom>
        <a:noFill/>
        <a:ln>
          <a:noFill/>
        </a:ln>
      </xdr:spPr>
    </xdr:pic>
    <xdr:clientData/>
  </xdr:twoCellAnchor>
  <xdr:twoCellAnchor>
    <xdr:from>
      <xdr:col>17</xdr:col>
      <xdr:colOff>562008</xdr:colOff>
      <xdr:row>11</xdr:row>
      <xdr:rowOff>74447</xdr:rowOff>
    </xdr:from>
    <xdr:to>
      <xdr:col>18</xdr:col>
      <xdr:colOff>523793</xdr:colOff>
      <xdr:row>16</xdr:row>
      <xdr:rowOff>8190</xdr:rowOff>
    </xdr:to>
    <xdr:sp macro="" textlink="">
      <xdr:nvSpPr>
        <xdr:cNvPr id="29" name="Google Shape;334;p38">
          <a:extLst>
            <a:ext uri="{FF2B5EF4-FFF2-40B4-BE49-F238E27FC236}">
              <a16:creationId xmlns:a16="http://schemas.microsoft.com/office/drawing/2014/main" id="{00000000-0008-0000-0200-00001D000000}"/>
            </a:ext>
          </a:extLst>
        </xdr:cNvPr>
        <xdr:cNvSpPr/>
      </xdr:nvSpPr>
      <xdr:spPr>
        <a:xfrm>
          <a:off x="13418037" y="2022990"/>
          <a:ext cx="571385" cy="576000"/>
        </a:xfrm>
        <a:prstGeom prst="ellipse">
          <a:avLst/>
        </a:prstGeom>
        <a:solidFill>
          <a:schemeClr val="lt2"/>
        </a:solidFill>
        <a:ln w="38100" cap="flat" cmpd="sng">
          <a:solidFill>
            <a:srgbClr val="B56C10"/>
          </a:solidFill>
          <a:prstDash val="solid"/>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sz="1800"/>
        </a:p>
      </xdr:txBody>
    </xdr:sp>
    <xdr:clientData/>
  </xdr:twoCellAnchor>
  <xdr:twoCellAnchor>
    <xdr:from>
      <xdr:col>17</xdr:col>
      <xdr:colOff>561179</xdr:colOff>
      <xdr:row>19</xdr:row>
      <xdr:rowOff>104964</xdr:rowOff>
    </xdr:from>
    <xdr:to>
      <xdr:col>18</xdr:col>
      <xdr:colOff>521059</xdr:colOff>
      <xdr:row>24</xdr:row>
      <xdr:rowOff>38707</xdr:rowOff>
    </xdr:to>
    <xdr:sp macro="" textlink="">
      <xdr:nvSpPr>
        <xdr:cNvPr id="30" name="Google Shape;335;p38">
          <a:extLst>
            <a:ext uri="{FF2B5EF4-FFF2-40B4-BE49-F238E27FC236}">
              <a16:creationId xmlns:a16="http://schemas.microsoft.com/office/drawing/2014/main" id="{00000000-0008-0000-0200-00001E000000}"/>
            </a:ext>
          </a:extLst>
        </xdr:cNvPr>
        <xdr:cNvSpPr/>
      </xdr:nvSpPr>
      <xdr:spPr>
        <a:xfrm>
          <a:off x="13417208" y="2967907"/>
          <a:ext cx="569480" cy="576000"/>
        </a:xfrm>
        <a:prstGeom prst="ellipse">
          <a:avLst/>
        </a:prstGeom>
        <a:solidFill>
          <a:schemeClr val="lt2"/>
        </a:solidFill>
        <a:ln w="38100" cap="flat" cmpd="sng">
          <a:solidFill>
            <a:srgbClr val="38761D"/>
          </a:solidFill>
          <a:prstDash val="solid"/>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sz="1800">
            <a:solidFill>
              <a:srgbClr val="38761D"/>
            </a:solidFill>
          </a:endParaRPr>
        </a:p>
      </xdr:txBody>
    </xdr:sp>
    <xdr:clientData/>
  </xdr:twoCellAnchor>
  <xdr:twoCellAnchor>
    <xdr:from>
      <xdr:col>15</xdr:col>
      <xdr:colOff>93425</xdr:colOff>
      <xdr:row>9</xdr:row>
      <xdr:rowOff>167879</xdr:rowOff>
    </xdr:from>
    <xdr:to>
      <xdr:col>16</xdr:col>
      <xdr:colOff>211089</xdr:colOff>
      <xdr:row>26</xdr:row>
      <xdr:rowOff>9267</xdr:rowOff>
    </xdr:to>
    <xdr:sp macro="" textlink="">
      <xdr:nvSpPr>
        <xdr:cNvPr id="31" name="Google Shape;339;p38">
          <a:extLst>
            <a:ext uri="{FF2B5EF4-FFF2-40B4-BE49-F238E27FC236}">
              <a16:creationId xmlns:a16="http://schemas.microsoft.com/office/drawing/2014/main" id="{00000000-0008-0000-0200-00001F000000}"/>
            </a:ext>
          </a:extLst>
        </xdr:cNvPr>
        <xdr:cNvSpPr/>
      </xdr:nvSpPr>
      <xdr:spPr>
        <a:xfrm rot="5400000">
          <a:off x="11035634" y="1907527"/>
          <a:ext cx="1759995" cy="757200"/>
        </a:xfrm>
        <a:prstGeom prst="roundRect">
          <a:avLst>
            <a:gd name="adj" fmla="val 16667"/>
          </a:avLst>
        </a:prstGeom>
        <a:solidFill>
          <a:srgbClr val="999999"/>
        </a:solidFill>
        <a:ln w="38100" cap="flat" cmpd="sng">
          <a:solidFill>
            <a:srgbClr val="000000"/>
          </a:solidFill>
          <a:prstDash val="dash"/>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a:p>
      </xdr:txBody>
    </xdr:sp>
    <xdr:clientData/>
  </xdr:twoCellAnchor>
  <xdr:twoCellAnchor>
    <xdr:from>
      <xdr:col>15</xdr:col>
      <xdr:colOff>183337</xdr:colOff>
      <xdr:row>11</xdr:row>
      <xdr:rowOff>52683</xdr:rowOff>
    </xdr:from>
    <xdr:to>
      <xdr:col>16</xdr:col>
      <xdr:colOff>133691</xdr:colOff>
      <xdr:row>15</xdr:row>
      <xdr:rowOff>171483</xdr:rowOff>
    </xdr:to>
    <xdr:sp macro="" textlink="">
      <xdr:nvSpPr>
        <xdr:cNvPr id="34" name="Google Shape;342;p38">
          <a:extLst>
            <a:ext uri="{FF2B5EF4-FFF2-40B4-BE49-F238E27FC236}">
              <a16:creationId xmlns:a16="http://schemas.microsoft.com/office/drawing/2014/main" id="{00000000-0008-0000-0200-000022000000}"/>
            </a:ext>
          </a:extLst>
        </xdr:cNvPr>
        <xdr:cNvSpPr/>
      </xdr:nvSpPr>
      <xdr:spPr>
        <a:xfrm>
          <a:off x="11820166" y="2001226"/>
          <a:ext cx="559954" cy="576000"/>
        </a:xfrm>
        <a:prstGeom prst="ellipse">
          <a:avLst/>
        </a:prstGeom>
        <a:solidFill>
          <a:schemeClr val="lt2"/>
        </a:solidFill>
        <a:ln w="38100" cap="flat" cmpd="sng">
          <a:solidFill>
            <a:srgbClr val="FFFF00"/>
          </a:solidFill>
          <a:prstDash val="solid"/>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sz="1800"/>
        </a:p>
      </xdr:txBody>
    </xdr:sp>
    <xdr:clientData/>
  </xdr:twoCellAnchor>
  <xdr:twoCellAnchor>
    <xdr:from>
      <xdr:col>15</xdr:col>
      <xdr:colOff>173280</xdr:colOff>
      <xdr:row>19</xdr:row>
      <xdr:rowOff>104964</xdr:rowOff>
    </xdr:from>
    <xdr:to>
      <xdr:col>16</xdr:col>
      <xdr:colOff>133159</xdr:colOff>
      <xdr:row>24</xdr:row>
      <xdr:rowOff>38707</xdr:rowOff>
    </xdr:to>
    <xdr:sp macro="" textlink="">
      <xdr:nvSpPr>
        <xdr:cNvPr id="35" name="Google Shape;343;p38">
          <a:extLst>
            <a:ext uri="{FF2B5EF4-FFF2-40B4-BE49-F238E27FC236}">
              <a16:creationId xmlns:a16="http://schemas.microsoft.com/office/drawing/2014/main" id="{00000000-0008-0000-0200-000023000000}"/>
            </a:ext>
          </a:extLst>
        </xdr:cNvPr>
        <xdr:cNvSpPr/>
      </xdr:nvSpPr>
      <xdr:spPr>
        <a:xfrm>
          <a:off x="11810109" y="2967907"/>
          <a:ext cx="569479" cy="576000"/>
        </a:xfrm>
        <a:prstGeom prst="ellipse">
          <a:avLst/>
        </a:prstGeom>
        <a:solidFill>
          <a:schemeClr val="lt2"/>
        </a:solidFill>
        <a:ln w="38100" cap="flat" cmpd="sng">
          <a:solidFill>
            <a:srgbClr val="FF0000"/>
          </a:solidFill>
          <a:prstDash val="solid"/>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sz="1800"/>
        </a:p>
      </xdr:txBody>
    </xdr:sp>
    <xdr:clientData/>
  </xdr:twoCellAnchor>
  <xdr:twoCellAnchor editAs="oneCell">
    <xdr:from>
      <xdr:col>37</xdr:col>
      <xdr:colOff>303166</xdr:colOff>
      <xdr:row>9</xdr:row>
      <xdr:rowOff>58239</xdr:rowOff>
    </xdr:from>
    <xdr:to>
      <xdr:col>40</xdr:col>
      <xdr:colOff>317440</xdr:colOff>
      <xdr:row>25</xdr:row>
      <xdr:rowOff>75981</xdr:rowOff>
    </xdr:to>
    <xdr:pic>
      <xdr:nvPicPr>
        <xdr:cNvPr id="43" name="Google Shape;356;p39">
          <a:extLst>
            <a:ext uri="{FF2B5EF4-FFF2-40B4-BE49-F238E27FC236}">
              <a16:creationId xmlns:a16="http://schemas.microsoft.com/office/drawing/2014/main" id="{00000000-0008-0000-0200-00002B000000}"/>
            </a:ext>
          </a:extLst>
        </xdr:cNvPr>
        <xdr:cNvPicPr preferRelativeResize="0"/>
      </xdr:nvPicPr>
      <xdr:blipFill>
        <a:blip xmlns:r="http://schemas.openxmlformats.org/officeDocument/2006/relationships" r:embed="rId10" cstate="email">
          <a:alphaModFix/>
          <a:extLst>
            <a:ext uri="{28A0092B-C50C-407E-A947-70E740481C1C}">
              <a14:useLocalDpi xmlns:a14="http://schemas.microsoft.com/office/drawing/2010/main"/>
            </a:ext>
          </a:extLst>
        </a:blip>
        <a:stretch>
          <a:fillRect/>
        </a:stretch>
      </xdr:blipFill>
      <xdr:spPr>
        <a:xfrm>
          <a:off x="25615854" y="1820364"/>
          <a:ext cx="1943086" cy="1922742"/>
        </a:xfrm>
        <a:prstGeom prst="rect">
          <a:avLst/>
        </a:prstGeom>
        <a:noFill/>
        <a:ln>
          <a:noFill/>
        </a:ln>
      </xdr:spPr>
    </xdr:pic>
    <xdr:clientData/>
  </xdr:twoCellAnchor>
  <xdr:twoCellAnchor>
    <xdr:from>
      <xdr:col>37</xdr:col>
      <xdr:colOff>399056</xdr:colOff>
      <xdr:row>17</xdr:row>
      <xdr:rowOff>123547</xdr:rowOff>
    </xdr:from>
    <xdr:to>
      <xdr:col>39</xdr:col>
      <xdr:colOff>590300</xdr:colOff>
      <xdr:row>23</xdr:row>
      <xdr:rowOff>7794</xdr:rowOff>
    </xdr:to>
    <xdr:sp macro="" textlink="">
      <xdr:nvSpPr>
        <xdr:cNvPr id="44" name="Google Shape;357;p39">
          <a:extLst>
            <a:ext uri="{FF2B5EF4-FFF2-40B4-BE49-F238E27FC236}">
              <a16:creationId xmlns:a16="http://schemas.microsoft.com/office/drawing/2014/main" id="{00000000-0008-0000-0200-00002C000000}"/>
            </a:ext>
          </a:extLst>
        </xdr:cNvPr>
        <xdr:cNvSpPr/>
      </xdr:nvSpPr>
      <xdr:spPr>
        <a:xfrm>
          <a:off x="25711744" y="2838172"/>
          <a:ext cx="1477119" cy="598622"/>
        </a:xfrm>
        <a:prstGeom prst="roundRect">
          <a:avLst>
            <a:gd name="adj" fmla="val 16667"/>
          </a:avLst>
        </a:prstGeom>
        <a:solidFill>
          <a:srgbClr val="999999"/>
        </a:solidFill>
        <a:ln w="38100" cap="flat" cmpd="sng">
          <a:solidFill>
            <a:srgbClr val="000000"/>
          </a:solidFill>
          <a:prstDash val="dash"/>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a:p>
      </xdr:txBody>
    </xdr:sp>
    <xdr:clientData/>
  </xdr:twoCellAnchor>
  <xdr:twoCellAnchor>
    <xdr:from>
      <xdr:col>37</xdr:col>
      <xdr:colOff>471865</xdr:colOff>
      <xdr:row>13</xdr:row>
      <xdr:rowOff>55656</xdr:rowOff>
    </xdr:from>
    <xdr:to>
      <xdr:col>38</xdr:col>
      <xdr:colOff>267663</xdr:colOff>
      <xdr:row>17</xdr:row>
      <xdr:rowOff>27013</xdr:rowOff>
    </xdr:to>
    <xdr:sp macro="" textlink="">
      <xdr:nvSpPr>
        <xdr:cNvPr id="45" name="Google Shape;371;p39">
          <a:extLst>
            <a:ext uri="{FF2B5EF4-FFF2-40B4-BE49-F238E27FC236}">
              <a16:creationId xmlns:a16="http://schemas.microsoft.com/office/drawing/2014/main" id="{00000000-0008-0000-0200-00002D000000}"/>
            </a:ext>
          </a:extLst>
        </xdr:cNvPr>
        <xdr:cNvSpPr/>
      </xdr:nvSpPr>
      <xdr:spPr>
        <a:xfrm>
          <a:off x="25784553" y="2294031"/>
          <a:ext cx="438735" cy="447607"/>
        </a:xfrm>
        <a:prstGeom prst="ellipse">
          <a:avLst/>
        </a:prstGeom>
        <a:solidFill>
          <a:schemeClr val="lt2"/>
        </a:solidFill>
        <a:ln w="28575" cap="flat" cmpd="sng">
          <a:solidFill>
            <a:srgbClr val="38761D"/>
          </a:solidFill>
          <a:prstDash val="solid"/>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a:solidFill>
              <a:srgbClr val="38761D"/>
            </a:solidFill>
          </a:endParaRPr>
        </a:p>
      </xdr:txBody>
    </xdr:sp>
    <xdr:clientData/>
  </xdr:twoCellAnchor>
  <xdr:twoCellAnchor>
    <xdr:from>
      <xdr:col>39</xdr:col>
      <xdr:colOff>84390</xdr:colOff>
      <xdr:row>13</xdr:row>
      <xdr:rowOff>55651</xdr:rowOff>
    </xdr:from>
    <xdr:to>
      <xdr:col>39</xdr:col>
      <xdr:colOff>513600</xdr:colOff>
      <xdr:row>17</xdr:row>
      <xdr:rowOff>27008</xdr:rowOff>
    </xdr:to>
    <xdr:sp macro="" textlink="">
      <xdr:nvSpPr>
        <xdr:cNvPr id="46" name="Google Shape;372;p39">
          <a:extLst>
            <a:ext uri="{FF2B5EF4-FFF2-40B4-BE49-F238E27FC236}">
              <a16:creationId xmlns:a16="http://schemas.microsoft.com/office/drawing/2014/main" id="{00000000-0008-0000-0200-00002E000000}"/>
            </a:ext>
          </a:extLst>
        </xdr:cNvPr>
        <xdr:cNvSpPr/>
      </xdr:nvSpPr>
      <xdr:spPr>
        <a:xfrm>
          <a:off x="26682953" y="2294026"/>
          <a:ext cx="429210" cy="447607"/>
        </a:xfrm>
        <a:prstGeom prst="ellipse">
          <a:avLst/>
        </a:prstGeom>
        <a:solidFill>
          <a:schemeClr val="lt2"/>
        </a:solidFill>
        <a:ln w="28575" cap="flat" cmpd="sng">
          <a:solidFill>
            <a:srgbClr val="B56C10"/>
          </a:solidFill>
          <a:prstDash val="solid"/>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a:p>
      </xdr:txBody>
    </xdr:sp>
    <xdr:clientData/>
  </xdr:twoCellAnchor>
  <xdr:twoCellAnchor>
    <xdr:from>
      <xdr:col>37</xdr:col>
      <xdr:colOff>472197</xdr:colOff>
      <xdr:row>17</xdr:row>
      <xdr:rowOff>171950</xdr:rowOff>
    </xdr:from>
    <xdr:to>
      <xdr:col>38</xdr:col>
      <xdr:colOff>267995</xdr:colOff>
      <xdr:row>21</xdr:row>
      <xdr:rowOff>150926</xdr:rowOff>
    </xdr:to>
    <xdr:sp macro="" textlink="">
      <xdr:nvSpPr>
        <xdr:cNvPr id="47" name="Google Shape;373;p39">
          <a:extLst>
            <a:ext uri="{FF2B5EF4-FFF2-40B4-BE49-F238E27FC236}">
              <a16:creationId xmlns:a16="http://schemas.microsoft.com/office/drawing/2014/main" id="{00000000-0008-0000-0200-00002F000000}"/>
            </a:ext>
          </a:extLst>
        </xdr:cNvPr>
        <xdr:cNvSpPr/>
      </xdr:nvSpPr>
      <xdr:spPr>
        <a:xfrm>
          <a:off x="25784885" y="2886575"/>
          <a:ext cx="438735" cy="455226"/>
        </a:xfrm>
        <a:prstGeom prst="ellipse">
          <a:avLst/>
        </a:prstGeom>
        <a:solidFill>
          <a:schemeClr val="lt2"/>
        </a:solidFill>
        <a:ln w="28575" cap="flat" cmpd="sng">
          <a:solidFill>
            <a:srgbClr val="FFFF00"/>
          </a:solidFill>
          <a:prstDash val="solid"/>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a:p>
      </xdr:txBody>
    </xdr:sp>
    <xdr:clientData/>
  </xdr:twoCellAnchor>
  <xdr:twoCellAnchor>
    <xdr:from>
      <xdr:col>39</xdr:col>
      <xdr:colOff>74775</xdr:colOff>
      <xdr:row>17</xdr:row>
      <xdr:rowOff>171961</xdr:rowOff>
    </xdr:from>
    <xdr:to>
      <xdr:col>39</xdr:col>
      <xdr:colOff>494460</xdr:colOff>
      <xdr:row>21</xdr:row>
      <xdr:rowOff>150937</xdr:rowOff>
    </xdr:to>
    <xdr:sp macro="" textlink="">
      <xdr:nvSpPr>
        <xdr:cNvPr id="48" name="Google Shape;374;p39">
          <a:extLst>
            <a:ext uri="{FF2B5EF4-FFF2-40B4-BE49-F238E27FC236}">
              <a16:creationId xmlns:a16="http://schemas.microsoft.com/office/drawing/2014/main" id="{00000000-0008-0000-0200-000030000000}"/>
            </a:ext>
          </a:extLst>
        </xdr:cNvPr>
        <xdr:cNvSpPr/>
      </xdr:nvSpPr>
      <xdr:spPr>
        <a:xfrm>
          <a:off x="26673338" y="2886586"/>
          <a:ext cx="419685" cy="455226"/>
        </a:xfrm>
        <a:prstGeom prst="ellipse">
          <a:avLst/>
        </a:prstGeom>
        <a:solidFill>
          <a:schemeClr val="lt2"/>
        </a:solidFill>
        <a:ln w="28575" cap="flat" cmpd="sng">
          <a:solidFill>
            <a:srgbClr val="FF0000"/>
          </a:solidFill>
          <a:prstDash val="solid"/>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a:p>
      </xdr:txBody>
    </xdr:sp>
    <xdr:clientData/>
  </xdr:twoCellAnchor>
  <xdr:twoCellAnchor>
    <xdr:from>
      <xdr:col>5</xdr:col>
      <xdr:colOff>342900</xdr:colOff>
      <xdr:row>13</xdr:row>
      <xdr:rowOff>102870</xdr:rowOff>
    </xdr:from>
    <xdr:to>
      <xdr:col>6</xdr:col>
      <xdr:colOff>390525</xdr:colOff>
      <xdr:row>13</xdr:row>
      <xdr:rowOff>102870</xdr:rowOff>
    </xdr:to>
    <xdr:cxnSp macro="">
      <xdr:nvCxnSpPr>
        <xdr:cNvPr id="20" name="Łącznik prosty 19">
          <a:extLst>
            <a:ext uri="{FF2B5EF4-FFF2-40B4-BE49-F238E27FC236}">
              <a16:creationId xmlns:a16="http://schemas.microsoft.com/office/drawing/2014/main" id="{00000000-0008-0000-0200-000014000000}"/>
            </a:ext>
          </a:extLst>
        </xdr:cNvPr>
        <xdr:cNvCxnSpPr/>
      </xdr:nvCxnSpPr>
      <xdr:spPr>
        <a:xfrm flipH="1">
          <a:off x="3200400" y="1798320"/>
          <a:ext cx="685800" cy="0"/>
        </a:xfrm>
        <a:prstGeom prst="line">
          <a:avLst/>
        </a:prstGeom>
        <a:ln w="19050">
          <a:solidFill>
            <a:srgbClr val="FF5050"/>
          </a:solidFill>
          <a:tailEnd type="ova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0</xdr:col>
      <xdr:colOff>214721</xdr:colOff>
      <xdr:row>47</xdr:row>
      <xdr:rowOff>542</xdr:rowOff>
    </xdr:from>
    <xdr:to>
      <xdr:col>1</xdr:col>
      <xdr:colOff>170085</xdr:colOff>
      <xdr:row>49</xdr:row>
      <xdr:rowOff>37006</xdr:rowOff>
    </xdr:to>
    <xdr:sp macro="" textlink="">
      <xdr:nvSpPr>
        <xdr:cNvPr id="88" name="Owal 87">
          <a:extLst>
            <a:ext uri="{FF2B5EF4-FFF2-40B4-BE49-F238E27FC236}">
              <a16:creationId xmlns:a16="http://schemas.microsoft.com/office/drawing/2014/main" id="{00000000-0008-0000-0200-000058000000}"/>
            </a:ext>
          </a:extLst>
        </xdr:cNvPr>
        <xdr:cNvSpPr/>
      </xdr:nvSpPr>
      <xdr:spPr>
        <a:xfrm>
          <a:off x="214721" y="6736078"/>
          <a:ext cx="254721" cy="254178"/>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6</a:t>
          </a:r>
        </a:p>
      </xdr:txBody>
    </xdr:sp>
    <xdr:clientData/>
  </xdr:twoCellAnchor>
  <xdr:twoCellAnchor>
    <xdr:from>
      <xdr:col>5</xdr:col>
      <xdr:colOff>332559</xdr:colOff>
      <xdr:row>47</xdr:row>
      <xdr:rowOff>22314</xdr:rowOff>
    </xdr:from>
    <xdr:to>
      <xdr:col>5</xdr:col>
      <xdr:colOff>580749</xdr:colOff>
      <xdr:row>49</xdr:row>
      <xdr:rowOff>51429</xdr:rowOff>
    </xdr:to>
    <xdr:sp macro="" textlink="">
      <xdr:nvSpPr>
        <xdr:cNvPr id="89" name="Owal 88">
          <a:extLst>
            <a:ext uri="{FF2B5EF4-FFF2-40B4-BE49-F238E27FC236}">
              <a16:creationId xmlns:a16="http://schemas.microsoft.com/office/drawing/2014/main" id="{00000000-0008-0000-0200-000059000000}"/>
            </a:ext>
          </a:extLst>
        </xdr:cNvPr>
        <xdr:cNvSpPr/>
      </xdr:nvSpPr>
      <xdr:spPr>
        <a:xfrm>
          <a:off x="3190059" y="6757850"/>
          <a:ext cx="248190" cy="246829"/>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5</a:t>
          </a:r>
        </a:p>
      </xdr:txBody>
    </xdr:sp>
    <xdr:clientData/>
  </xdr:twoCellAnchor>
  <xdr:twoCellAnchor>
    <xdr:from>
      <xdr:col>2</xdr:col>
      <xdr:colOff>80283</xdr:colOff>
      <xdr:row>49</xdr:row>
      <xdr:rowOff>111577</xdr:rowOff>
    </xdr:from>
    <xdr:to>
      <xdr:col>2</xdr:col>
      <xdr:colOff>336093</xdr:colOff>
      <xdr:row>51</xdr:row>
      <xdr:rowOff>131168</xdr:rowOff>
    </xdr:to>
    <xdr:sp macro="" textlink="">
      <xdr:nvSpPr>
        <xdr:cNvPr id="90" name="Owal 89">
          <a:extLst>
            <a:ext uri="{FF2B5EF4-FFF2-40B4-BE49-F238E27FC236}">
              <a16:creationId xmlns:a16="http://schemas.microsoft.com/office/drawing/2014/main" id="{00000000-0008-0000-0200-00005A000000}"/>
            </a:ext>
          </a:extLst>
        </xdr:cNvPr>
        <xdr:cNvSpPr/>
      </xdr:nvSpPr>
      <xdr:spPr>
        <a:xfrm>
          <a:off x="1019176" y="7064827"/>
          <a:ext cx="255810" cy="237305"/>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7</a:t>
          </a:r>
        </a:p>
      </xdr:txBody>
    </xdr:sp>
    <xdr:clientData/>
  </xdr:twoCellAnchor>
  <xdr:twoCellAnchor>
    <xdr:from>
      <xdr:col>3</xdr:col>
      <xdr:colOff>592259</xdr:colOff>
      <xdr:row>53</xdr:row>
      <xdr:rowOff>1283</xdr:rowOff>
    </xdr:from>
    <xdr:to>
      <xdr:col>4</xdr:col>
      <xdr:colOff>208659</xdr:colOff>
      <xdr:row>55</xdr:row>
      <xdr:rowOff>27724</xdr:rowOff>
    </xdr:to>
    <xdr:sp macro="" textlink="">
      <xdr:nvSpPr>
        <xdr:cNvPr id="91" name="Owal 90">
          <a:extLst>
            <a:ext uri="{FF2B5EF4-FFF2-40B4-BE49-F238E27FC236}">
              <a16:creationId xmlns:a16="http://schemas.microsoft.com/office/drawing/2014/main" id="{00000000-0008-0000-0200-00005B000000}"/>
            </a:ext>
          </a:extLst>
        </xdr:cNvPr>
        <xdr:cNvSpPr/>
      </xdr:nvSpPr>
      <xdr:spPr>
        <a:xfrm>
          <a:off x="2170688" y="7389962"/>
          <a:ext cx="255935" cy="244155"/>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8</a:t>
          </a:r>
        </a:p>
      </xdr:txBody>
    </xdr:sp>
    <xdr:clientData/>
  </xdr:twoCellAnchor>
  <xdr:twoCellAnchor>
    <xdr:from>
      <xdr:col>2</xdr:col>
      <xdr:colOff>604973</xdr:colOff>
      <xdr:row>55</xdr:row>
      <xdr:rowOff>137976</xdr:rowOff>
    </xdr:from>
    <xdr:to>
      <xdr:col>3</xdr:col>
      <xdr:colOff>225057</xdr:colOff>
      <xdr:row>57</xdr:row>
      <xdr:rowOff>165186</xdr:rowOff>
    </xdr:to>
    <xdr:sp macro="" textlink="">
      <xdr:nvSpPr>
        <xdr:cNvPr id="92" name="Owal 91">
          <a:extLst>
            <a:ext uri="{FF2B5EF4-FFF2-40B4-BE49-F238E27FC236}">
              <a16:creationId xmlns:a16="http://schemas.microsoft.com/office/drawing/2014/main" id="{00000000-0008-0000-0200-00005C000000}"/>
            </a:ext>
          </a:extLst>
        </xdr:cNvPr>
        <xdr:cNvSpPr/>
      </xdr:nvSpPr>
      <xdr:spPr>
        <a:xfrm>
          <a:off x="1543866" y="7744369"/>
          <a:ext cx="259620" cy="244924"/>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9</a:t>
          </a:r>
        </a:p>
      </xdr:txBody>
    </xdr:sp>
    <xdr:clientData/>
  </xdr:twoCellAnchor>
  <xdr:twoCellAnchor>
    <xdr:from>
      <xdr:col>5</xdr:col>
      <xdr:colOff>119199</xdr:colOff>
      <xdr:row>59</xdr:row>
      <xdr:rowOff>102052</xdr:rowOff>
    </xdr:from>
    <xdr:to>
      <xdr:col>5</xdr:col>
      <xdr:colOff>376914</xdr:colOff>
      <xdr:row>61</xdr:row>
      <xdr:rowOff>121642</xdr:rowOff>
    </xdr:to>
    <xdr:sp macro="" textlink="">
      <xdr:nvSpPr>
        <xdr:cNvPr id="93" name="Owal 92">
          <a:extLst>
            <a:ext uri="{FF2B5EF4-FFF2-40B4-BE49-F238E27FC236}">
              <a16:creationId xmlns:a16="http://schemas.microsoft.com/office/drawing/2014/main" id="{00000000-0008-0000-0200-00005D000000}"/>
            </a:ext>
          </a:extLst>
        </xdr:cNvPr>
        <xdr:cNvSpPr/>
      </xdr:nvSpPr>
      <xdr:spPr>
        <a:xfrm>
          <a:off x="2976699" y="8143873"/>
          <a:ext cx="257715" cy="237305"/>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10</a:t>
          </a:r>
        </a:p>
      </xdr:txBody>
    </xdr:sp>
    <xdr:clientData/>
  </xdr:twoCellAnchor>
  <xdr:twoCellAnchor>
    <xdr:from>
      <xdr:col>4</xdr:col>
      <xdr:colOff>220164</xdr:colOff>
      <xdr:row>41</xdr:row>
      <xdr:rowOff>45719</xdr:rowOff>
    </xdr:from>
    <xdr:to>
      <xdr:col>4</xdr:col>
      <xdr:colOff>485499</xdr:colOff>
      <xdr:row>43</xdr:row>
      <xdr:rowOff>85720</xdr:rowOff>
    </xdr:to>
    <xdr:sp macro="" textlink="">
      <xdr:nvSpPr>
        <xdr:cNvPr id="94" name="Owal 93">
          <a:extLst>
            <a:ext uri="{FF2B5EF4-FFF2-40B4-BE49-F238E27FC236}">
              <a16:creationId xmlns:a16="http://schemas.microsoft.com/office/drawing/2014/main" id="{00000000-0008-0000-0200-00005E000000}"/>
            </a:ext>
          </a:extLst>
        </xdr:cNvPr>
        <xdr:cNvSpPr/>
      </xdr:nvSpPr>
      <xdr:spPr>
        <a:xfrm>
          <a:off x="2438128" y="6128112"/>
          <a:ext cx="265335" cy="257715"/>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2</a:t>
          </a:r>
        </a:p>
      </xdr:txBody>
    </xdr:sp>
    <xdr:clientData/>
  </xdr:twoCellAnchor>
  <xdr:twoCellAnchor>
    <xdr:from>
      <xdr:col>2</xdr:col>
      <xdr:colOff>486318</xdr:colOff>
      <xdr:row>38</xdr:row>
      <xdr:rowOff>206283</xdr:rowOff>
    </xdr:from>
    <xdr:to>
      <xdr:col>3</xdr:col>
      <xdr:colOff>116238</xdr:colOff>
      <xdr:row>40</xdr:row>
      <xdr:rowOff>25031</xdr:rowOff>
    </xdr:to>
    <xdr:sp macro="" textlink="">
      <xdr:nvSpPr>
        <xdr:cNvPr id="95" name="Owal 94">
          <a:extLst>
            <a:ext uri="{FF2B5EF4-FFF2-40B4-BE49-F238E27FC236}">
              <a16:creationId xmlns:a16="http://schemas.microsoft.com/office/drawing/2014/main" id="{00000000-0008-0000-0200-00005F000000}"/>
            </a:ext>
          </a:extLst>
        </xdr:cNvPr>
        <xdr:cNvSpPr/>
      </xdr:nvSpPr>
      <xdr:spPr>
        <a:xfrm>
          <a:off x="1425211" y="5649140"/>
          <a:ext cx="269456" cy="254177"/>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a:t>
          </a:r>
        </a:p>
      </xdr:txBody>
    </xdr:sp>
    <xdr:clientData/>
  </xdr:twoCellAnchor>
  <xdr:twoCellAnchor>
    <xdr:from>
      <xdr:col>5</xdr:col>
      <xdr:colOff>431620</xdr:colOff>
      <xdr:row>40</xdr:row>
      <xdr:rowOff>35105</xdr:rowOff>
    </xdr:from>
    <xdr:to>
      <xdr:col>6</xdr:col>
      <xdr:colOff>42179</xdr:colOff>
      <xdr:row>41</xdr:row>
      <xdr:rowOff>75378</xdr:rowOff>
    </xdr:to>
    <xdr:sp macro="" textlink="">
      <xdr:nvSpPr>
        <xdr:cNvPr id="96" name="Owal 95">
          <a:extLst>
            <a:ext uri="{FF2B5EF4-FFF2-40B4-BE49-F238E27FC236}">
              <a16:creationId xmlns:a16="http://schemas.microsoft.com/office/drawing/2014/main" id="{00000000-0008-0000-0200-000060000000}"/>
            </a:ext>
          </a:extLst>
        </xdr:cNvPr>
        <xdr:cNvSpPr/>
      </xdr:nvSpPr>
      <xdr:spPr>
        <a:xfrm>
          <a:off x="3289120" y="5913391"/>
          <a:ext cx="250095" cy="244380"/>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4</a:t>
          </a:r>
        </a:p>
      </xdr:txBody>
    </xdr:sp>
    <xdr:clientData/>
  </xdr:twoCellAnchor>
  <xdr:twoCellAnchor>
    <xdr:from>
      <xdr:col>1</xdr:col>
      <xdr:colOff>458289</xdr:colOff>
      <xdr:row>40</xdr:row>
      <xdr:rowOff>21226</xdr:rowOff>
    </xdr:from>
    <xdr:to>
      <xdr:col>2</xdr:col>
      <xdr:colOff>96879</xdr:colOff>
      <xdr:row>41</xdr:row>
      <xdr:rowOff>65419</xdr:rowOff>
    </xdr:to>
    <xdr:sp macro="" textlink="">
      <xdr:nvSpPr>
        <xdr:cNvPr id="97" name="Owal 96">
          <a:extLst>
            <a:ext uri="{FF2B5EF4-FFF2-40B4-BE49-F238E27FC236}">
              <a16:creationId xmlns:a16="http://schemas.microsoft.com/office/drawing/2014/main" id="{00000000-0008-0000-0200-000061000000}"/>
            </a:ext>
          </a:extLst>
        </xdr:cNvPr>
        <xdr:cNvSpPr/>
      </xdr:nvSpPr>
      <xdr:spPr>
        <a:xfrm>
          <a:off x="757646" y="5899512"/>
          <a:ext cx="278126" cy="248300"/>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3</a:t>
          </a:r>
        </a:p>
      </xdr:txBody>
    </xdr:sp>
    <xdr:clientData/>
  </xdr:twoCellAnchor>
  <xdr:twoCellAnchor>
    <xdr:from>
      <xdr:col>1</xdr:col>
      <xdr:colOff>252508</xdr:colOff>
      <xdr:row>67</xdr:row>
      <xdr:rowOff>120919</xdr:rowOff>
    </xdr:from>
    <xdr:to>
      <xdr:col>1</xdr:col>
      <xdr:colOff>497876</xdr:colOff>
      <xdr:row>69</xdr:row>
      <xdr:rowOff>4281</xdr:rowOff>
    </xdr:to>
    <xdr:sp macro="" textlink="">
      <xdr:nvSpPr>
        <xdr:cNvPr id="98" name="Owal 97">
          <a:extLst>
            <a:ext uri="{FF2B5EF4-FFF2-40B4-BE49-F238E27FC236}">
              <a16:creationId xmlns:a16="http://schemas.microsoft.com/office/drawing/2014/main" id="{00000000-0008-0000-0200-000062000000}"/>
            </a:ext>
          </a:extLst>
        </xdr:cNvPr>
        <xdr:cNvSpPr/>
      </xdr:nvSpPr>
      <xdr:spPr>
        <a:xfrm>
          <a:off x="554680" y="9179522"/>
          <a:ext cx="245368" cy="251225"/>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11</a:t>
          </a:r>
        </a:p>
      </xdr:txBody>
    </xdr:sp>
    <xdr:clientData/>
  </xdr:twoCellAnchor>
  <xdr:twoCellAnchor>
    <xdr:from>
      <xdr:col>3</xdr:col>
      <xdr:colOff>22313</xdr:colOff>
      <xdr:row>67</xdr:row>
      <xdr:rowOff>16429</xdr:rowOff>
    </xdr:from>
    <xdr:to>
      <xdr:col>3</xdr:col>
      <xdr:colOff>22313</xdr:colOff>
      <xdr:row>68</xdr:row>
      <xdr:rowOff>50056</xdr:rowOff>
    </xdr:to>
    <xdr:cxnSp macro="">
      <xdr:nvCxnSpPr>
        <xdr:cNvPr id="99" name="Łącznik prosty ze strzałką 98">
          <a:extLst>
            <a:ext uri="{FF2B5EF4-FFF2-40B4-BE49-F238E27FC236}">
              <a16:creationId xmlns:a16="http://schemas.microsoft.com/office/drawing/2014/main" id="{00000000-0008-0000-0200-000063000000}"/>
            </a:ext>
          </a:extLst>
        </xdr:cNvPr>
        <xdr:cNvCxnSpPr/>
      </xdr:nvCxnSpPr>
      <xdr:spPr>
        <a:xfrm flipV="1">
          <a:off x="1598865" y="9075032"/>
          <a:ext cx="0" cy="217558"/>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466397</xdr:colOff>
      <xdr:row>68</xdr:row>
      <xdr:rowOff>55590</xdr:rowOff>
    </xdr:from>
    <xdr:to>
      <xdr:col>3</xdr:col>
      <xdr:colOff>17089</xdr:colOff>
      <xdr:row>68</xdr:row>
      <xdr:rowOff>55590</xdr:rowOff>
    </xdr:to>
    <xdr:cxnSp macro="">
      <xdr:nvCxnSpPr>
        <xdr:cNvPr id="100" name="Łącznik prosty 99">
          <a:extLst>
            <a:ext uri="{FF2B5EF4-FFF2-40B4-BE49-F238E27FC236}">
              <a16:creationId xmlns:a16="http://schemas.microsoft.com/office/drawing/2014/main" id="{00000000-0008-0000-0200-000064000000}"/>
            </a:ext>
          </a:extLst>
        </xdr:cNvPr>
        <xdr:cNvCxnSpPr/>
      </xdr:nvCxnSpPr>
      <xdr:spPr>
        <a:xfrm>
          <a:off x="1405759" y="9298124"/>
          <a:ext cx="187882" cy="0"/>
        </a:xfrm>
        <a:prstGeom prst="line">
          <a:avLst/>
        </a:prstGeom>
        <a:ln>
          <a:solidFill>
            <a:srgbClr val="FF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446374</xdr:colOff>
      <xdr:row>68</xdr:row>
      <xdr:rowOff>51404</xdr:rowOff>
    </xdr:from>
    <xdr:to>
      <xdr:col>2</xdr:col>
      <xdr:colOff>444743</xdr:colOff>
      <xdr:row>68</xdr:row>
      <xdr:rowOff>51404</xdr:rowOff>
    </xdr:to>
    <xdr:cxnSp macro="">
      <xdr:nvCxnSpPr>
        <xdr:cNvPr id="101" name="Łącznik prosty 100">
          <a:extLst>
            <a:ext uri="{FF2B5EF4-FFF2-40B4-BE49-F238E27FC236}">
              <a16:creationId xmlns:a16="http://schemas.microsoft.com/office/drawing/2014/main" id="{00000000-0008-0000-0200-000065000000}"/>
            </a:ext>
          </a:extLst>
        </xdr:cNvPr>
        <xdr:cNvCxnSpPr/>
      </xdr:nvCxnSpPr>
      <xdr:spPr>
        <a:xfrm>
          <a:off x="748546" y="9293938"/>
          <a:ext cx="635559" cy="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471572</xdr:colOff>
      <xdr:row>61</xdr:row>
      <xdr:rowOff>148207</xdr:rowOff>
    </xdr:from>
    <xdr:ext cx="1054973" cy="277754"/>
    <xdr:pic>
      <xdr:nvPicPr>
        <xdr:cNvPr id="102" name="Obraz 101">
          <a:extLst>
            <a:ext uri="{FF2B5EF4-FFF2-40B4-BE49-F238E27FC236}">
              <a16:creationId xmlns:a16="http://schemas.microsoft.com/office/drawing/2014/main" id="{00000000-0008-0000-0200-000066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3329072" y="8407743"/>
          <a:ext cx="1054973" cy="277754"/>
        </a:xfrm>
        <a:prstGeom prst="rect">
          <a:avLst/>
        </a:prstGeom>
      </xdr:spPr>
    </xdr:pic>
    <xdr:clientData/>
  </xdr:oneCellAnchor>
  <xdr:oneCellAnchor>
    <xdr:from>
      <xdr:col>5</xdr:col>
      <xdr:colOff>471027</xdr:colOff>
      <xdr:row>65</xdr:row>
      <xdr:rowOff>44822</xdr:rowOff>
    </xdr:from>
    <xdr:ext cx="1176526" cy="267954"/>
    <xdr:pic>
      <xdr:nvPicPr>
        <xdr:cNvPr id="103" name="Obraz 102">
          <a:extLst>
            <a:ext uri="{FF2B5EF4-FFF2-40B4-BE49-F238E27FC236}">
              <a16:creationId xmlns:a16="http://schemas.microsoft.com/office/drawing/2014/main" id="{00000000-0008-0000-0200-000067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3328527" y="8739786"/>
          <a:ext cx="1176526" cy="267954"/>
        </a:xfrm>
        <a:prstGeom prst="rect">
          <a:avLst/>
        </a:prstGeom>
      </xdr:spPr>
    </xdr:pic>
    <xdr:clientData/>
  </xdr:oneCellAnchor>
  <xdr:oneCellAnchor>
    <xdr:from>
      <xdr:col>14</xdr:col>
      <xdr:colOff>448368</xdr:colOff>
      <xdr:row>40</xdr:row>
      <xdr:rowOff>48046</xdr:rowOff>
    </xdr:from>
    <xdr:ext cx="3252202" cy="2436817"/>
    <xdr:pic>
      <xdr:nvPicPr>
        <xdr:cNvPr id="110" name="Google Shape;331;p38">
          <a:extLst>
            <a:ext uri="{FF2B5EF4-FFF2-40B4-BE49-F238E27FC236}">
              <a16:creationId xmlns:a16="http://schemas.microsoft.com/office/drawing/2014/main" id="{00000000-0008-0000-0200-00006E000000}"/>
            </a:ext>
          </a:extLst>
        </xdr:cNvPr>
        <xdr:cNvPicPr preferRelativeResize="0"/>
      </xdr:nvPicPr>
      <xdr:blipFill rotWithShape="1">
        <a:blip xmlns:r="http://schemas.openxmlformats.org/officeDocument/2006/relationships" r:embed="rId13" cstate="email">
          <a:alphaModFix/>
          <a:extLst>
            <a:ext uri="{28A0092B-C50C-407E-A947-70E740481C1C}">
              <a14:useLocalDpi xmlns:a14="http://schemas.microsoft.com/office/drawing/2010/main"/>
            </a:ext>
          </a:extLst>
        </a:blip>
        <a:srcRect/>
        <a:stretch/>
      </xdr:blipFill>
      <xdr:spPr>
        <a:xfrm>
          <a:off x="11475597" y="5915446"/>
          <a:ext cx="3252202" cy="2436817"/>
        </a:xfrm>
        <a:prstGeom prst="rect">
          <a:avLst/>
        </a:prstGeom>
        <a:noFill/>
        <a:ln>
          <a:noFill/>
        </a:ln>
      </xdr:spPr>
    </xdr:pic>
    <xdr:clientData/>
  </xdr:oneCellAnchor>
  <xdr:twoCellAnchor>
    <xdr:from>
      <xdr:col>15</xdr:col>
      <xdr:colOff>76324</xdr:colOff>
      <xdr:row>45</xdr:row>
      <xdr:rowOff>83293</xdr:rowOff>
    </xdr:from>
    <xdr:to>
      <xdr:col>16</xdr:col>
      <xdr:colOff>26678</xdr:colOff>
      <xdr:row>50</xdr:row>
      <xdr:rowOff>17036</xdr:rowOff>
    </xdr:to>
    <xdr:sp macro="" textlink="">
      <xdr:nvSpPr>
        <xdr:cNvPr id="111" name="Google Shape;336;p38">
          <a:extLst>
            <a:ext uri="{FF2B5EF4-FFF2-40B4-BE49-F238E27FC236}">
              <a16:creationId xmlns:a16="http://schemas.microsoft.com/office/drawing/2014/main" id="{00000000-0008-0000-0200-00006F000000}"/>
            </a:ext>
          </a:extLst>
        </xdr:cNvPr>
        <xdr:cNvSpPr/>
      </xdr:nvSpPr>
      <xdr:spPr>
        <a:xfrm>
          <a:off x="11713153" y="6603836"/>
          <a:ext cx="559954" cy="576000"/>
        </a:xfrm>
        <a:prstGeom prst="ellipse">
          <a:avLst/>
        </a:prstGeom>
        <a:solidFill>
          <a:schemeClr val="lt2"/>
        </a:solidFill>
        <a:ln w="38100" cap="flat" cmpd="sng">
          <a:solidFill>
            <a:srgbClr val="38761D"/>
          </a:solidFill>
          <a:prstDash val="solid"/>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sz="1800">
            <a:solidFill>
              <a:srgbClr val="38761D"/>
            </a:solidFill>
          </a:endParaRPr>
        </a:p>
      </xdr:txBody>
    </xdr:sp>
    <xdr:clientData/>
  </xdr:twoCellAnchor>
  <xdr:twoCellAnchor>
    <xdr:from>
      <xdr:col>15</xdr:col>
      <xdr:colOff>80150</xdr:colOff>
      <xdr:row>53</xdr:row>
      <xdr:rowOff>110522</xdr:rowOff>
    </xdr:from>
    <xdr:to>
      <xdr:col>16</xdr:col>
      <xdr:colOff>22884</xdr:colOff>
      <xdr:row>59</xdr:row>
      <xdr:rowOff>722</xdr:rowOff>
    </xdr:to>
    <xdr:sp macro="" textlink="">
      <xdr:nvSpPr>
        <xdr:cNvPr id="112" name="Google Shape;337;p38">
          <a:extLst>
            <a:ext uri="{FF2B5EF4-FFF2-40B4-BE49-F238E27FC236}">
              <a16:creationId xmlns:a16="http://schemas.microsoft.com/office/drawing/2014/main" id="{00000000-0008-0000-0200-000070000000}"/>
            </a:ext>
          </a:extLst>
        </xdr:cNvPr>
        <xdr:cNvSpPr/>
      </xdr:nvSpPr>
      <xdr:spPr>
        <a:xfrm>
          <a:off x="11716979" y="7545465"/>
          <a:ext cx="552334" cy="576000"/>
        </a:xfrm>
        <a:prstGeom prst="ellipse">
          <a:avLst/>
        </a:prstGeom>
        <a:solidFill>
          <a:schemeClr val="lt2"/>
        </a:solidFill>
        <a:ln w="38100" cap="flat" cmpd="sng">
          <a:solidFill>
            <a:srgbClr val="B56C10"/>
          </a:solidFill>
          <a:prstDash val="solid"/>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sz="1800"/>
        </a:p>
      </xdr:txBody>
    </xdr:sp>
    <xdr:clientData/>
  </xdr:twoCellAnchor>
  <xdr:twoCellAnchor>
    <xdr:from>
      <xdr:col>17</xdr:col>
      <xdr:colOff>364245</xdr:colOff>
      <xdr:row>43</xdr:row>
      <xdr:rowOff>182457</xdr:rowOff>
    </xdr:from>
    <xdr:to>
      <xdr:col>18</xdr:col>
      <xdr:colOff>609598</xdr:colOff>
      <xdr:row>60</xdr:row>
      <xdr:rowOff>10888</xdr:rowOff>
    </xdr:to>
    <xdr:sp macro="" textlink="">
      <xdr:nvSpPr>
        <xdr:cNvPr id="113" name="Google Shape;344;p38">
          <a:extLst>
            <a:ext uri="{FF2B5EF4-FFF2-40B4-BE49-F238E27FC236}">
              <a16:creationId xmlns:a16="http://schemas.microsoft.com/office/drawing/2014/main" id="{00000000-0008-0000-0200-000071000000}"/>
            </a:ext>
          </a:extLst>
        </xdr:cNvPr>
        <xdr:cNvSpPr/>
      </xdr:nvSpPr>
      <xdr:spPr>
        <a:xfrm rot="5400000">
          <a:off x="12726607" y="6968067"/>
          <a:ext cx="1842288" cy="854953"/>
        </a:xfrm>
        <a:prstGeom prst="roundRect">
          <a:avLst>
            <a:gd name="adj" fmla="val 16667"/>
          </a:avLst>
        </a:prstGeom>
        <a:solidFill>
          <a:srgbClr val="999999"/>
        </a:solidFill>
        <a:ln w="38100" cap="flat" cmpd="sng">
          <a:solidFill>
            <a:srgbClr val="000000"/>
          </a:solidFill>
          <a:prstDash val="dash"/>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a:p>
      </xdr:txBody>
    </xdr:sp>
    <xdr:clientData/>
  </xdr:twoCellAnchor>
  <xdr:twoCellAnchor>
    <xdr:from>
      <xdr:col>17</xdr:col>
      <xdr:colOff>497446</xdr:colOff>
      <xdr:row>45</xdr:row>
      <xdr:rowOff>83285</xdr:rowOff>
    </xdr:from>
    <xdr:to>
      <xdr:col>18</xdr:col>
      <xdr:colOff>466851</xdr:colOff>
      <xdr:row>50</xdr:row>
      <xdr:rowOff>17028</xdr:rowOff>
    </xdr:to>
    <xdr:sp macro="" textlink="">
      <xdr:nvSpPr>
        <xdr:cNvPr id="114" name="Google Shape;345;p38">
          <a:extLst>
            <a:ext uri="{FF2B5EF4-FFF2-40B4-BE49-F238E27FC236}">
              <a16:creationId xmlns:a16="http://schemas.microsoft.com/office/drawing/2014/main" id="{00000000-0008-0000-0200-000072000000}"/>
            </a:ext>
          </a:extLst>
        </xdr:cNvPr>
        <xdr:cNvSpPr/>
      </xdr:nvSpPr>
      <xdr:spPr>
        <a:xfrm>
          <a:off x="13353475" y="6603828"/>
          <a:ext cx="579005" cy="576000"/>
        </a:xfrm>
        <a:prstGeom prst="ellipse">
          <a:avLst/>
        </a:prstGeom>
        <a:solidFill>
          <a:schemeClr val="lt2"/>
        </a:solidFill>
        <a:ln w="38100" cap="flat" cmpd="sng">
          <a:solidFill>
            <a:srgbClr val="FF0000"/>
          </a:solidFill>
          <a:prstDash val="solid"/>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sz="1800"/>
        </a:p>
      </xdr:txBody>
    </xdr:sp>
    <xdr:clientData/>
  </xdr:twoCellAnchor>
  <xdr:twoCellAnchor>
    <xdr:from>
      <xdr:col>17</xdr:col>
      <xdr:colOff>513218</xdr:colOff>
      <xdr:row>53</xdr:row>
      <xdr:rowOff>117503</xdr:rowOff>
    </xdr:from>
    <xdr:to>
      <xdr:col>18</xdr:col>
      <xdr:colOff>467383</xdr:colOff>
      <xdr:row>59</xdr:row>
      <xdr:rowOff>7703</xdr:rowOff>
    </xdr:to>
    <xdr:sp macro="" textlink="">
      <xdr:nvSpPr>
        <xdr:cNvPr id="115" name="Google Shape;346;p38">
          <a:extLst>
            <a:ext uri="{FF2B5EF4-FFF2-40B4-BE49-F238E27FC236}">
              <a16:creationId xmlns:a16="http://schemas.microsoft.com/office/drawing/2014/main" id="{00000000-0008-0000-0200-000073000000}"/>
            </a:ext>
          </a:extLst>
        </xdr:cNvPr>
        <xdr:cNvSpPr/>
      </xdr:nvSpPr>
      <xdr:spPr>
        <a:xfrm>
          <a:off x="13369247" y="7552446"/>
          <a:ext cx="563765" cy="576000"/>
        </a:xfrm>
        <a:prstGeom prst="ellipse">
          <a:avLst/>
        </a:prstGeom>
        <a:solidFill>
          <a:schemeClr val="lt2"/>
        </a:solidFill>
        <a:ln w="38100" cap="flat" cmpd="sng">
          <a:solidFill>
            <a:srgbClr val="FFFF00"/>
          </a:solidFill>
          <a:prstDash val="solid"/>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sz="1800"/>
        </a:p>
      </xdr:txBody>
    </xdr:sp>
    <xdr:clientData/>
  </xdr:twoCellAnchor>
  <xdr:twoCellAnchor>
    <xdr:from>
      <xdr:col>1</xdr:col>
      <xdr:colOff>149679</xdr:colOff>
      <xdr:row>47</xdr:row>
      <xdr:rowOff>131990</xdr:rowOff>
    </xdr:from>
    <xdr:to>
      <xdr:col>2</xdr:col>
      <xdr:colOff>134984</xdr:colOff>
      <xdr:row>47</xdr:row>
      <xdr:rowOff>131990</xdr:rowOff>
    </xdr:to>
    <xdr:cxnSp macro="">
      <xdr:nvCxnSpPr>
        <xdr:cNvPr id="122" name="Łącznik prosty 121">
          <a:extLst>
            <a:ext uri="{FF2B5EF4-FFF2-40B4-BE49-F238E27FC236}">
              <a16:creationId xmlns:a16="http://schemas.microsoft.com/office/drawing/2014/main" id="{00000000-0008-0000-0200-00007A000000}"/>
            </a:ext>
          </a:extLst>
        </xdr:cNvPr>
        <xdr:cNvCxnSpPr/>
      </xdr:nvCxnSpPr>
      <xdr:spPr>
        <a:xfrm>
          <a:off x="449036" y="6867526"/>
          <a:ext cx="624841" cy="0"/>
        </a:xfrm>
        <a:prstGeom prst="line">
          <a:avLst/>
        </a:prstGeom>
        <a:ln w="19050">
          <a:solidFill>
            <a:srgbClr val="FF5050"/>
          </a:solidFill>
          <a:tailEnd type="ova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37</xdr:col>
      <xdr:colOff>372244</xdr:colOff>
      <xdr:row>27</xdr:row>
      <xdr:rowOff>47378</xdr:rowOff>
    </xdr:from>
    <xdr:to>
      <xdr:col>44</xdr:col>
      <xdr:colOff>44744</xdr:colOff>
      <xdr:row>32</xdr:row>
      <xdr:rowOff>38545</xdr:rowOff>
    </xdr:to>
    <xdr:sp macro="" textlink="">
      <xdr:nvSpPr>
        <xdr:cNvPr id="123" name="Google Shape;340;p38">
          <a:extLst>
            <a:ext uri="{FF2B5EF4-FFF2-40B4-BE49-F238E27FC236}">
              <a16:creationId xmlns:a16="http://schemas.microsoft.com/office/drawing/2014/main" id="{00000000-0008-0000-0200-00007B000000}"/>
            </a:ext>
          </a:extLst>
        </xdr:cNvPr>
        <xdr:cNvSpPr txBox="1"/>
      </xdr:nvSpPr>
      <xdr:spPr>
        <a:xfrm>
          <a:off x="25684932" y="3952628"/>
          <a:ext cx="4173062" cy="657917"/>
        </a:xfrm>
        <a:prstGeom prst="rect">
          <a:avLst/>
        </a:prstGeom>
        <a:solidFill>
          <a:schemeClr val="bg1">
            <a:lumMod val="85000"/>
          </a:schemeClr>
        </a:solidFill>
        <a:ln w="9525" cap="flat" cmpd="sng">
          <a:solidFill>
            <a:srgbClr val="999999"/>
          </a:solidFill>
          <a:prstDash val="dash"/>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ctr" rtl="0">
            <a:spcBef>
              <a:spcPts val="0"/>
            </a:spcBef>
            <a:spcAft>
              <a:spcPts val="0"/>
            </a:spcAft>
            <a:buNone/>
          </a:pPr>
          <a:endParaRPr lang="pl-PL" sz="1200">
            <a:solidFill>
              <a:srgbClr val="FFFF00"/>
            </a:solidFill>
            <a:latin typeface="Roboto Condensed"/>
            <a:ea typeface="Roboto Condensed"/>
            <a:cs typeface="Roboto Condensed"/>
            <a:sym typeface="Roboto Condensed"/>
          </a:endParaRPr>
        </a:p>
        <a:p>
          <a:pPr marL="0" lvl="0" indent="0" algn="ctr" rtl="0">
            <a:spcBef>
              <a:spcPts val="0"/>
            </a:spcBef>
            <a:spcAft>
              <a:spcPts val="0"/>
            </a:spcAft>
            <a:buNone/>
          </a:pPr>
          <a:endParaRPr lang="pl-PL" sz="1200">
            <a:solidFill>
              <a:srgbClr val="FFFF00"/>
            </a:solidFill>
            <a:latin typeface="Roboto Condensed"/>
            <a:ea typeface="Roboto Condensed"/>
            <a:cs typeface="Roboto Condensed"/>
            <a:sym typeface="Roboto Condensed"/>
          </a:endParaRPr>
        </a:p>
        <a:p>
          <a:pPr marL="0" lvl="0" indent="0" algn="ctr" rtl="0">
            <a:spcBef>
              <a:spcPts val="0"/>
            </a:spcBef>
            <a:spcAft>
              <a:spcPts val="0"/>
            </a:spcAft>
            <a:buNone/>
          </a:pPr>
          <a:r>
            <a:rPr lang="de" sz="1200">
              <a:solidFill>
                <a:srgbClr val="FFFF00"/>
              </a:solidFill>
              <a:latin typeface="Roboto Condensed"/>
              <a:ea typeface="Roboto Condensed"/>
              <a:cs typeface="Roboto Condensed"/>
              <a:sym typeface="Roboto Condensed"/>
            </a:rPr>
            <a:t>A: </a:t>
          </a:r>
          <a:r>
            <a:rPr lang="pl-PL" sz="1200">
              <a:solidFill>
                <a:srgbClr val="FFFF00"/>
              </a:solidFill>
              <a:latin typeface="Roboto Condensed"/>
              <a:ea typeface="Roboto Condensed"/>
              <a:cs typeface="Roboto Condensed"/>
              <a:sym typeface="Roboto Condensed"/>
            </a:rPr>
            <a:t>Wywiew</a:t>
          </a:r>
          <a:r>
            <a:rPr lang="pl-PL" sz="1200" baseline="0">
              <a:solidFill>
                <a:srgbClr val="FFFF00"/>
              </a:solidFill>
              <a:latin typeface="Roboto Condensed"/>
              <a:ea typeface="Roboto Condensed"/>
              <a:cs typeface="Roboto Condensed"/>
              <a:sym typeface="Roboto Condensed"/>
            </a:rPr>
            <a:t> z pomieszczeń</a:t>
          </a:r>
          <a:r>
            <a:rPr lang="pl-PL" sz="1200">
              <a:solidFill>
                <a:srgbClr val="FFFF00"/>
              </a:solidFill>
              <a:latin typeface="Roboto Condensed"/>
              <a:ea typeface="Roboto Condensed"/>
              <a:cs typeface="Roboto Condensed"/>
              <a:sym typeface="Roboto Condensed"/>
            </a:rPr>
            <a:t>	</a:t>
          </a:r>
          <a:r>
            <a:rPr lang="pl-PL" sz="1200" baseline="0">
              <a:solidFill>
                <a:srgbClr val="FFFF00"/>
              </a:solidFill>
              <a:latin typeface="Roboto Condensed"/>
              <a:ea typeface="Roboto Condensed"/>
              <a:cs typeface="Roboto Condensed"/>
              <a:sym typeface="Roboto Condensed"/>
            </a:rPr>
            <a:t>  </a:t>
          </a:r>
          <a:r>
            <a:rPr lang="de" sz="1200">
              <a:solidFill>
                <a:srgbClr val="38761D"/>
              </a:solidFill>
              <a:latin typeface="Roboto Condensed"/>
              <a:ea typeface="Roboto Condensed"/>
              <a:cs typeface="Roboto Condensed"/>
              <a:sym typeface="Roboto Condensed"/>
            </a:rPr>
            <a:t>C: </a:t>
          </a:r>
          <a:r>
            <a:rPr lang="pl-PL" sz="1200">
              <a:solidFill>
                <a:srgbClr val="38761D"/>
              </a:solidFill>
              <a:latin typeface="Roboto Condensed"/>
              <a:ea typeface="Roboto Condensed"/>
              <a:cs typeface="Roboto Condensed"/>
              <a:sym typeface="Roboto Condensed"/>
            </a:rPr>
            <a:t>Czerpnia</a:t>
          </a:r>
          <a:r>
            <a:rPr lang="de" sz="1200">
              <a:solidFill>
                <a:srgbClr val="38761D"/>
              </a:solidFill>
              <a:latin typeface="Roboto Condensed"/>
              <a:ea typeface="Roboto Condensed"/>
              <a:cs typeface="Roboto Condensed"/>
              <a:sym typeface="Roboto Condensed"/>
            </a:rPr>
            <a:t> </a:t>
          </a:r>
          <a:r>
            <a:rPr lang="pl-PL" sz="1200">
              <a:solidFill>
                <a:srgbClr val="38761D"/>
              </a:solidFill>
              <a:latin typeface="Roboto Condensed"/>
              <a:ea typeface="Roboto Condensed"/>
              <a:cs typeface="Roboto Condensed"/>
              <a:sym typeface="Roboto Condensed"/>
            </a:rPr>
            <a:t>z zewnątrz</a:t>
          </a:r>
          <a:endParaRPr sz="1200">
            <a:solidFill>
              <a:srgbClr val="38761D"/>
            </a:solidFill>
            <a:latin typeface="Roboto Condensed"/>
            <a:ea typeface="Roboto Condensed"/>
            <a:cs typeface="Roboto Condensed"/>
            <a:sym typeface="Roboto Condensed"/>
          </a:endParaRPr>
        </a:p>
        <a:p>
          <a:pPr marL="0" lvl="0" indent="0" algn="ctr" rtl="0">
            <a:spcBef>
              <a:spcPts val="0"/>
            </a:spcBef>
            <a:spcAft>
              <a:spcPts val="0"/>
            </a:spcAft>
            <a:buNone/>
          </a:pPr>
          <a:r>
            <a:rPr lang="de" sz="1200">
              <a:solidFill>
                <a:srgbClr val="B56C10"/>
              </a:solidFill>
              <a:latin typeface="Roboto Condensed"/>
              <a:ea typeface="Roboto Condensed"/>
              <a:cs typeface="Roboto Condensed"/>
              <a:sym typeface="Roboto Condensed"/>
            </a:rPr>
            <a:t>B: </a:t>
          </a:r>
          <a:r>
            <a:rPr lang="pl-PL" sz="1200">
              <a:solidFill>
                <a:srgbClr val="B56C10"/>
              </a:solidFill>
              <a:latin typeface="Roboto Condensed"/>
              <a:ea typeface="Roboto Condensed"/>
              <a:cs typeface="Roboto Condensed"/>
              <a:sym typeface="Roboto Condensed"/>
            </a:rPr>
            <a:t>Wyrzutnia</a:t>
          </a:r>
          <a:r>
            <a:rPr lang="de" sz="1200">
              <a:solidFill>
                <a:srgbClr val="B56C10"/>
              </a:solidFill>
              <a:latin typeface="Roboto Condensed"/>
              <a:ea typeface="Roboto Condensed"/>
              <a:cs typeface="Roboto Condensed"/>
              <a:sym typeface="Roboto Condensed"/>
            </a:rPr>
            <a:t> </a:t>
          </a:r>
          <a:r>
            <a:rPr lang="pl-PL" sz="1200">
              <a:solidFill>
                <a:srgbClr val="B56C10"/>
              </a:solidFill>
              <a:latin typeface="Roboto Condensed"/>
              <a:ea typeface="Roboto Condensed"/>
              <a:cs typeface="Roboto Condensed"/>
              <a:sym typeface="Roboto Condensed"/>
            </a:rPr>
            <a:t>na zewnątrz	  </a:t>
          </a:r>
          <a:r>
            <a:rPr lang="de" sz="1200">
              <a:solidFill>
                <a:srgbClr val="FF0000"/>
              </a:solidFill>
              <a:latin typeface="Roboto Condensed"/>
              <a:ea typeface="Roboto Condensed"/>
              <a:cs typeface="Roboto Condensed"/>
              <a:sym typeface="Roboto Condensed"/>
            </a:rPr>
            <a:t>D: </a:t>
          </a:r>
          <a:r>
            <a:rPr lang="pl-PL" sz="1200">
              <a:solidFill>
                <a:srgbClr val="FF0000"/>
              </a:solidFill>
              <a:latin typeface="Roboto Condensed"/>
              <a:ea typeface="Roboto Condensed"/>
              <a:cs typeface="Roboto Condensed"/>
              <a:sym typeface="Roboto Condensed"/>
            </a:rPr>
            <a:t>Nawiew do pomieszczeń</a:t>
          </a:r>
          <a:endParaRPr sz="1200">
            <a:solidFill>
              <a:srgbClr val="FF0000"/>
            </a:solidFill>
            <a:latin typeface="Roboto Condensed"/>
            <a:ea typeface="Roboto Condensed"/>
            <a:cs typeface="Roboto Condensed"/>
            <a:sym typeface="Roboto Condensed"/>
          </a:endParaRPr>
        </a:p>
        <a:p>
          <a:pPr marL="0" lvl="0" indent="0" algn="ctr" rtl="0">
            <a:spcBef>
              <a:spcPts val="0"/>
            </a:spcBef>
            <a:spcAft>
              <a:spcPts val="0"/>
            </a:spcAft>
            <a:buNone/>
          </a:pPr>
          <a:endParaRPr sz="2800">
            <a:solidFill>
              <a:schemeClr val="dk1"/>
            </a:solidFill>
            <a:latin typeface="Roboto Condensed"/>
            <a:ea typeface="Roboto Condensed"/>
            <a:cs typeface="Roboto Condensed"/>
            <a:sym typeface="Roboto Condensed"/>
          </a:endParaRPr>
        </a:p>
      </xdr:txBody>
    </xdr:sp>
    <xdr:clientData/>
  </xdr:twoCellAnchor>
  <xdr:twoCellAnchor editAs="oneCell">
    <xdr:from>
      <xdr:col>20</xdr:col>
      <xdr:colOff>426980</xdr:colOff>
      <xdr:row>39</xdr:row>
      <xdr:rowOff>182691</xdr:rowOff>
    </xdr:from>
    <xdr:to>
      <xdr:col>32</xdr:col>
      <xdr:colOff>53340</xdr:colOff>
      <xdr:row>72</xdr:row>
      <xdr:rowOff>37013</xdr:rowOff>
    </xdr:to>
    <xdr:pic>
      <xdr:nvPicPr>
        <xdr:cNvPr id="125" name="Obraz 124">
          <a:extLst>
            <a:ext uri="{FF2B5EF4-FFF2-40B4-BE49-F238E27FC236}">
              <a16:creationId xmlns:a16="http://schemas.microsoft.com/office/drawing/2014/main" id="{00000000-0008-0000-0200-00007D000000}"/>
            </a:ext>
          </a:extLst>
        </xdr:cNvPr>
        <xdr:cNvPicPr>
          <a:picLocks noChangeAspect="1"/>
        </xdr:cNvPicPr>
      </xdr:nvPicPr>
      <xdr:blipFill rotWithShape="1">
        <a:blip xmlns:r="http://schemas.openxmlformats.org/officeDocument/2006/relationships" r:embed="rId14" cstate="email">
          <a:extLst>
            <a:ext uri="{28A0092B-C50C-407E-A947-70E740481C1C}">
              <a14:useLocalDpi xmlns:a14="http://schemas.microsoft.com/office/drawing/2010/main"/>
            </a:ext>
          </a:extLst>
        </a:blip>
        <a:srcRect/>
        <a:stretch/>
      </xdr:blipFill>
      <xdr:spPr>
        <a:xfrm>
          <a:off x="15166918" y="6183441"/>
          <a:ext cx="6976802" cy="4294060"/>
        </a:xfrm>
        <a:prstGeom prst="rect">
          <a:avLst/>
        </a:prstGeom>
      </xdr:spPr>
    </xdr:pic>
    <xdr:clientData/>
  </xdr:twoCellAnchor>
  <xdr:twoCellAnchor editAs="oneCell">
    <xdr:from>
      <xdr:col>21</xdr:col>
      <xdr:colOff>6394</xdr:colOff>
      <xdr:row>4</xdr:row>
      <xdr:rowOff>218686</xdr:rowOff>
    </xdr:from>
    <xdr:to>
      <xdr:col>31</xdr:col>
      <xdr:colOff>169271</xdr:colOff>
      <xdr:row>34</xdr:row>
      <xdr:rowOff>55914</xdr:rowOff>
    </xdr:to>
    <xdr:pic>
      <xdr:nvPicPr>
        <xdr:cNvPr id="126" name="Obraz 125">
          <a:extLst>
            <a:ext uri="{FF2B5EF4-FFF2-40B4-BE49-F238E27FC236}">
              <a16:creationId xmlns:a16="http://schemas.microsoft.com/office/drawing/2014/main" id="{00000000-0008-0000-0200-00007E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15368858" y="1089543"/>
          <a:ext cx="6225676" cy="3518777"/>
        </a:xfrm>
        <a:prstGeom prst="rect">
          <a:avLst/>
        </a:prstGeom>
      </xdr:spPr>
    </xdr:pic>
    <xdr:clientData/>
  </xdr:twoCellAnchor>
  <xdr:twoCellAnchor editAs="oneCell">
    <xdr:from>
      <xdr:col>1</xdr:col>
      <xdr:colOff>128450</xdr:colOff>
      <xdr:row>81</xdr:row>
      <xdr:rowOff>67432</xdr:rowOff>
    </xdr:from>
    <xdr:to>
      <xdr:col>12</xdr:col>
      <xdr:colOff>930718</xdr:colOff>
      <xdr:row>109</xdr:row>
      <xdr:rowOff>17417</xdr:rowOff>
    </xdr:to>
    <xdr:pic>
      <xdr:nvPicPr>
        <xdr:cNvPr id="128" name="Obraz 127">
          <a:extLst>
            <a:ext uri="{FF2B5EF4-FFF2-40B4-BE49-F238E27FC236}">
              <a16:creationId xmlns:a16="http://schemas.microsoft.com/office/drawing/2014/main" id="{00000000-0008-0000-0200-000080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27807" y="11592682"/>
          <a:ext cx="7609105" cy="4902985"/>
        </a:xfrm>
        <a:prstGeom prst="rect">
          <a:avLst/>
        </a:prstGeom>
      </xdr:spPr>
    </xdr:pic>
    <xdr:clientData/>
  </xdr:twoCellAnchor>
  <xdr:twoCellAnchor editAs="oneCell">
    <xdr:from>
      <xdr:col>12</xdr:col>
      <xdr:colOff>1809750</xdr:colOff>
      <xdr:row>81</xdr:row>
      <xdr:rowOff>48091</xdr:rowOff>
    </xdr:from>
    <xdr:to>
      <xdr:col>21</xdr:col>
      <xdr:colOff>417261</xdr:colOff>
      <xdr:row>108</xdr:row>
      <xdr:rowOff>153490</xdr:rowOff>
    </xdr:to>
    <xdr:pic>
      <xdr:nvPicPr>
        <xdr:cNvPr id="129" name="Obraz 128">
          <a:extLst>
            <a:ext uri="{FF2B5EF4-FFF2-40B4-BE49-F238E27FC236}">
              <a16:creationId xmlns:a16="http://schemas.microsoft.com/office/drawing/2014/main" id="{00000000-0008-0000-0200-000081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8109857" y="11573341"/>
          <a:ext cx="7666059" cy="4877696"/>
        </a:xfrm>
        <a:prstGeom prst="rect">
          <a:avLst/>
        </a:prstGeom>
      </xdr:spPr>
    </xdr:pic>
    <xdr:clientData/>
  </xdr:twoCellAnchor>
  <xdr:twoCellAnchor editAs="oneCell">
    <xdr:from>
      <xdr:col>9</xdr:col>
      <xdr:colOff>39822</xdr:colOff>
      <xdr:row>70</xdr:row>
      <xdr:rowOff>1634</xdr:rowOff>
    </xdr:from>
    <xdr:to>
      <xdr:col>10</xdr:col>
      <xdr:colOff>169184</xdr:colOff>
      <xdr:row>79</xdr:row>
      <xdr:rowOff>47353</xdr:rowOff>
    </xdr:to>
    <xdr:pic>
      <xdr:nvPicPr>
        <xdr:cNvPr id="130" name="Obraz 129">
          <a:extLst>
            <a:ext uri="{FF2B5EF4-FFF2-40B4-BE49-F238E27FC236}">
              <a16:creationId xmlns:a16="http://schemas.microsoft.com/office/drawing/2014/main" id="{00000000-0008-0000-0200-000082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4971051" y="9591948"/>
          <a:ext cx="924019" cy="1707424"/>
        </a:xfrm>
        <a:prstGeom prst="rect">
          <a:avLst/>
        </a:prstGeom>
      </xdr:spPr>
    </xdr:pic>
    <xdr:clientData/>
  </xdr:twoCellAnchor>
  <xdr:twoCellAnchor>
    <xdr:from>
      <xdr:col>8</xdr:col>
      <xdr:colOff>750562</xdr:colOff>
      <xdr:row>70</xdr:row>
      <xdr:rowOff>74680</xdr:rowOff>
    </xdr:from>
    <xdr:to>
      <xdr:col>9</xdr:col>
      <xdr:colOff>217714</xdr:colOff>
      <xdr:row>71</xdr:row>
      <xdr:rowOff>152400</xdr:rowOff>
    </xdr:to>
    <xdr:sp macro="" textlink="">
      <xdr:nvSpPr>
        <xdr:cNvPr id="131" name="Owal 130">
          <a:extLst>
            <a:ext uri="{FF2B5EF4-FFF2-40B4-BE49-F238E27FC236}">
              <a16:creationId xmlns:a16="http://schemas.microsoft.com/office/drawing/2014/main" id="{00000000-0008-0000-0200-000083000000}"/>
            </a:ext>
          </a:extLst>
        </xdr:cNvPr>
        <xdr:cNvSpPr/>
      </xdr:nvSpPr>
      <xdr:spPr>
        <a:xfrm>
          <a:off x="4887133" y="9664994"/>
          <a:ext cx="261810" cy="262777"/>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14</a:t>
          </a:r>
        </a:p>
      </xdr:txBody>
    </xdr:sp>
    <xdr:clientData/>
  </xdr:twoCellAnchor>
  <xdr:twoCellAnchor>
    <xdr:from>
      <xdr:col>28</xdr:col>
      <xdr:colOff>450574</xdr:colOff>
      <xdr:row>69</xdr:row>
      <xdr:rowOff>125896</xdr:rowOff>
    </xdr:from>
    <xdr:to>
      <xdr:col>30</xdr:col>
      <xdr:colOff>86139</xdr:colOff>
      <xdr:row>69</xdr:row>
      <xdr:rowOff>125896</xdr:rowOff>
    </xdr:to>
    <xdr:cxnSp macro="">
      <xdr:nvCxnSpPr>
        <xdr:cNvPr id="18" name="Łącznik prosty 17">
          <a:extLst>
            <a:ext uri="{FF2B5EF4-FFF2-40B4-BE49-F238E27FC236}">
              <a16:creationId xmlns:a16="http://schemas.microsoft.com/office/drawing/2014/main" id="{F2E3F3F3-CC6D-4F28-8132-6E0D0A7DFB41}"/>
            </a:ext>
          </a:extLst>
        </xdr:cNvPr>
        <xdr:cNvCxnSpPr/>
      </xdr:nvCxnSpPr>
      <xdr:spPr>
        <a:xfrm flipH="1">
          <a:off x="19732487" y="9488557"/>
          <a:ext cx="854765" cy="0"/>
        </a:xfrm>
        <a:prstGeom prst="line">
          <a:avLst/>
        </a:prstGeom>
        <a:ln>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477078</xdr:colOff>
      <xdr:row>67</xdr:row>
      <xdr:rowOff>72887</xdr:rowOff>
    </xdr:from>
    <xdr:to>
      <xdr:col>28</xdr:col>
      <xdr:colOff>477078</xdr:colOff>
      <xdr:row>69</xdr:row>
      <xdr:rowOff>125896</xdr:rowOff>
    </xdr:to>
    <xdr:cxnSp macro="">
      <xdr:nvCxnSpPr>
        <xdr:cNvPr id="33" name="Łącznik prosty ze strzałką 32">
          <a:extLst>
            <a:ext uri="{FF2B5EF4-FFF2-40B4-BE49-F238E27FC236}">
              <a16:creationId xmlns:a16="http://schemas.microsoft.com/office/drawing/2014/main" id="{C582A5CC-AA1F-42A2-8E3F-515BC6420D15}"/>
            </a:ext>
          </a:extLst>
        </xdr:cNvPr>
        <xdr:cNvCxnSpPr/>
      </xdr:nvCxnSpPr>
      <xdr:spPr>
        <a:xfrm>
          <a:off x="19758991" y="9064487"/>
          <a:ext cx="0" cy="424070"/>
        </a:xfrm>
        <a:prstGeom prst="straightConnector1">
          <a:avLst/>
        </a:prstGeom>
        <a:ln>
          <a:solidFill>
            <a:schemeClr val="tx1">
              <a:lumMod val="65000"/>
              <a:lumOff val="35000"/>
            </a:schemeClr>
          </a:solidFill>
          <a:headEnd type="triangle" w="sm" len="lg"/>
          <a:tailEnd type="triangle" w="sm"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123825</xdr:colOff>
      <xdr:row>67</xdr:row>
      <xdr:rowOff>128588</xdr:rowOff>
    </xdr:from>
    <xdr:to>
      <xdr:col>28</xdr:col>
      <xdr:colOff>490537</xdr:colOff>
      <xdr:row>69</xdr:row>
      <xdr:rowOff>47626</xdr:rowOff>
    </xdr:to>
    <xdr:sp macro="" textlink="">
      <xdr:nvSpPr>
        <xdr:cNvPr id="37" name="pole tekstowe 36">
          <a:extLst>
            <a:ext uri="{FF2B5EF4-FFF2-40B4-BE49-F238E27FC236}">
              <a16:creationId xmlns:a16="http://schemas.microsoft.com/office/drawing/2014/main" id="{F0830AB1-3583-4E95-AF4A-0B3738551033}"/>
            </a:ext>
          </a:extLst>
        </xdr:cNvPr>
        <xdr:cNvSpPr txBox="1"/>
      </xdr:nvSpPr>
      <xdr:spPr>
        <a:xfrm>
          <a:off x="19383375" y="8929688"/>
          <a:ext cx="366712" cy="2809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l-PL" sz="1400">
              <a:latin typeface="Roboto Condensed" panose="02000000000000000000" pitchFamily="2" charset="0"/>
              <a:ea typeface="Roboto Condensed" panose="02000000000000000000" pitchFamily="2" charset="0"/>
              <a:cs typeface="Arial" panose="020B0604020202020204" pitchFamily="34" charset="0"/>
            </a:rPr>
            <a:t>95</a:t>
          </a:r>
          <a:endParaRPr lang="en-US" sz="1400">
            <a:latin typeface="Roboto Condensed" panose="02000000000000000000" pitchFamily="2" charset="0"/>
            <a:ea typeface="Roboto Condensed" panose="02000000000000000000" pitchFamily="2" charset="0"/>
            <a:cs typeface="Arial" panose="020B0604020202020204" pitchFamily="34" charset="0"/>
          </a:endParaRPr>
        </a:p>
      </xdr:txBody>
    </xdr:sp>
    <xdr:clientData/>
  </xdr:twoCellAnchor>
  <xdr:twoCellAnchor>
    <xdr:from>
      <xdr:col>28</xdr:col>
      <xdr:colOff>195415</xdr:colOff>
      <xdr:row>31</xdr:row>
      <xdr:rowOff>91320</xdr:rowOff>
    </xdr:from>
    <xdr:to>
      <xdr:col>29</xdr:col>
      <xdr:colOff>440580</xdr:colOff>
      <xdr:row>31</xdr:row>
      <xdr:rowOff>91320</xdr:rowOff>
    </xdr:to>
    <xdr:cxnSp macro="">
      <xdr:nvCxnSpPr>
        <xdr:cNvPr id="74" name="Łącznik prosty 73">
          <a:extLst>
            <a:ext uri="{FF2B5EF4-FFF2-40B4-BE49-F238E27FC236}">
              <a16:creationId xmlns:a16="http://schemas.microsoft.com/office/drawing/2014/main" id="{27E2E8EF-D264-45E4-80B2-10773CB35E86}"/>
            </a:ext>
          </a:extLst>
        </xdr:cNvPr>
        <xdr:cNvCxnSpPr/>
      </xdr:nvCxnSpPr>
      <xdr:spPr>
        <a:xfrm flipH="1">
          <a:off x="19481898" y="4248161"/>
          <a:ext cx="854765" cy="0"/>
        </a:xfrm>
        <a:prstGeom prst="line">
          <a:avLst/>
        </a:prstGeom>
        <a:ln>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263961</xdr:colOff>
      <xdr:row>27</xdr:row>
      <xdr:rowOff>182078</xdr:rowOff>
    </xdr:from>
    <xdr:to>
      <xdr:col>28</xdr:col>
      <xdr:colOff>263961</xdr:colOff>
      <xdr:row>31</xdr:row>
      <xdr:rowOff>89338</xdr:rowOff>
    </xdr:to>
    <xdr:cxnSp macro="">
      <xdr:nvCxnSpPr>
        <xdr:cNvPr id="75" name="Łącznik prosty ze strzałką 74">
          <a:extLst>
            <a:ext uri="{FF2B5EF4-FFF2-40B4-BE49-F238E27FC236}">
              <a16:creationId xmlns:a16="http://schemas.microsoft.com/office/drawing/2014/main" id="{E83343A8-5169-4285-99C3-54C2925559B7}"/>
            </a:ext>
          </a:extLst>
        </xdr:cNvPr>
        <xdr:cNvCxnSpPr/>
      </xdr:nvCxnSpPr>
      <xdr:spPr>
        <a:xfrm>
          <a:off x="19550444" y="3897485"/>
          <a:ext cx="0" cy="348694"/>
        </a:xfrm>
        <a:prstGeom prst="straightConnector1">
          <a:avLst/>
        </a:prstGeom>
        <a:ln>
          <a:solidFill>
            <a:schemeClr val="tx1">
              <a:lumMod val="65000"/>
              <a:lumOff val="35000"/>
            </a:schemeClr>
          </a:solidFill>
          <a:headEnd type="triangle" w="sm" len="lg"/>
          <a:tailEnd type="triangle" w="sm"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520308</xdr:colOff>
      <xdr:row>28</xdr:row>
      <xdr:rowOff>20815</xdr:rowOff>
    </xdr:from>
    <xdr:to>
      <xdr:col>28</xdr:col>
      <xdr:colOff>277420</xdr:colOff>
      <xdr:row>31</xdr:row>
      <xdr:rowOff>44581</xdr:rowOff>
    </xdr:to>
    <xdr:sp macro="" textlink="">
      <xdr:nvSpPr>
        <xdr:cNvPr id="76" name="pole tekstowe 75">
          <a:extLst>
            <a:ext uri="{FF2B5EF4-FFF2-40B4-BE49-F238E27FC236}">
              <a16:creationId xmlns:a16="http://schemas.microsoft.com/office/drawing/2014/main" id="{4047D798-9C38-4255-B385-C76774EBCACD}"/>
            </a:ext>
          </a:extLst>
        </xdr:cNvPr>
        <xdr:cNvSpPr txBox="1"/>
      </xdr:nvSpPr>
      <xdr:spPr>
        <a:xfrm>
          <a:off x="19197191" y="3920153"/>
          <a:ext cx="366712" cy="2812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l-PL" sz="1400">
              <a:latin typeface="Roboto Condensed" panose="02000000000000000000" pitchFamily="2" charset="0"/>
              <a:ea typeface="Roboto Condensed" panose="02000000000000000000" pitchFamily="2" charset="0"/>
              <a:cs typeface="Arial" panose="020B0604020202020204" pitchFamily="34" charset="0"/>
            </a:rPr>
            <a:t>95</a:t>
          </a:r>
          <a:endParaRPr lang="en-US" sz="1400">
            <a:latin typeface="Roboto Condensed" panose="02000000000000000000" pitchFamily="2" charset="0"/>
            <a:ea typeface="Roboto Condensed" panose="02000000000000000000" pitchFamily="2" charset="0"/>
            <a:cs typeface="Arial" panose="020B0604020202020204" pitchFamily="34" charset="0"/>
          </a:endParaRPr>
        </a:p>
      </xdr:txBody>
    </xdr:sp>
    <xdr:clientData/>
  </xdr:twoCellAnchor>
  <xdr:twoCellAnchor editAs="oneCell">
    <xdr:from>
      <xdr:col>11</xdr:col>
      <xdr:colOff>147773</xdr:colOff>
      <xdr:row>70</xdr:row>
      <xdr:rowOff>18799</xdr:rowOff>
    </xdr:from>
    <xdr:to>
      <xdr:col>12</xdr:col>
      <xdr:colOff>1661123</xdr:colOff>
      <xdr:row>79</xdr:row>
      <xdr:rowOff>21227</xdr:rowOff>
    </xdr:to>
    <xdr:pic>
      <xdr:nvPicPr>
        <xdr:cNvPr id="2" name="Obraz 1">
          <a:extLst>
            <a:ext uri="{FF2B5EF4-FFF2-40B4-BE49-F238E27FC236}">
              <a16:creationId xmlns:a16="http://schemas.microsoft.com/office/drawing/2014/main" id="{01E45A3D-E986-7D62-E15C-258E017C67CE}"/>
            </a:ext>
          </a:extLst>
        </xdr:cNvPr>
        <xdr:cNvPicPr>
          <a:picLocks noChangeAspect="1"/>
        </xdr:cNvPicPr>
      </xdr:nvPicPr>
      <xdr:blipFill>
        <a:blip xmlns:r="http://schemas.openxmlformats.org/officeDocument/2006/relationships" r:embed="rId19"/>
        <a:stretch>
          <a:fillRect/>
        </a:stretch>
      </xdr:blipFill>
      <xdr:spPr>
        <a:xfrm>
          <a:off x="6651987" y="9339692"/>
          <a:ext cx="1758279" cy="1586844"/>
        </a:xfrm>
        <a:prstGeom prst="rect">
          <a:avLst/>
        </a:prstGeom>
      </xdr:spPr>
    </xdr:pic>
    <xdr:clientData/>
  </xdr:twoCellAnchor>
  <xdr:twoCellAnchor>
    <xdr:from>
      <xdr:col>10</xdr:col>
      <xdr:colOff>760358</xdr:colOff>
      <xdr:row>70</xdr:row>
      <xdr:rowOff>102982</xdr:rowOff>
    </xdr:from>
    <xdr:to>
      <xdr:col>11</xdr:col>
      <xdr:colOff>231321</xdr:colOff>
      <xdr:row>71</xdr:row>
      <xdr:rowOff>174987</xdr:rowOff>
    </xdr:to>
    <xdr:sp macro="" textlink="">
      <xdr:nvSpPr>
        <xdr:cNvPr id="24" name="Owal 23">
          <a:extLst>
            <a:ext uri="{FF2B5EF4-FFF2-40B4-BE49-F238E27FC236}">
              <a16:creationId xmlns:a16="http://schemas.microsoft.com/office/drawing/2014/main" id="{15856DD2-D6AA-491C-8AFD-6C82DD45D8CD}"/>
            </a:ext>
          </a:extLst>
        </xdr:cNvPr>
        <xdr:cNvSpPr/>
      </xdr:nvSpPr>
      <xdr:spPr>
        <a:xfrm>
          <a:off x="6475358" y="9423875"/>
          <a:ext cx="260177" cy="248898"/>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15</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11</xdr:col>
      <xdr:colOff>418360</xdr:colOff>
      <xdr:row>3</xdr:row>
      <xdr:rowOff>135591</xdr:rowOff>
    </xdr:from>
    <xdr:to>
      <xdr:col>21</xdr:col>
      <xdr:colOff>556348</xdr:colOff>
      <xdr:row>30</xdr:row>
      <xdr:rowOff>174694</xdr:rowOff>
    </xdr:to>
    <xdr:pic>
      <xdr:nvPicPr>
        <xdr:cNvPr id="2" name="Obraz 1">
          <a:extLst>
            <a:ext uri="{FF2B5EF4-FFF2-40B4-BE49-F238E27FC236}">
              <a16:creationId xmlns:a16="http://schemas.microsoft.com/office/drawing/2014/main" id="{54BFB940-FEFB-4361-9273-68346812FF7C}"/>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7074654" y="718297"/>
          <a:ext cx="6189165" cy="4880044"/>
        </a:xfrm>
        <a:prstGeom prst="rect">
          <a:avLst/>
        </a:prstGeom>
      </xdr:spPr>
    </xdr:pic>
    <xdr:clientData/>
  </xdr:twoCellAnchor>
  <xdr:twoCellAnchor editAs="oneCell">
    <xdr:from>
      <xdr:col>0</xdr:col>
      <xdr:colOff>590101</xdr:colOff>
      <xdr:row>36</xdr:row>
      <xdr:rowOff>33617</xdr:rowOff>
    </xdr:from>
    <xdr:to>
      <xdr:col>7</xdr:col>
      <xdr:colOff>428336</xdr:colOff>
      <xdr:row>55</xdr:row>
      <xdr:rowOff>149378</xdr:rowOff>
    </xdr:to>
    <xdr:pic>
      <xdr:nvPicPr>
        <xdr:cNvPr id="3" name="Obraz 2">
          <a:extLst>
            <a:ext uri="{FF2B5EF4-FFF2-40B4-BE49-F238E27FC236}">
              <a16:creationId xmlns:a16="http://schemas.microsoft.com/office/drawing/2014/main" id="{767D4FDB-62A0-44A4-9B4A-AD967F805A52}"/>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590101" y="6533029"/>
          <a:ext cx="4074059" cy="3522349"/>
        </a:xfrm>
        <a:prstGeom prst="rect">
          <a:avLst/>
        </a:prstGeom>
      </xdr:spPr>
    </xdr:pic>
    <xdr:clientData/>
  </xdr:twoCellAnchor>
  <xdr:twoCellAnchor editAs="oneCell">
    <xdr:from>
      <xdr:col>8</xdr:col>
      <xdr:colOff>318471</xdr:colOff>
      <xdr:row>36</xdr:row>
      <xdr:rowOff>37988</xdr:rowOff>
    </xdr:from>
    <xdr:to>
      <xdr:col>15</xdr:col>
      <xdr:colOff>23372</xdr:colOff>
      <xdr:row>57</xdr:row>
      <xdr:rowOff>10848</xdr:rowOff>
    </xdr:to>
    <xdr:pic>
      <xdr:nvPicPr>
        <xdr:cNvPr id="4" name="Obraz 3">
          <a:extLst>
            <a:ext uri="{FF2B5EF4-FFF2-40B4-BE49-F238E27FC236}">
              <a16:creationId xmlns:a16="http://schemas.microsoft.com/office/drawing/2014/main" id="{96DFC621-1494-477E-9BAF-95C92998D73D}"/>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5159412" y="6537400"/>
          <a:ext cx="3940725" cy="3738036"/>
        </a:xfrm>
        <a:prstGeom prst="rect">
          <a:avLst/>
        </a:prstGeom>
      </xdr:spPr>
    </xdr:pic>
    <xdr:clientData/>
  </xdr:twoCellAnchor>
  <xdr:twoCellAnchor editAs="oneCell">
    <xdr:from>
      <xdr:col>0</xdr:col>
      <xdr:colOff>166072</xdr:colOff>
      <xdr:row>2</xdr:row>
      <xdr:rowOff>132565</xdr:rowOff>
    </xdr:from>
    <xdr:to>
      <xdr:col>10</xdr:col>
      <xdr:colOff>234592</xdr:colOff>
      <xdr:row>34</xdr:row>
      <xdr:rowOff>68390</xdr:rowOff>
    </xdr:to>
    <xdr:pic>
      <xdr:nvPicPr>
        <xdr:cNvPr id="6" name="Obraz 5">
          <a:extLst>
            <a:ext uri="{FF2B5EF4-FFF2-40B4-BE49-F238E27FC236}">
              <a16:creationId xmlns:a16="http://schemas.microsoft.com/office/drawing/2014/main" id="{C9641F84-E93C-44DF-83F0-ECFA30A11F9F}"/>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66072" y="535977"/>
          <a:ext cx="6119696" cy="567323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21</xdr:col>
      <xdr:colOff>136457</xdr:colOff>
      <xdr:row>12</xdr:row>
      <xdr:rowOff>166687</xdr:rowOff>
    </xdr:from>
    <xdr:to>
      <xdr:col>31</xdr:col>
      <xdr:colOff>58037</xdr:colOff>
      <xdr:row>39</xdr:row>
      <xdr:rowOff>95372</xdr:rowOff>
    </xdr:to>
    <xdr:grpSp>
      <xdr:nvGrpSpPr>
        <xdr:cNvPr id="57" name="Grupa 56">
          <a:extLst>
            <a:ext uri="{FF2B5EF4-FFF2-40B4-BE49-F238E27FC236}">
              <a16:creationId xmlns:a16="http://schemas.microsoft.com/office/drawing/2014/main" id="{00000000-0008-0000-0400-000039000000}"/>
            </a:ext>
          </a:extLst>
        </xdr:cNvPr>
        <xdr:cNvGrpSpPr/>
      </xdr:nvGrpSpPr>
      <xdr:grpSpPr>
        <a:xfrm>
          <a:off x="15481504" y="2320426"/>
          <a:ext cx="6058402" cy="4697172"/>
          <a:chOff x="112060" y="1686485"/>
          <a:chExt cx="6024762" cy="4134972"/>
        </a:xfrm>
      </xdr:grpSpPr>
      <xdr:pic>
        <xdr:nvPicPr>
          <xdr:cNvPr id="20" name="Obraz 19">
            <a:extLst>
              <a:ext uri="{FF2B5EF4-FFF2-40B4-BE49-F238E27FC236}">
                <a16:creationId xmlns:a16="http://schemas.microsoft.com/office/drawing/2014/main" id="{00000000-0008-0000-0400-000014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12060" y="1686485"/>
            <a:ext cx="6024762" cy="4134972"/>
          </a:xfrm>
          <a:prstGeom prst="rect">
            <a:avLst/>
          </a:prstGeom>
        </xdr:spPr>
      </xdr:pic>
      <xdr:sp macro="" textlink="">
        <xdr:nvSpPr>
          <xdr:cNvPr id="25" name="Owal 24">
            <a:extLst>
              <a:ext uri="{FF2B5EF4-FFF2-40B4-BE49-F238E27FC236}">
                <a16:creationId xmlns:a16="http://schemas.microsoft.com/office/drawing/2014/main" id="{00000000-0008-0000-0400-000019000000}"/>
              </a:ext>
            </a:extLst>
          </xdr:cNvPr>
          <xdr:cNvSpPr/>
        </xdr:nvSpPr>
        <xdr:spPr>
          <a:xfrm>
            <a:off x="3835134" y="3413635"/>
            <a:ext cx="224116" cy="23132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pl-PL" sz="1200"/>
              <a:t>21</a:t>
            </a:r>
          </a:p>
        </xdr:txBody>
      </xdr:sp>
      <xdr:sp macro="" textlink="">
        <xdr:nvSpPr>
          <xdr:cNvPr id="27" name="Owal 26">
            <a:extLst>
              <a:ext uri="{FF2B5EF4-FFF2-40B4-BE49-F238E27FC236}">
                <a16:creationId xmlns:a16="http://schemas.microsoft.com/office/drawing/2014/main" id="{00000000-0008-0000-0400-00001B000000}"/>
              </a:ext>
            </a:extLst>
          </xdr:cNvPr>
          <xdr:cNvSpPr/>
        </xdr:nvSpPr>
        <xdr:spPr>
          <a:xfrm>
            <a:off x="1107222" y="2236777"/>
            <a:ext cx="228599" cy="23132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23</a:t>
            </a:r>
          </a:p>
        </xdr:txBody>
      </xdr:sp>
      <xdr:sp macro="" textlink="">
        <xdr:nvSpPr>
          <xdr:cNvPr id="29" name="Owal 28">
            <a:extLst>
              <a:ext uri="{FF2B5EF4-FFF2-40B4-BE49-F238E27FC236}">
                <a16:creationId xmlns:a16="http://schemas.microsoft.com/office/drawing/2014/main" id="{00000000-0008-0000-0400-00001D000000}"/>
              </a:ext>
            </a:extLst>
          </xdr:cNvPr>
          <xdr:cNvSpPr/>
        </xdr:nvSpPr>
        <xdr:spPr>
          <a:xfrm>
            <a:off x="3039355" y="2204039"/>
            <a:ext cx="224116" cy="23132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pl-PL" sz="1200"/>
              <a:t>24</a:t>
            </a:r>
          </a:p>
        </xdr:txBody>
      </xdr:sp>
      <xdr:sp macro="" textlink="">
        <xdr:nvSpPr>
          <xdr:cNvPr id="22" name="Owal 21">
            <a:extLst>
              <a:ext uri="{FF2B5EF4-FFF2-40B4-BE49-F238E27FC236}">
                <a16:creationId xmlns:a16="http://schemas.microsoft.com/office/drawing/2014/main" id="{00000000-0008-0000-0400-000016000000}"/>
              </a:ext>
            </a:extLst>
          </xdr:cNvPr>
          <xdr:cNvSpPr/>
        </xdr:nvSpPr>
        <xdr:spPr>
          <a:xfrm>
            <a:off x="5053054" y="3552587"/>
            <a:ext cx="231320" cy="23132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22</a:t>
            </a:r>
          </a:p>
        </xdr:txBody>
      </xdr:sp>
    </xdr:grpSp>
    <xdr:clientData/>
  </xdr:twoCellAnchor>
  <xdr:twoCellAnchor>
    <xdr:from>
      <xdr:col>9</xdr:col>
      <xdr:colOff>17689</xdr:colOff>
      <xdr:row>12</xdr:row>
      <xdr:rowOff>154781</xdr:rowOff>
    </xdr:from>
    <xdr:to>
      <xdr:col>20</xdr:col>
      <xdr:colOff>592627</xdr:colOff>
      <xdr:row>48</xdr:row>
      <xdr:rowOff>54835</xdr:rowOff>
    </xdr:to>
    <xdr:grpSp>
      <xdr:nvGrpSpPr>
        <xdr:cNvPr id="61" name="Grupa 60">
          <a:extLst>
            <a:ext uri="{FF2B5EF4-FFF2-40B4-BE49-F238E27FC236}">
              <a16:creationId xmlns:a16="http://schemas.microsoft.com/office/drawing/2014/main" id="{00000000-0008-0000-0400-00003D000000}"/>
            </a:ext>
          </a:extLst>
        </xdr:cNvPr>
        <xdr:cNvGrpSpPr/>
      </xdr:nvGrpSpPr>
      <xdr:grpSpPr>
        <a:xfrm>
          <a:off x="8022499" y="2304710"/>
          <a:ext cx="7302854" cy="6272006"/>
          <a:chOff x="13416643" y="204107"/>
          <a:chExt cx="7302551" cy="5657169"/>
        </a:xfrm>
      </xdr:grpSpPr>
      <xdr:pic>
        <xdr:nvPicPr>
          <xdr:cNvPr id="2" name="Obraz 1">
            <a:extLst>
              <a:ext uri="{FF2B5EF4-FFF2-40B4-BE49-F238E27FC236}">
                <a16:creationId xmlns:a16="http://schemas.microsoft.com/office/drawing/2014/main" id="{00000000-0008-0000-0400-000002000000}"/>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t="-241"/>
          <a:stretch/>
        </xdr:blipFill>
        <xdr:spPr>
          <a:xfrm>
            <a:off x="13416643" y="204107"/>
            <a:ext cx="7302551" cy="5657169"/>
          </a:xfrm>
          <a:prstGeom prst="rect">
            <a:avLst/>
          </a:prstGeom>
        </xdr:spPr>
      </xdr:pic>
      <xdr:sp macro="" textlink="">
        <xdr:nvSpPr>
          <xdr:cNvPr id="6" name="Owal 5">
            <a:extLst>
              <a:ext uri="{FF2B5EF4-FFF2-40B4-BE49-F238E27FC236}">
                <a16:creationId xmlns:a16="http://schemas.microsoft.com/office/drawing/2014/main" id="{00000000-0008-0000-0400-000006000000}"/>
              </a:ext>
            </a:extLst>
          </xdr:cNvPr>
          <xdr:cNvSpPr/>
        </xdr:nvSpPr>
        <xdr:spPr>
          <a:xfrm>
            <a:off x="15602729" y="444163"/>
            <a:ext cx="224116" cy="23132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7</a:t>
            </a:r>
          </a:p>
        </xdr:txBody>
      </xdr:sp>
      <xdr:sp macro="" textlink="">
        <xdr:nvSpPr>
          <xdr:cNvPr id="9" name="Owal 8">
            <a:extLst>
              <a:ext uri="{FF2B5EF4-FFF2-40B4-BE49-F238E27FC236}">
                <a16:creationId xmlns:a16="http://schemas.microsoft.com/office/drawing/2014/main" id="{00000000-0008-0000-0400-000009000000}"/>
              </a:ext>
            </a:extLst>
          </xdr:cNvPr>
          <xdr:cNvSpPr/>
        </xdr:nvSpPr>
        <xdr:spPr>
          <a:xfrm>
            <a:off x="14640597" y="2666589"/>
            <a:ext cx="224117" cy="23132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pl-PL" sz="1200"/>
              <a:t>8</a:t>
            </a:r>
          </a:p>
        </xdr:txBody>
      </xdr:sp>
      <xdr:sp macro="" textlink="">
        <xdr:nvSpPr>
          <xdr:cNvPr id="12" name="Owal 11">
            <a:extLst>
              <a:ext uri="{FF2B5EF4-FFF2-40B4-BE49-F238E27FC236}">
                <a16:creationId xmlns:a16="http://schemas.microsoft.com/office/drawing/2014/main" id="{00000000-0008-0000-0400-00000C000000}"/>
              </a:ext>
            </a:extLst>
          </xdr:cNvPr>
          <xdr:cNvSpPr/>
        </xdr:nvSpPr>
        <xdr:spPr>
          <a:xfrm>
            <a:off x="15308630" y="1175147"/>
            <a:ext cx="231911" cy="23132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12</a:t>
            </a:r>
          </a:p>
        </xdr:txBody>
      </xdr:sp>
      <xdr:sp macro="" textlink="">
        <xdr:nvSpPr>
          <xdr:cNvPr id="16" name="Owal 15">
            <a:extLst>
              <a:ext uri="{FF2B5EF4-FFF2-40B4-BE49-F238E27FC236}">
                <a16:creationId xmlns:a16="http://schemas.microsoft.com/office/drawing/2014/main" id="{00000000-0008-0000-0400-000010000000}"/>
              </a:ext>
            </a:extLst>
          </xdr:cNvPr>
          <xdr:cNvSpPr/>
        </xdr:nvSpPr>
        <xdr:spPr>
          <a:xfrm>
            <a:off x="17777145" y="4411102"/>
            <a:ext cx="230604" cy="23132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pl-PL" sz="1200"/>
              <a:t>18</a:t>
            </a:r>
          </a:p>
        </xdr:txBody>
      </xdr:sp>
      <xdr:sp macro="" textlink="">
        <xdr:nvSpPr>
          <xdr:cNvPr id="40" name="Owal 39">
            <a:extLst>
              <a:ext uri="{FF2B5EF4-FFF2-40B4-BE49-F238E27FC236}">
                <a16:creationId xmlns:a16="http://schemas.microsoft.com/office/drawing/2014/main" id="{00000000-0008-0000-0400-000028000000}"/>
              </a:ext>
            </a:extLst>
          </xdr:cNvPr>
          <xdr:cNvSpPr/>
        </xdr:nvSpPr>
        <xdr:spPr>
          <a:xfrm>
            <a:off x="18788806" y="2582506"/>
            <a:ext cx="225524" cy="23132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pl-PL" sz="1200"/>
              <a:t>8</a:t>
            </a:r>
          </a:p>
        </xdr:txBody>
      </xdr:sp>
      <xdr:sp macro="" textlink="">
        <xdr:nvSpPr>
          <xdr:cNvPr id="41" name="Owal 40">
            <a:extLst>
              <a:ext uri="{FF2B5EF4-FFF2-40B4-BE49-F238E27FC236}">
                <a16:creationId xmlns:a16="http://schemas.microsoft.com/office/drawing/2014/main" id="{00000000-0008-0000-0400-000029000000}"/>
              </a:ext>
            </a:extLst>
          </xdr:cNvPr>
          <xdr:cNvSpPr/>
        </xdr:nvSpPr>
        <xdr:spPr>
          <a:xfrm>
            <a:off x="17103683" y="1472983"/>
            <a:ext cx="231911" cy="23132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pl-PL" sz="1200"/>
              <a:t>12</a:t>
            </a:r>
          </a:p>
        </xdr:txBody>
      </xdr:sp>
      <xdr:sp macro="" textlink="">
        <xdr:nvSpPr>
          <xdr:cNvPr id="42" name="Owal 41">
            <a:extLst>
              <a:ext uri="{FF2B5EF4-FFF2-40B4-BE49-F238E27FC236}">
                <a16:creationId xmlns:a16="http://schemas.microsoft.com/office/drawing/2014/main" id="{00000000-0008-0000-0400-00002A000000}"/>
              </a:ext>
            </a:extLst>
          </xdr:cNvPr>
          <xdr:cNvSpPr/>
        </xdr:nvSpPr>
        <xdr:spPr>
          <a:xfrm>
            <a:off x="19445641" y="5303949"/>
            <a:ext cx="237808" cy="23132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18</a:t>
            </a:r>
          </a:p>
        </xdr:txBody>
      </xdr:sp>
      <xdr:sp macro="" textlink="">
        <xdr:nvSpPr>
          <xdr:cNvPr id="43" name="Owal 42">
            <a:extLst>
              <a:ext uri="{FF2B5EF4-FFF2-40B4-BE49-F238E27FC236}">
                <a16:creationId xmlns:a16="http://schemas.microsoft.com/office/drawing/2014/main" id="{00000000-0008-0000-0400-00002B000000}"/>
              </a:ext>
            </a:extLst>
          </xdr:cNvPr>
          <xdr:cNvSpPr/>
        </xdr:nvSpPr>
        <xdr:spPr>
          <a:xfrm>
            <a:off x="17331544" y="277848"/>
            <a:ext cx="233768" cy="234524"/>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pl-PL" sz="1200"/>
              <a:t>8</a:t>
            </a:r>
          </a:p>
        </xdr:txBody>
      </xdr:sp>
      <xdr:sp macro="" textlink="">
        <xdr:nvSpPr>
          <xdr:cNvPr id="44" name="Owal 43">
            <a:extLst>
              <a:ext uri="{FF2B5EF4-FFF2-40B4-BE49-F238E27FC236}">
                <a16:creationId xmlns:a16="http://schemas.microsoft.com/office/drawing/2014/main" id="{00000000-0008-0000-0400-00002C000000}"/>
              </a:ext>
            </a:extLst>
          </xdr:cNvPr>
          <xdr:cNvSpPr/>
        </xdr:nvSpPr>
        <xdr:spPr>
          <a:xfrm>
            <a:off x="19686701" y="262160"/>
            <a:ext cx="218321" cy="234524"/>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pl-PL" sz="1200"/>
              <a:t>8</a:t>
            </a:r>
          </a:p>
        </xdr:txBody>
      </xdr:sp>
      <xdr:sp macro="" textlink="">
        <xdr:nvSpPr>
          <xdr:cNvPr id="45" name="Owal 44">
            <a:extLst>
              <a:ext uri="{FF2B5EF4-FFF2-40B4-BE49-F238E27FC236}">
                <a16:creationId xmlns:a16="http://schemas.microsoft.com/office/drawing/2014/main" id="{00000000-0008-0000-0400-00002D000000}"/>
              </a:ext>
            </a:extLst>
          </xdr:cNvPr>
          <xdr:cNvSpPr/>
        </xdr:nvSpPr>
        <xdr:spPr>
          <a:xfrm>
            <a:off x="13646021" y="3767027"/>
            <a:ext cx="224116" cy="23132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7</a:t>
            </a:r>
          </a:p>
        </xdr:txBody>
      </xdr:sp>
    </xdr:grpSp>
    <xdr:clientData/>
  </xdr:twoCellAnchor>
  <xdr:twoCellAnchor>
    <xdr:from>
      <xdr:col>2</xdr:col>
      <xdr:colOff>2721</xdr:colOff>
      <xdr:row>49</xdr:row>
      <xdr:rowOff>22413</xdr:rowOff>
    </xdr:from>
    <xdr:to>
      <xdr:col>11</xdr:col>
      <xdr:colOff>37111</xdr:colOff>
      <xdr:row>77</xdr:row>
      <xdr:rowOff>1</xdr:rowOff>
    </xdr:to>
    <xdr:grpSp>
      <xdr:nvGrpSpPr>
        <xdr:cNvPr id="60" name="Grupa 59">
          <a:extLst>
            <a:ext uri="{FF2B5EF4-FFF2-40B4-BE49-F238E27FC236}">
              <a16:creationId xmlns:a16="http://schemas.microsoft.com/office/drawing/2014/main" id="{00000000-0008-0000-0400-00003C000000}"/>
            </a:ext>
          </a:extLst>
        </xdr:cNvPr>
        <xdr:cNvGrpSpPr/>
      </xdr:nvGrpSpPr>
      <xdr:grpSpPr>
        <a:xfrm>
          <a:off x="288471" y="8713567"/>
          <a:ext cx="8974283" cy="4934398"/>
          <a:chOff x="13416643" y="6594663"/>
          <a:chExt cx="7987393" cy="5311588"/>
        </a:xfrm>
      </xdr:grpSpPr>
      <xdr:pic>
        <xdr:nvPicPr>
          <xdr:cNvPr id="5" name="Obraz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13416643" y="6594663"/>
            <a:ext cx="7987393" cy="5311588"/>
          </a:xfrm>
          <a:prstGeom prst="rect">
            <a:avLst/>
          </a:prstGeom>
        </xdr:spPr>
      </xdr:pic>
      <xdr:sp macro="" textlink="">
        <xdr:nvSpPr>
          <xdr:cNvPr id="31" name="Owal 30">
            <a:extLst>
              <a:ext uri="{FF2B5EF4-FFF2-40B4-BE49-F238E27FC236}">
                <a16:creationId xmlns:a16="http://schemas.microsoft.com/office/drawing/2014/main" id="{00000000-0008-0000-0400-00001F000000}"/>
              </a:ext>
            </a:extLst>
          </xdr:cNvPr>
          <xdr:cNvSpPr/>
        </xdr:nvSpPr>
        <xdr:spPr>
          <a:xfrm>
            <a:off x="13691187" y="9970838"/>
            <a:ext cx="224117" cy="23132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pl-PL" sz="1200"/>
              <a:t>8</a:t>
            </a:r>
          </a:p>
        </xdr:txBody>
      </xdr:sp>
      <xdr:sp macro="" textlink="">
        <xdr:nvSpPr>
          <xdr:cNvPr id="46" name="Owal 45">
            <a:extLst>
              <a:ext uri="{FF2B5EF4-FFF2-40B4-BE49-F238E27FC236}">
                <a16:creationId xmlns:a16="http://schemas.microsoft.com/office/drawing/2014/main" id="{00000000-0008-0000-0400-00002E000000}"/>
              </a:ext>
            </a:extLst>
          </xdr:cNvPr>
          <xdr:cNvSpPr/>
        </xdr:nvSpPr>
        <xdr:spPr>
          <a:xfrm>
            <a:off x="17884908" y="10055202"/>
            <a:ext cx="224117" cy="23132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pl-PL" sz="1200"/>
              <a:t>8</a:t>
            </a:r>
          </a:p>
        </xdr:txBody>
      </xdr:sp>
      <xdr:sp macro="" textlink="">
        <xdr:nvSpPr>
          <xdr:cNvPr id="47" name="Owal 46">
            <a:extLst>
              <a:ext uri="{FF2B5EF4-FFF2-40B4-BE49-F238E27FC236}">
                <a16:creationId xmlns:a16="http://schemas.microsoft.com/office/drawing/2014/main" id="{00000000-0008-0000-0400-00002F000000}"/>
              </a:ext>
            </a:extLst>
          </xdr:cNvPr>
          <xdr:cNvSpPr/>
        </xdr:nvSpPr>
        <xdr:spPr>
          <a:xfrm>
            <a:off x="16023451" y="9336744"/>
            <a:ext cx="224117" cy="23132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pl-PL" sz="1200"/>
              <a:t>7</a:t>
            </a:r>
          </a:p>
        </xdr:txBody>
      </xdr:sp>
    </xdr:grpSp>
    <xdr:clientData/>
  </xdr:twoCellAnchor>
  <xdr:twoCellAnchor>
    <xdr:from>
      <xdr:col>11</xdr:col>
      <xdr:colOff>110836</xdr:colOff>
      <xdr:row>49</xdr:row>
      <xdr:rowOff>19152</xdr:rowOff>
    </xdr:from>
    <xdr:to>
      <xdr:col>20</xdr:col>
      <xdr:colOff>604301</xdr:colOff>
      <xdr:row>77</xdr:row>
      <xdr:rowOff>19151</xdr:rowOff>
    </xdr:to>
    <xdr:grpSp>
      <xdr:nvGrpSpPr>
        <xdr:cNvPr id="58" name="Grupa 57">
          <a:extLst>
            <a:ext uri="{FF2B5EF4-FFF2-40B4-BE49-F238E27FC236}">
              <a16:creationId xmlns:a16="http://schemas.microsoft.com/office/drawing/2014/main" id="{00000000-0008-0000-0400-00003A000000}"/>
            </a:ext>
          </a:extLst>
        </xdr:cNvPr>
        <xdr:cNvGrpSpPr/>
      </xdr:nvGrpSpPr>
      <xdr:grpSpPr>
        <a:xfrm>
          <a:off x="9336479" y="8710306"/>
          <a:ext cx="6002453" cy="4952999"/>
          <a:chOff x="138546" y="6762750"/>
          <a:chExt cx="6010542" cy="5333999"/>
        </a:xfrm>
      </xdr:grpSpPr>
      <xdr:pic>
        <xdr:nvPicPr>
          <xdr:cNvPr id="7" name="Obraz 6">
            <a:extLst>
              <a:ext uri="{FF2B5EF4-FFF2-40B4-BE49-F238E27FC236}">
                <a16:creationId xmlns:a16="http://schemas.microsoft.com/office/drawing/2014/main" id="{00000000-0008-0000-0400-000007000000}"/>
              </a:ext>
            </a:extLst>
          </xdr:cNvPr>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138546" y="6762750"/>
            <a:ext cx="6010542" cy="5333999"/>
          </a:xfrm>
          <a:prstGeom prst="rect">
            <a:avLst/>
          </a:prstGeom>
        </xdr:spPr>
      </xdr:pic>
      <xdr:sp macro="" textlink="">
        <xdr:nvSpPr>
          <xdr:cNvPr id="48" name="Owal 47">
            <a:extLst>
              <a:ext uri="{FF2B5EF4-FFF2-40B4-BE49-F238E27FC236}">
                <a16:creationId xmlns:a16="http://schemas.microsoft.com/office/drawing/2014/main" id="{00000000-0008-0000-0400-000030000000}"/>
              </a:ext>
            </a:extLst>
          </xdr:cNvPr>
          <xdr:cNvSpPr/>
        </xdr:nvSpPr>
        <xdr:spPr>
          <a:xfrm>
            <a:off x="5048250" y="8518071"/>
            <a:ext cx="224117" cy="23132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13</a:t>
            </a:r>
          </a:p>
        </xdr:txBody>
      </xdr:sp>
      <xdr:sp macro="" textlink="">
        <xdr:nvSpPr>
          <xdr:cNvPr id="49" name="Owal 48">
            <a:extLst>
              <a:ext uri="{FF2B5EF4-FFF2-40B4-BE49-F238E27FC236}">
                <a16:creationId xmlns:a16="http://schemas.microsoft.com/office/drawing/2014/main" id="{00000000-0008-0000-0400-000031000000}"/>
              </a:ext>
            </a:extLst>
          </xdr:cNvPr>
          <xdr:cNvSpPr/>
        </xdr:nvSpPr>
        <xdr:spPr>
          <a:xfrm>
            <a:off x="1553936" y="8643256"/>
            <a:ext cx="224117" cy="23132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8</a:t>
            </a:r>
          </a:p>
        </xdr:txBody>
      </xdr:sp>
      <xdr:sp macro="" textlink="">
        <xdr:nvSpPr>
          <xdr:cNvPr id="50" name="Owal 49">
            <a:extLst>
              <a:ext uri="{FF2B5EF4-FFF2-40B4-BE49-F238E27FC236}">
                <a16:creationId xmlns:a16="http://schemas.microsoft.com/office/drawing/2014/main" id="{00000000-0008-0000-0400-000032000000}"/>
              </a:ext>
            </a:extLst>
          </xdr:cNvPr>
          <xdr:cNvSpPr/>
        </xdr:nvSpPr>
        <xdr:spPr>
          <a:xfrm>
            <a:off x="1856015" y="9435192"/>
            <a:ext cx="224117" cy="23132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7</a:t>
            </a:r>
          </a:p>
        </xdr:txBody>
      </xdr:sp>
      <xdr:sp macro="" textlink="">
        <xdr:nvSpPr>
          <xdr:cNvPr id="51" name="Owal 50">
            <a:extLst>
              <a:ext uri="{FF2B5EF4-FFF2-40B4-BE49-F238E27FC236}">
                <a16:creationId xmlns:a16="http://schemas.microsoft.com/office/drawing/2014/main" id="{00000000-0008-0000-0400-000033000000}"/>
              </a:ext>
            </a:extLst>
          </xdr:cNvPr>
          <xdr:cNvSpPr/>
        </xdr:nvSpPr>
        <xdr:spPr>
          <a:xfrm>
            <a:off x="4615542" y="11160578"/>
            <a:ext cx="224117" cy="23132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23</a:t>
            </a:r>
          </a:p>
        </xdr:txBody>
      </xdr:sp>
    </xdr:grpSp>
    <xdr:clientData/>
  </xdr:twoCellAnchor>
  <xdr:twoCellAnchor>
    <xdr:from>
      <xdr:col>21</xdr:col>
      <xdr:colOff>152721</xdr:colOff>
      <xdr:row>39</xdr:row>
      <xdr:rowOff>172656</xdr:rowOff>
    </xdr:from>
    <xdr:to>
      <xdr:col>31</xdr:col>
      <xdr:colOff>37088</xdr:colOff>
      <xdr:row>82</xdr:row>
      <xdr:rowOff>91014</xdr:rowOff>
    </xdr:to>
    <xdr:grpSp>
      <xdr:nvGrpSpPr>
        <xdr:cNvPr id="59" name="Grupa 58">
          <a:extLst>
            <a:ext uri="{FF2B5EF4-FFF2-40B4-BE49-F238E27FC236}">
              <a16:creationId xmlns:a16="http://schemas.microsoft.com/office/drawing/2014/main" id="{00000000-0008-0000-0400-00003B000000}"/>
            </a:ext>
          </a:extLst>
        </xdr:cNvPr>
        <xdr:cNvGrpSpPr/>
      </xdr:nvGrpSpPr>
      <xdr:grpSpPr>
        <a:xfrm>
          <a:off x="15501578" y="7094882"/>
          <a:ext cx="6021189" cy="7532371"/>
          <a:chOff x="143621" y="12192000"/>
          <a:chExt cx="6007580" cy="7919358"/>
        </a:xfrm>
      </xdr:grpSpPr>
      <xdr:pic>
        <xdr:nvPicPr>
          <xdr:cNvPr id="10" name="Obraz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43621" y="12192000"/>
            <a:ext cx="6007580" cy="7919358"/>
          </a:xfrm>
          <a:prstGeom prst="rect">
            <a:avLst/>
          </a:prstGeom>
        </xdr:spPr>
      </xdr:pic>
      <xdr:sp macro="" textlink="">
        <xdr:nvSpPr>
          <xdr:cNvPr id="52" name="Owal 51">
            <a:extLst>
              <a:ext uri="{FF2B5EF4-FFF2-40B4-BE49-F238E27FC236}">
                <a16:creationId xmlns:a16="http://schemas.microsoft.com/office/drawing/2014/main" id="{00000000-0008-0000-0400-000034000000}"/>
              </a:ext>
            </a:extLst>
          </xdr:cNvPr>
          <xdr:cNvSpPr/>
        </xdr:nvSpPr>
        <xdr:spPr>
          <a:xfrm>
            <a:off x="4305299" y="13435693"/>
            <a:ext cx="224117" cy="23132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23</a:t>
            </a:r>
          </a:p>
        </xdr:txBody>
      </xdr:sp>
      <xdr:sp macro="" textlink="">
        <xdr:nvSpPr>
          <xdr:cNvPr id="53" name="Owal 52">
            <a:extLst>
              <a:ext uri="{FF2B5EF4-FFF2-40B4-BE49-F238E27FC236}">
                <a16:creationId xmlns:a16="http://schemas.microsoft.com/office/drawing/2014/main" id="{00000000-0008-0000-0400-000035000000}"/>
              </a:ext>
            </a:extLst>
          </xdr:cNvPr>
          <xdr:cNvSpPr/>
        </xdr:nvSpPr>
        <xdr:spPr>
          <a:xfrm>
            <a:off x="4308020" y="12839700"/>
            <a:ext cx="224117" cy="23132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13</a:t>
            </a:r>
          </a:p>
        </xdr:txBody>
      </xdr:sp>
      <xdr:sp macro="" textlink="">
        <xdr:nvSpPr>
          <xdr:cNvPr id="55" name="Owal 54">
            <a:extLst>
              <a:ext uri="{FF2B5EF4-FFF2-40B4-BE49-F238E27FC236}">
                <a16:creationId xmlns:a16="http://schemas.microsoft.com/office/drawing/2014/main" id="{00000000-0008-0000-0400-000037000000}"/>
              </a:ext>
            </a:extLst>
          </xdr:cNvPr>
          <xdr:cNvSpPr/>
        </xdr:nvSpPr>
        <xdr:spPr>
          <a:xfrm>
            <a:off x="3643992" y="14461672"/>
            <a:ext cx="224117" cy="23132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21</a:t>
            </a:r>
          </a:p>
        </xdr:txBody>
      </xdr:sp>
      <xdr:sp macro="" textlink="">
        <xdr:nvSpPr>
          <xdr:cNvPr id="56" name="Owal 55">
            <a:extLst>
              <a:ext uri="{FF2B5EF4-FFF2-40B4-BE49-F238E27FC236}">
                <a16:creationId xmlns:a16="http://schemas.microsoft.com/office/drawing/2014/main" id="{00000000-0008-0000-0400-000038000000}"/>
              </a:ext>
            </a:extLst>
          </xdr:cNvPr>
          <xdr:cNvSpPr/>
        </xdr:nvSpPr>
        <xdr:spPr>
          <a:xfrm>
            <a:off x="2514599" y="13958207"/>
            <a:ext cx="224117" cy="23132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13</a:t>
            </a:r>
          </a:p>
        </xdr:txBody>
      </xdr:sp>
    </xdr:grpSp>
    <xdr:clientData/>
  </xdr:twoCellAnchor>
  <xdr:twoCellAnchor editAs="oneCell">
    <xdr:from>
      <xdr:col>12</xdr:col>
      <xdr:colOff>282005</xdr:colOff>
      <xdr:row>78</xdr:row>
      <xdr:rowOff>8964</xdr:rowOff>
    </xdr:from>
    <xdr:to>
      <xdr:col>16</xdr:col>
      <xdr:colOff>401670</xdr:colOff>
      <xdr:row>92</xdr:row>
      <xdr:rowOff>39666</xdr:rowOff>
    </xdr:to>
    <xdr:pic>
      <xdr:nvPicPr>
        <xdr:cNvPr id="3" name="Obraz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9394629" y="11429999"/>
          <a:ext cx="2674044" cy="2599765"/>
        </a:xfrm>
        <a:prstGeom prst="rect">
          <a:avLst/>
        </a:prstGeom>
      </xdr:spPr>
    </xdr:pic>
    <xdr:clientData/>
  </xdr:twoCellAnchor>
  <xdr:twoCellAnchor editAs="oneCell">
    <xdr:from>
      <xdr:col>16</xdr:col>
      <xdr:colOff>492973</xdr:colOff>
      <xdr:row>78</xdr:row>
      <xdr:rowOff>13447</xdr:rowOff>
    </xdr:from>
    <xdr:to>
      <xdr:col>21</xdr:col>
      <xdr:colOff>535</xdr:colOff>
      <xdr:row>92</xdr:row>
      <xdr:rowOff>19037</xdr:rowOff>
    </xdr:to>
    <xdr:pic>
      <xdr:nvPicPr>
        <xdr:cNvPr id="4" name="Obraz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12169502" y="11434482"/>
          <a:ext cx="2678688" cy="2591798"/>
        </a:xfrm>
        <a:prstGeom prst="rect">
          <a:avLst/>
        </a:prstGeom>
      </xdr:spPr>
    </xdr:pic>
    <xdr:clientData/>
  </xdr:twoCellAnchor>
  <xdr:twoCellAnchor>
    <xdr:from>
      <xdr:col>17</xdr:col>
      <xdr:colOff>496318</xdr:colOff>
      <xdr:row>82</xdr:row>
      <xdr:rowOff>86387</xdr:rowOff>
    </xdr:from>
    <xdr:to>
      <xdr:col>18</xdr:col>
      <xdr:colOff>88845</xdr:colOff>
      <xdr:row>83</xdr:row>
      <xdr:rowOff>125768</xdr:rowOff>
    </xdr:to>
    <xdr:sp macro="" textlink="">
      <xdr:nvSpPr>
        <xdr:cNvPr id="39" name="Owal 38">
          <a:extLst>
            <a:ext uri="{FF2B5EF4-FFF2-40B4-BE49-F238E27FC236}">
              <a16:creationId xmlns:a16="http://schemas.microsoft.com/office/drawing/2014/main" id="{00000000-0008-0000-0400-000027000000}"/>
            </a:ext>
          </a:extLst>
        </xdr:cNvPr>
        <xdr:cNvSpPr/>
      </xdr:nvSpPr>
      <xdr:spPr>
        <a:xfrm>
          <a:off x="12813824" y="12242528"/>
          <a:ext cx="233503" cy="223158"/>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9</a:t>
          </a:r>
        </a:p>
      </xdr:txBody>
    </xdr:sp>
    <xdr:clientData/>
  </xdr:twoCellAnchor>
  <xdr:twoCellAnchor>
    <xdr:from>
      <xdr:col>15</xdr:col>
      <xdr:colOff>142212</xdr:colOff>
      <xdr:row>84</xdr:row>
      <xdr:rowOff>104316</xdr:rowOff>
    </xdr:from>
    <xdr:to>
      <xdr:col>15</xdr:col>
      <xdr:colOff>375715</xdr:colOff>
      <xdr:row>85</xdr:row>
      <xdr:rowOff>143697</xdr:rowOff>
    </xdr:to>
    <xdr:sp macro="" textlink="">
      <xdr:nvSpPr>
        <xdr:cNvPr id="54" name="Owal 53">
          <a:extLst>
            <a:ext uri="{FF2B5EF4-FFF2-40B4-BE49-F238E27FC236}">
              <a16:creationId xmlns:a16="http://schemas.microsoft.com/office/drawing/2014/main" id="{00000000-0008-0000-0400-000036000000}"/>
            </a:ext>
          </a:extLst>
        </xdr:cNvPr>
        <xdr:cNvSpPr/>
      </xdr:nvSpPr>
      <xdr:spPr>
        <a:xfrm>
          <a:off x="11177765" y="12628010"/>
          <a:ext cx="233503" cy="223158"/>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9</a:t>
          </a:r>
        </a:p>
      </xdr:txBody>
    </xdr:sp>
    <xdr:clientData/>
  </xdr:twoCellAnchor>
  <xdr:twoCellAnchor>
    <xdr:from>
      <xdr:col>13</xdr:col>
      <xdr:colOff>281165</xdr:colOff>
      <xdr:row>79</xdr:row>
      <xdr:rowOff>14668</xdr:rowOff>
    </xdr:from>
    <xdr:to>
      <xdr:col>13</xdr:col>
      <xdr:colOff>514668</xdr:colOff>
      <xdr:row>80</xdr:row>
      <xdr:rowOff>54050</xdr:rowOff>
    </xdr:to>
    <xdr:sp macro="" textlink="">
      <xdr:nvSpPr>
        <xdr:cNvPr id="62" name="Owal 61">
          <a:extLst>
            <a:ext uri="{FF2B5EF4-FFF2-40B4-BE49-F238E27FC236}">
              <a16:creationId xmlns:a16="http://schemas.microsoft.com/office/drawing/2014/main" id="{00000000-0008-0000-0400-00003E000000}"/>
            </a:ext>
          </a:extLst>
        </xdr:cNvPr>
        <xdr:cNvSpPr/>
      </xdr:nvSpPr>
      <xdr:spPr>
        <a:xfrm>
          <a:off x="10034765" y="11619480"/>
          <a:ext cx="233503" cy="223158"/>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8</a:t>
          </a:r>
        </a:p>
      </xdr:txBody>
    </xdr:sp>
    <xdr:clientData/>
  </xdr:twoCellAnchor>
  <xdr:twoCellAnchor editAs="oneCell">
    <xdr:from>
      <xdr:col>17</xdr:col>
      <xdr:colOff>394607</xdr:colOff>
      <xdr:row>94</xdr:row>
      <xdr:rowOff>35515</xdr:rowOff>
    </xdr:from>
    <xdr:to>
      <xdr:col>19</xdr:col>
      <xdr:colOff>266429</xdr:colOff>
      <xdr:row>105</xdr:row>
      <xdr:rowOff>173875</xdr:rowOff>
    </xdr:to>
    <xdr:pic>
      <xdr:nvPicPr>
        <xdr:cNvPr id="8" name="Obraz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2681857" y="14418265"/>
          <a:ext cx="1154702" cy="2076560"/>
        </a:xfrm>
        <a:prstGeom prst="rect">
          <a:avLst/>
        </a:prstGeom>
      </xdr:spPr>
    </xdr:pic>
    <xdr:clientData/>
  </xdr:twoCellAnchor>
  <xdr:twoCellAnchor>
    <xdr:from>
      <xdr:col>17</xdr:col>
      <xdr:colOff>418212</xdr:colOff>
      <xdr:row>94</xdr:row>
      <xdr:rowOff>115744</xdr:rowOff>
    </xdr:from>
    <xdr:to>
      <xdr:col>18</xdr:col>
      <xdr:colOff>71436</xdr:colOff>
      <xdr:row>96</xdr:row>
      <xdr:rowOff>11905</xdr:rowOff>
    </xdr:to>
    <xdr:sp macro="" textlink="">
      <xdr:nvSpPr>
        <xdr:cNvPr id="63" name="Owal 62">
          <a:extLst>
            <a:ext uri="{FF2B5EF4-FFF2-40B4-BE49-F238E27FC236}">
              <a16:creationId xmlns:a16="http://schemas.microsoft.com/office/drawing/2014/main" id="{00000000-0008-0000-0400-00003F000000}"/>
            </a:ext>
          </a:extLst>
        </xdr:cNvPr>
        <xdr:cNvSpPr/>
      </xdr:nvSpPr>
      <xdr:spPr>
        <a:xfrm>
          <a:off x="12086337" y="15165244"/>
          <a:ext cx="260443" cy="253349"/>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31</a:t>
          </a:r>
        </a:p>
      </xdr:txBody>
    </xdr:sp>
    <xdr:clientData/>
  </xdr:twoCellAnchor>
  <xdr:twoCellAnchor editAs="oneCell">
    <xdr:from>
      <xdr:col>13</xdr:col>
      <xdr:colOff>194311</xdr:colOff>
      <xdr:row>93</xdr:row>
      <xdr:rowOff>149679</xdr:rowOff>
    </xdr:from>
    <xdr:to>
      <xdr:col>16</xdr:col>
      <xdr:colOff>97170</xdr:colOff>
      <xdr:row>105</xdr:row>
      <xdr:rowOff>91442</xdr:rowOff>
    </xdr:to>
    <xdr:pic>
      <xdr:nvPicPr>
        <xdr:cNvPr id="11" name="Obraz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9923418" y="14355536"/>
          <a:ext cx="1813845" cy="2064476"/>
        </a:xfrm>
        <a:prstGeom prst="rect">
          <a:avLst/>
        </a:prstGeom>
      </xdr:spPr>
    </xdr:pic>
    <xdr:clientData/>
  </xdr:twoCellAnchor>
  <xdr:twoCellAnchor>
    <xdr:from>
      <xdr:col>13</xdr:col>
      <xdr:colOff>312078</xdr:colOff>
      <xdr:row>94</xdr:row>
      <xdr:rowOff>40633</xdr:rowOff>
    </xdr:from>
    <xdr:to>
      <xdr:col>13</xdr:col>
      <xdr:colOff>543340</xdr:colOff>
      <xdr:row>95</xdr:row>
      <xdr:rowOff>78109</xdr:rowOff>
    </xdr:to>
    <xdr:sp macro="" textlink="">
      <xdr:nvSpPr>
        <xdr:cNvPr id="64" name="Owal 63">
          <a:extLst>
            <a:ext uri="{FF2B5EF4-FFF2-40B4-BE49-F238E27FC236}">
              <a16:creationId xmlns:a16="http://schemas.microsoft.com/office/drawing/2014/main" id="{00000000-0008-0000-0400-000040000000}"/>
            </a:ext>
          </a:extLst>
        </xdr:cNvPr>
        <xdr:cNvSpPr/>
      </xdr:nvSpPr>
      <xdr:spPr>
        <a:xfrm>
          <a:off x="10041185" y="14423383"/>
          <a:ext cx="231262" cy="214369"/>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24</a:t>
          </a:r>
        </a:p>
      </xdr:txBody>
    </xdr:sp>
    <xdr:clientData/>
  </xdr:twoCellAnchor>
  <xdr:twoCellAnchor editAs="oneCell">
    <xdr:from>
      <xdr:col>21</xdr:col>
      <xdr:colOff>346364</xdr:colOff>
      <xdr:row>85</xdr:row>
      <xdr:rowOff>16131</xdr:rowOff>
    </xdr:from>
    <xdr:to>
      <xdr:col>25</xdr:col>
      <xdr:colOff>569750</xdr:colOff>
      <xdr:row>95</xdr:row>
      <xdr:rowOff>94901</xdr:rowOff>
    </xdr:to>
    <xdr:pic>
      <xdr:nvPicPr>
        <xdr:cNvPr id="13" name="Obraz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5240000" y="12727676"/>
          <a:ext cx="2821112" cy="1806781"/>
        </a:xfrm>
        <a:prstGeom prst="rect">
          <a:avLst/>
        </a:prstGeom>
      </xdr:spPr>
    </xdr:pic>
    <xdr:clientData/>
  </xdr:twoCellAnchor>
  <xdr:twoCellAnchor editAs="oneCell">
    <xdr:from>
      <xdr:col>21</xdr:col>
      <xdr:colOff>536864</xdr:colOff>
      <xdr:row>98</xdr:row>
      <xdr:rowOff>21128</xdr:rowOff>
    </xdr:from>
    <xdr:to>
      <xdr:col>25</xdr:col>
      <xdr:colOff>132720</xdr:colOff>
      <xdr:row>105</xdr:row>
      <xdr:rowOff>94673</xdr:rowOff>
    </xdr:to>
    <xdr:pic>
      <xdr:nvPicPr>
        <xdr:cNvPr id="14" name="Obraz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15430500" y="14984037"/>
          <a:ext cx="2206917" cy="1299151"/>
        </a:xfrm>
        <a:prstGeom prst="rect">
          <a:avLst/>
        </a:prstGeom>
      </xdr:spPr>
    </xdr:pic>
    <xdr:clientData/>
  </xdr:twoCellAnchor>
  <xdr:twoCellAnchor>
    <xdr:from>
      <xdr:col>22</xdr:col>
      <xdr:colOff>142285</xdr:colOff>
      <xdr:row>99</xdr:row>
      <xdr:rowOff>153201</xdr:rowOff>
    </xdr:from>
    <xdr:to>
      <xdr:col>22</xdr:col>
      <xdr:colOff>369737</xdr:colOff>
      <xdr:row>101</xdr:row>
      <xdr:rowOff>17496</xdr:rowOff>
    </xdr:to>
    <xdr:sp macro="" textlink="">
      <xdr:nvSpPr>
        <xdr:cNvPr id="65" name="Owal 64">
          <a:extLst>
            <a:ext uri="{FF2B5EF4-FFF2-40B4-BE49-F238E27FC236}">
              <a16:creationId xmlns:a16="http://schemas.microsoft.com/office/drawing/2014/main" id="{00000000-0008-0000-0400-000041000000}"/>
            </a:ext>
          </a:extLst>
        </xdr:cNvPr>
        <xdr:cNvSpPr/>
      </xdr:nvSpPr>
      <xdr:spPr>
        <a:xfrm>
          <a:off x="15648985" y="15936126"/>
          <a:ext cx="227452" cy="226245"/>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29</a:t>
          </a:r>
        </a:p>
      </xdr:txBody>
    </xdr:sp>
    <xdr:clientData/>
  </xdr:twoCellAnchor>
  <xdr:twoCellAnchor>
    <xdr:from>
      <xdr:col>21</xdr:col>
      <xdr:colOff>637585</xdr:colOff>
      <xdr:row>87</xdr:row>
      <xdr:rowOff>134151</xdr:rowOff>
    </xdr:from>
    <xdr:to>
      <xdr:col>22</xdr:col>
      <xdr:colOff>198287</xdr:colOff>
      <xdr:row>88</xdr:row>
      <xdr:rowOff>179421</xdr:rowOff>
    </xdr:to>
    <xdr:sp macro="" textlink="">
      <xdr:nvSpPr>
        <xdr:cNvPr id="66" name="Owal 65">
          <a:extLst>
            <a:ext uri="{FF2B5EF4-FFF2-40B4-BE49-F238E27FC236}">
              <a16:creationId xmlns:a16="http://schemas.microsoft.com/office/drawing/2014/main" id="{00000000-0008-0000-0400-000042000000}"/>
            </a:ext>
          </a:extLst>
        </xdr:cNvPr>
        <xdr:cNvSpPr/>
      </xdr:nvSpPr>
      <xdr:spPr>
        <a:xfrm>
          <a:off x="15477535" y="13745376"/>
          <a:ext cx="227452" cy="226245"/>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28</a:t>
          </a:r>
        </a:p>
      </xdr:txBody>
    </xdr:sp>
    <xdr:clientData/>
  </xdr:twoCellAnchor>
  <xdr:twoCellAnchor editAs="oneCell">
    <xdr:from>
      <xdr:col>9</xdr:col>
      <xdr:colOff>181927</xdr:colOff>
      <xdr:row>0</xdr:row>
      <xdr:rowOff>25718</xdr:rowOff>
    </xdr:from>
    <xdr:to>
      <xdr:col>18</xdr:col>
      <xdr:colOff>473719</xdr:colOff>
      <xdr:row>10</xdr:row>
      <xdr:rowOff>92067</xdr:rowOff>
    </xdr:to>
    <xdr:pic>
      <xdr:nvPicPr>
        <xdr:cNvPr id="67" name="Obraz 66">
          <a:extLst>
            <a:ext uri="{FF2B5EF4-FFF2-40B4-BE49-F238E27FC236}">
              <a16:creationId xmlns:a16="http://schemas.microsoft.com/office/drawing/2014/main" id="{33E2A43D-2F92-47C4-BADB-AF04830981B1}"/>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7028021" y="25718"/>
          <a:ext cx="5751046" cy="2045969"/>
        </a:xfrm>
        <a:prstGeom prst="rect">
          <a:avLst/>
        </a:prstGeom>
      </xdr:spPr>
    </xdr:pic>
    <xdr:clientData/>
  </xdr:twoCellAnchor>
  <xdr:twoCellAnchor editAs="oneCell">
    <xdr:from>
      <xdr:col>18</xdr:col>
      <xdr:colOff>575307</xdr:colOff>
      <xdr:row>0</xdr:row>
      <xdr:rowOff>86640</xdr:rowOff>
    </xdr:from>
    <xdr:to>
      <xdr:col>24</xdr:col>
      <xdr:colOff>478925</xdr:colOff>
      <xdr:row>10</xdr:row>
      <xdr:rowOff>58254</xdr:rowOff>
    </xdr:to>
    <xdr:pic>
      <xdr:nvPicPr>
        <xdr:cNvPr id="68" name="Obraz 67">
          <a:extLst>
            <a:ext uri="{FF2B5EF4-FFF2-40B4-BE49-F238E27FC236}">
              <a16:creationId xmlns:a16="http://schemas.microsoft.com/office/drawing/2014/main" id="{D8D4EA6A-5982-4325-8F09-9CC59DF0FD0E}"/>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12886370" y="86640"/>
          <a:ext cx="3580268" cy="194551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188593</xdr:colOff>
      <xdr:row>76</xdr:row>
      <xdr:rowOff>93345</xdr:rowOff>
    </xdr:from>
    <xdr:to>
      <xdr:col>3</xdr:col>
      <xdr:colOff>1463829</xdr:colOff>
      <xdr:row>88</xdr:row>
      <xdr:rowOff>91441</xdr:rowOff>
    </xdr:to>
    <xdr:pic>
      <xdr:nvPicPr>
        <xdr:cNvPr id="2" name="Obraz 1">
          <a:extLst>
            <a:ext uri="{FF2B5EF4-FFF2-40B4-BE49-F238E27FC236}">
              <a16:creationId xmlns:a16="http://schemas.microsoft.com/office/drawing/2014/main" id="{79689175-3EDF-4AB9-BE67-F3C185E32D6F}"/>
            </a:ext>
          </a:extLst>
        </xdr:cNvPr>
        <xdr:cNvPicPr>
          <a:picLocks noChangeAspect="1"/>
        </xdr:cNvPicPr>
      </xdr:nvPicPr>
      <xdr:blipFill>
        <a:blip xmlns:r="http://schemas.openxmlformats.org/officeDocument/2006/relationships" r:embed="rId1"/>
        <a:stretch>
          <a:fillRect/>
        </a:stretch>
      </xdr:blipFill>
      <xdr:spPr>
        <a:xfrm>
          <a:off x="744853" y="18091785"/>
          <a:ext cx="1275236" cy="2192656"/>
        </a:xfrm>
        <a:prstGeom prst="rect">
          <a:avLst/>
        </a:prstGeom>
      </xdr:spPr>
    </xdr:pic>
    <xdr:clientData/>
  </xdr:twoCellAnchor>
  <xdr:twoCellAnchor editAs="oneCell">
    <xdr:from>
      <xdr:col>14</xdr:col>
      <xdr:colOff>472552</xdr:colOff>
      <xdr:row>90</xdr:row>
      <xdr:rowOff>78442</xdr:rowOff>
    </xdr:from>
    <xdr:to>
      <xdr:col>17</xdr:col>
      <xdr:colOff>133184</xdr:colOff>
      <xdr:row>99</xdr:row>
      <xdr:rowOff>19275</xdr:rowOff>
    </xdr:to>
    <xdr:pic>
      <xdr:nvPicPr>
        <xdr:cNvPr id="3" name="Obraz 2">
          <a:extLst>
            <a:ext uri="{FF2B5EF4-FFF2-40B4-BE49-F238E27FC236}">
              <a16:creationId xmlns:a16="http://schemas.microsoft.com/office/drawing/2014/main" id="{3D68D2B2-97D7-4DC6-821D-81C81023A651}"/>
            </a:ext>
          </a:extLst>
        </xdr:cNvPr>
        <xdr:cNvPicPr>
          <a:picLocks noChangeAspect="1"/>
        </xdr:cNvPicPr>
      </xdr:nvPicPr>
      <xdr:blipFill>
        <a:blip xmlns:r="http://schemas.openxmlformats.org/officeDocument/2006/relationships" r:embed="rId2"/>
        <a:stretch>
          <a:fillRect/>
        </a:stretch>
      </xdr:blipFill>
      <xdr:spPr>
        <a:xfrm>
          <a:off x="14554312" y="20637202"/>
          <a:ext cx="1489432" cy="1586753"/>
        </a:xfrm>
        <a:prstGeom prst="rect">
          <a:avLst/>
        </a:prstGeom>
      </xdr:spPr>
    </xdr:pic>
    <xdr:clientData/>
  </xdr:twoCellAnchor>
  <xdr:twoCellAnchor editAs="oneCell">
    <xdr:from>
      <xdr:col>3</xdr:col>
      <xdr:colOff>1964840</xdr:colOff>
      <xdr:row>76</xdr:row>
      <xdr:rowOff>89646</xdr:rowOff>
    </xdr:from>
    <xdr:to>
      <xdr:col>3</xdr:col>
      <xdr:colOff>3102795</xdr:colOff>
      <xdr:row>89</xdr:row>
      <xdr:rowOff>1425</xdr:rowOff>
    </xdr:to>
    <xdr:pic>
      <xdr:nvPicPr>
        <xdr:cNvPr id="4" name="Obraz 3">
          <a:extLst>
            <a:ext uri="{FF2B5EF4-FFF2-40B4-BE49-F238E27FC236}">
              <a16:creationId xmlns:a16="http://schemas.microsoft.com/office/drawing/2014/main" id="{6BB6837F-EE6B-4277-AE76-478F3C9EF1CD}"/>
            </a:ext>
          </a:extLst>
        </xdr:cNvPr>
        <xdr:cNvPicPr>
          <a:picLocks noChangeAspect="1"/>
        </xdr:cNvPicPr>
      </xdr:nvPicPr>
      <xdr:blipFill>
        <a:blip xmlns:r="http://schemas.openxmlformats.org/officeDocument/2006/relationships" r:embed="rId3"/>
        <a:stretch>
          <a:fillRect/>
        </a:stretch>
      </xdr:blipFill>
      <xdr:spPr>
        <a:xfrm>
          <a:off x="2521100" y="18088086"/>
          <a:ext cx="1137955" cy="2289219"/>
        </a:xfrm>
        <a:prstGeom prst="rect">
          <a:avLst/>
        </a:prstGeom>
      </xdr:spPr>
    </xdr:pic>
    <xdr:clientData/>
  </xdr:twoCellAnchor>
  <xdr:twoCellAnchor editAs="oneCell">
    <xdr:from>
      <xdr:col>10</xdr:col>
      <xdr:colOff>172953</xdr:colOff>
      <xdr:row>0</xdr:row>
      <xdr:rowOff>111563</xdr:rowOff>
    </xdr:from>
    <xdr:to>
      <xdr:col>28</xdr:col>
      <xdr:colOff>587198</xdr:colOff>
      <xdr:row>34</xdr:row>
      <xdr:rowOff>19595</xdr:rowOff>
    </xdr:to>
    <xdr:pic>
      <xdr:nvPicPr>
        <xdr:cNvPr id="5" name="Obraz 4">
          <a:extLst>
            <a:ext uri="{FF2B5EF4-FFF2-40B4-BE49-F238E27FC236}">
              <a16:creationId xmlns:a16="http://schemas.microsoft.com/office/drawing/2014/main" id="{74164B5A-6E05-4615-AC38-89F93715E1F4}"/>
            </a:ext>
          </a:extLst>
        </xdr:cNvPr>
        <xdr:cNvPicPr>
          <a:picLocks noChangeAspect="1"/>
        </xdr:cNvPicPr>
      </xdr:nvPicPr>
      <xdr:blipFill>
        <a:blip xmlns:r="http://schemas.openxmlformats.org/officeDocument/2006/relationships" r:embed="rId4"/>
        <a:stretch>
          <a:fillRect/>
        </a:stretch>
      </xdr:blipFill>
      <xdr:spPr>
        <a:xfrm>
          <a:off x="11816313" y="111563"/>
          <a:ext cx="11402285" cy="8716752"/>
        </a:xfrm>
        <a:prstGeom prst="rect">
          <a:avLst/>
        </a:prstGeom>
      </xdr:spPr>
    </xdr:pic>
    <xdr:clientData/>
  </xdr:twoCellAnchor>
  <xdr:twoCellAnchor editAs="oneCell">
    <xdr:from>
      <xdr:col>3</xdr:col>
      <xdr:colOff>3111046</xdr:colOff>
      <xdr:row>91</xdr:row>
      <xdr:rowOff>20458</xdr:rowOff>
    </xdr:from>
    <xdr:to>
      <xdr:col>5</xdr:col>
      <xdr:colOff>515249</xdr:colOff>
      <xdr:row>96</xdr:row>
      <xdr:rowOff>114299</xdr:rowOff>
    </xdr:to>
    <xdr:pic>
      <xdr:nvPicPr>
        <xdr:cNvPr id="6" name="Obraz 5">
          <a:extLst>
            <a:ext uri="{FF2B5EF4-FFF2-40B4-BE49-F238E27FC236}">
              <a16:creationId xmlns:a16="http://schemas.microsoft.com/office/drawing/2014/main" id="{DEBA9D13-2C6F-4E0C-9A11-2EAE81265EF4}"/>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3667306" y="20762098"/>
          <a:ext cx="1503763" cy="1008241"/>
        </a:xfrm>
        <a:prstGeom prst="rect">
          <a:avLst/>
        </a:prstGeom>
      </xdr:spPr>
    </xdr:pic>
    <xdr:clientData/>
  </xdr:twoCellAnchor>
  <xdr:twoCellAnchor editAs="oneCell">
    <xdr:from>
      <xdr:col>3</xdr:col>
      <xdr:colOff>2272758</xdr:colOff>
      <xdr:row>92</xdr:row>
      <xdr:rowOff>84473</xdr:rowOff>
    </xdr:from>
    <xdr:to>
      <xdr:col>3</xdr:col>
      <xdr:colOff>2993593</xdr:colOff>
      <xdr:row>95</xdr:row>
      <xdr:rowOff>131445</xdr:rowOff>
    </xdr:to>
    <xdr:pic>
      <xdr:nvPicPr>
        <xdr:cNvPr id="7" name="Obraz 6">
          <a:extLst>
            <a:ext uri="{FF2B5EF4-FFF2-40B4-BE49-F238E27FC236}">
              <a16:creationId xmlns:a16="http://schemas.microsoft.com/office/drawing/2014/main" id="{B2911306-2966-430D-85D8-D11034ADD8C8}"/>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829018" y="21008993"/>
          <a:ext cx="720835" cy="595612"/>
        </a:xfrm>
        <a:prstGeom prst="rect">
          <a:avLst/>
        </a:prstGeom>
      </xdr:spPr>
    </xdr:pic>
    <xdr:clientData/>
  </xdr:twoCellAnchor>
  <xdr:twoCellAnchor editAs="oneCell">
    <xdr:from>
      <xdr:col>7</xdr:col>
      <xdr:colOff>2303951</xdr:colOff>
      <xdr:row>62</xdr:row>
      <xdr:rowOff>116227</xdr:rowOff>
    </xdr:from>
    <xdr:to>
      <xdr:col>8</xdr:col>
      <xdr:colOff>174307</xdr:colOff>
      <xdr:row>70</xdr:row>
      <xdr:rowOff>92351</xdr:rowOff>
    </xdr:to>
    <xdr:pic>
      <xdr:nvPicPr>
        <xdr:cNvPr id="8" name="Obraz 7">
          <a:extLst>
            <a:ext uri="{FF2B5EF4-FFF2-40B4-BE49-F238E27FC236}">
              <a16:creationId xmlns:a16="http://schemas.microsoft.com/office/drawing/2014/main" id="{CE94A641-5029-4FFE-8328-68279F8B6904}"/>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9093371" y="15554347"/>
          <a:ext cx="1870856" cy="1439164"/>
        </a:xfrm>
        <a:prstGeom prst="rect">
          <a:avLst/>
        </a:prstGeom>
      </xdr:spPr>
    </xdr:pic>
    <xdr:clientData/>
  </xdr:twoCellAnchor>
  <xdr:twoCellAnchor editAs="oneCell">
    <xdr:from>
      <xdr:col>3</xdr:col>
      <xdr:colOff>77939</xdr:colOff>
      <xdr:row>91</xdr:row>
      <xdr:rowOff>146071</xdr:rowOff>
    </xdr:from>
    <xdr:to>
      <xdr:col>3</xdr:col>
      <xdr:colOff>1806777</xdr:colOff>
      <xdr:row>96</xdr:row>
      <xdr:rowOff>22135</xdr:rowOff>
    </xdr:to>
    <xdr:pic>
      <xdr:nvPicPr>
        <xdr:cNvPr id="9" name="Obraz 8">
          <a:extLst>
            <a:ext uri="{FF2B5EF4-FFF2-40B4-BE49-F238E27FC236}">
              <a16:creationId xmlns:a16="http://schemas.microsoft.com/office/drawing/2014/main" id="{4580A9E5-0F42-4B72-B8CE-5ACDDF1EB716}"/>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634199" y="20887711"/>
          <a:ext cx="1728838" cy="790464"/>
        </a:xfrm>
        <a:prstGeom prst="rect">
          <a:avLst/>
        </a:prstGeom>
      </xdr:spPr>
    </xdr:pic>
    <xdr:clientData/>
  </xdr:twoCellAnchor>
  <xdr:twoCellAnchor editAs="oneCell">
    <xdr:from>
      <xdr:col>2</xdr:col>
      <xdr:colOff>173182</xdr:colOff>
      <xdr:row>99</xdr:row>
      <xdr:rowOff>116167</xdr:rowOff>
    </xdr:from>
    <xdr:to>
      <xdr:col>3</xdr:col>
      <xdr:colOff>2473902</xdr:colOff>
      <xdr:row>115</xdr:row>
      <xdr:rowOff>21822</xdr:rowOff>
    </xdr:to>
    <xdr:pic>
      <xdr:nvPicPr>
        <xdr:cNvPr id="10" name="Obraz 9">
          <a:extLst>
            <a:ext uri="{FF2B5EF4-FFF2-40B4-BE49-F238E27FC236}">
              <a16:creationId xmlns:a16="http://schemas.microsoft.com/office/drawing/2014/main" id="{E49105C3-82CD-468B-9B56-2A93EACC37EE}"/>
            </a:ext>
          </a:extLst>
        </xdr:cNvPr>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455122" y="22320847"/>
          <a:ext cx="2575040" cy="28317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2599958</xdr:colOff>
      <xdr:row>99</xdr:row>
      <xdr:rowOff>121656</xdr:rowOff>
    </xdr:from>
    <xdr:to>
      <xdr:col>5</xdr:col>
      <xdr:colOff>1046190</xdr:colOff>
      <xdr:row>118</xdr:row>
      <xdr:rowOff>58191</xdr:rowOff>
    </xdr:to>
    <xdr:pic>
      <xdr:nvPicPr>
        <xdr:cNvPr id="11" name="Obraz 10">
          <a:extLst>
            <a:ext uri="{FF2B5EF4-FFF2-40B4-BE49-F238E27FC236}">
              <a16:creationId xmlns:a16="http://schemas.microsoft.com/office/drawing/2014/main" id="{C278EEC2-B93B-4B21-84BF-DFA7A67BBD1E}"/>
            </a:ext>
          </a:extLst>
        </xdr:cNvPr>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3156218" y="22326336"/>
          <a:ext cx="2545792" cy="34112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1121021</xdr:colOff>
      <xdr:row>99</xdr:row>
      <xdr:rowOff>103160</xdr:rowOff>
    </xdr:from>
    <xdr:to>
      <xdr:col>7</xdr:col>
      <xdr:colOff>1546341</xdr:colOff>
      <xdr:row>118</xdr:row>
      <xdr:rowOff>18013</xdr:rowOff>
    </xdr:to>
    <xdr:pic>
      <xdr:nvPicPr>
        <xdr:cNvPr id="12" name="Obraz 11">
          <a:extLst>
            <a:ext uri="{FF2B5EF4-FFF2-40B4-BE49-F238E27FC236}">
              <a16:creationId xmlns:a16="http://schemas.microsoft.com/office/drawing/2014/main" id="{A7C6F0B2-A720-484C-9977-5AF303F76405}"/>
            </a:ext>
          </a:extLst>
        </xdr:cNvPr>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5776841" y="22307840"/>
          <a:ext cx="2558920" cy="33895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1939440</xdr:colOff>
      <xdr:row>77</xdr:row>
      <xdr:rowOff>53758</xdr:rowOff>
    </xdr:from>
    <xdr:to>
      <xdr:col>11</xdr:col>
      <xdr:colOff>841</xdr:colOff>
      <xdr:row>89</xdr:row>
      <xdr:rowOff>134458</xdr:rowOff>
    </xdr:to>
    <xdr:pic>
      <xdr:nvPicPr>
        <xdr:cNvPr id="13" name="Obraz 12">
          <a:extLst>
            <a:ext uri="{FF2B5EF4-FFF2-40B4-BE49-F238E27FC236}">
              <a16:creationId xmlns:a16="http://schemas.microsoft.com/office/drawing/2014/main" id="{B8F5F427-F844-4C6F-9D49-66A644CA8A74}"/>
            </a:ext>
          </a:extLst>
        </xdr:cNvPr>
        <xdr:cNvPicPr>
          <a:picLocks noChangeAspect="1" noChangeArrowheads="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8728860" y="18235078"/>
          <a:ext cx="3524941" cy="2275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2328615</xdr:colOff>
      <xdr:row>90</xdr:row>
      <xdr:rowOff>13938</xdr:rowOff>
    </xdr:from>
    <xdr:to>
      <xdr:col>10</xdr:col>
      <xdr:colOff>436201</xdr:colOff>
      <xdr:row>98</xdr:row>
      <xdr:rowOff>17575</xdr:rowOff>
    </xdr:to>
    <xdr:pic>
      <xdr:nvPicPr>
        <xdr:cNvPr id="14" name="Obraz 13">
          <a:extLst>
            <a:ext uri="{FF2B5EF4-FFF2-40B4-BE49-F238E27FC236}">
              <a16:creationId xmlns:a16="http://schemas.microsoft.com/office/drawing/2014/main" id="{267D59D4-4BDB-4CCD-87FD-970CF0B1231C}"/>
            </a:ext>
          </a:extLst>
        </xdr:cNvPr>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9118035" y="20572698"/>
          <a:ext cx="2961526" cy="14666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37978</xdr:colOff>
      <xdr:row>61</xdr:row>
      <xdr:rowOff>90159</xdr:rowOff>
    </xdr:from>
    <xdr:to>
      <xdr:col>22</xdr:col>
      <xdr:colOff>477651</xdr:colOff>
      <xdr:row>72</xdr:row>
      <xdr:rowOff>18600</xdr:rowOff>
    </xdr:to>
    <xdr:pic>
      <xdr:nvPicPr>
        <xdr:cNvPr id="15" name="Obraz 14" descr="Viessmann Flexrohr wärmegedämmt 1-6m | Loebbeshop Heizung und Ersatzteile  online einkaufen">
          <a:extLst>
            <a:ext uri="{FF2B5EF4-FFF2-40B4-BE49-F238E27FC236}">
              <a16:creationId xmlns:a16="http://schemas.microsoft.com/office/drawing/2014/main" id="{E2396F33-729C-4BD2-9D8C-2BA1AFA57ADF}"/>
            </a:ext>
          </a:extLst>
        </xdr:cNvPr>
        <xdr:cNvPicPr>
          <a:picLocks noChangeAspect="1" noChangeArrowheads="1"/>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a:fillRect/>
        </a:stretch>
      </xdr:blipFill>
      <xdr:spPr bwMode="auto">
        <a:xfrm>
          <a:off x="14729338" y="15345399"/>
          <a:ext cx="4722113" cy="1940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27214</xdr:colOff>
      <xdr:row>60</xdr:row>
      <xdr:rowOff>122464</xdr:rowOff>
    </xdr:from>
    <xdr:to>
      <xdr:col>3</xdr:col>
      <xdr:colOff>1906905</xdr:colOff>
      <xdr:row>70</xdr:row>
      <xdr:rowOff>136315</xdr:rowOff>
    </xdr:to>
    <xdr:pic>
      <xdr:nvPicPr>
        <xdr:cNvPr id="16" name="Obraz 15" descr="Bogen 90° mit Verbindungsmuffe Vitovent 300 | Loebbeshop Heizung und  Ersatzteile online einkaufen">
          <a:extLst>
            <a:ext uri="{FF2B5EF4-FFF2-40B4-BE49-F238E27FC236}">
              <a16:creationId xmlns:a16="http://schemas.microsoft.com/office/drawing/2014/main" id="{77A5938C-654A-4738-B82D-05583A9389DF}"/>
            </a:ext>
          </a:extLst>
        </xdr:cNvPr>
        <xdr:cNvPicPr>
          <a:picLocks noChangeAspect="1" noChangeArrowheads="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a:fillRect/>
        </a:stretch>
      </xdr:blipFill>
      <xdr:spPr bwMode="auto">
        <a:xfrm>
          <a:off x="583474" y="15194824"/>
          <a:ext cx="1879691" cy="18426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2459084</xdr:colOff>
      <xdr:row>61</xdr:row>
      <xdr:rowOff>13607</xdr:rowOff>
    </xdr:from>
    <xdr:to>
      <xdr:col>5</xdr:col>
      <xdr:colOff>478990</xdr:colOff>
      <xdr:row>73</xdr:row>
      <xdr:rowOff>132263</xdr:rowOff>
    </xdr:to>
    <xdr:pic>
      <xdr:nvPicPr>
        <xdr:cNvPr id="17" name="Obraz 16" descr="Rohr mit Verbindungsmuffe Viessmann 7501764, 7501765, 7501766 | Loebbeshop  Heizung und Ersatzteile online einkaufen">
          <a:extLst>
            <a:ext uri="{FF2B5EF4-FFF2-40B4-BE49-F238E27FC236}">
              <a16:creationId xmlns:a16="http://schemas.microsoft.com/office/drawing/2014/main" id="{2230DAA4-5DC9-4C3E-B3C4-CC194B3C50CC}"/>
            </a:ext>
          </a:extLst>
        </xdr:cNvPr>
        <xdr:cNvPicPr>
          <a:picLocks noChangeAspect="1" noChangeArrowheads="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a:fillRect/>
        </a:stretch>
      </xdr:blipFill>
      <xdr:spPr bwMode="auto">
        <a:xfrm>
          <a:off x="3015344" y="15268847"/>
          <a:ext cx="2119466" cy="23132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39029</xdr:colOff>
      <xdr:row>62</xdr:row>
      <xdr:rowOff>73477</xdr:rowOff>
    </xdr:from>
    <xdr:to>
      <xdr:col>7</xdr:col>
      <xdr:colOff>1387479</xdr:colOff>
      <xdr:row>71</xdr:row>
      <xdr:rowOff>151887</xdr:rowOff>
    </xdr:to>
    <xdr:pic>
      <xdr:nvPicPr>
        <xdr:cNvPr id="18" name="Obraz 17">
          <a:extLst>
            <a:ext uri="{FF2B5EF4-FFF2-40B4-BE49-F238E27FC236}">
              <a16:creationId xmlns:a16="http://schemas.microsoft.com/office/drawing/2014/main" id="{F8B9539F-5B5C-4152-8648-562299A2A3B1}"/>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5997869" y="15511597"/>
          <a:ext cx="2179030" cy="1724330"/>
        </a:xfrm>
        <a:prstGeom prst="rect">
          <a:avLst/>
        </a:prstGeom>
      </xdr:spPr>
    </xdr:pic>
    <xdr:clientData/>
  </xdr:twoCellAnchor>
  <xdr:twoCellAnchor>
    <xdr:from>
      <xdr:col>4</xdr:col>
      <xdr:colOff>420067</xdr:colOff>
      <xdr:row>64</xdr:row>
      <xdr:rowOff>58280</xdr:rowOff>
    </xdr:from>
    <xdr:to>
      <xdr:col>4</xdr:col>
      <xdr:colOff>649760</xdr:colOff>
      <xdr:row>65</xdr:row>
      <xdr:rowOff>102331</xdr:rowOff>
    </xdr:to>
    <xdr:sp macro="" textlink="">
      <xdr:nvSpPr>
        <xdr:cNvPr id="19" name="Owal 18">
          <a:extLst>
            <a:ext uri="{FF2B5EF4-FFF2-40B4-BE49-F238E27FC236}">
              <a16:creationId xmlns:a16="http://schemas.microsoft.com/office/drawing/2014/main" id="{672668DE-BA71-4A5D-A298-68B0E1502725}"/>
            </a:ext>
          </a:extLst>
        </xdr:cNvPr>
        <xdr:cNvSpPr/>
      </xdr:nvSpPr>
      <xdr:spPr>
        <a:xfrm>
          <a:off x="4230067" y="15862160"/>
          <a:ext cx="229693" cy="226931"/>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a:t>
          </a:r>
        </a:p>
      </xdr:txBody>
    </xdr:sp>
    <xdr:clientData/>
  </xdr:twoCellAnchor>
  <xdr:twoCellAnchor>
    <xdr:from>
      <xdr:col>3</xdr:col>
      <xdr:colOff>404364</xdr:colOff>
      <xdr:row>61</xdr:row>
      <xdr:rowOff>107830</xdr:rowOff>
    </xdr:from>
    <xdr:to>
      <xdr:col>3</xdr:col>
      <xdr:colOff>626437</xdr:colOff>
      <xdr:row>62</xdr:row>
      <xdr:rowOff>157596</xdr:rowOff>
    </xdr:to>
    <xdr:sp macro="" textlink="">
      <xdr:nvSpPr>
        <xdr:cNvPr id="20" name="Owal 19">
          <a:extLst>
            <a:ext uri="{FF2B5EF4-FFF2-40B4-BE49-F238E27FC236}">
              <a16:creationId xmlns:a16="http://schemas.microsoft.com/office/drawing/2014/main" id="{6F2B2FED-DE46-4AB4-8E55-D31C232809E7}"/>
            </a:ext>
          </a:extLst>
        </xdr:cNvPr>
        <xdr:cNvSpPr/>
      </xdr:nvSpPr>
      <xdr:spPr>
        <a:xfrm>
          <a:off x="960624" y="15363070"/>
          <a:ext cx="222073" cy="232646"/>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2</a:t>
          </a:r>
        </a:p>
      </xdr:txBody>
    </xdr:sp>
    <xdr:clientData/>
  </xdr:twoCellAnchor>
  <xdr:twoCellAnchor>
    <xdr:from>
      <xdr:col>7</xdr:col>
      <xdr:colOff>304029</xdr:colOff>
      <xdr:row>61</xdr:row>
      <xdr:rowOff>118826</xdr:rowOff>
    </xdr:from>
    <xdr:to>
      <xdr:col>7</xdr:col>
      <xdr:colOff>533722</xdr:colOff>
      <xdr:row>62</xdr:row>
      <xdr:rowOff>162454</xdr:rowOff>
    </xdr:to>
    <xdr:sp macro="" textlink="">
      <xdr:nvSpPr>
        <xdr:cNvPr id="21" name="Owal 20">
          <a:extLst>
            <a:ext uri="{FF2B5EF4-FFF2-40B4-BE49-F238E27FC236}">
              <a16:creationId xmlns:a16="http://schemas.microsoft.com/office/drawing/2014/main" id="{11D6BDAD-AD8A-46BA-94FE-60F0F9B845B7}"/>
            </a:ext>
          </a:extLst>
        </xdr:cNvPr>
        <xdr:cNvSpPr/>
      </xdr:nvSpPr>
      <xdr:spPr>
        <a:xfrm>
          <a:off x="7093449" y="15374066"/>
          <a:ext cx="229693" cy="226508"/>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3</a:t>
          </a:r>
        </a:p>
      </xdr:txBody>
    </xdr:sp>
    <xdr:clientData/>
  </xdr:twoCellAnchor>
  <xdr:twoCellAnchor editAs="oneCell">
    <xdr:from>
      <xdr:col>7</xdr:col>
      <xdr:colOff>1937104</xdr:colOff>
      <xdr:row>110</xdr:row>
      <xdr:rowOff>36443</xdr:rowOff>
    </xdr:from>
    <xdr:to>
      <xdr:col>12</xdr:col>
      <xdr:colOff>92956</xdr:colOff>
      <xdr:row>118</xdr:row>
      <xdr:rowOff>54527</xdr:rowOff>
    </xdr:to>
    <xdr:pic>
      <xdr:nvPicPr>
        <xdr:cNvPr id="22" name="Obraz 21">
          <a:extLst>
            <a:ext uri="{FF2B5EF4-FFF2-40B4-BE49-F238E27FC236}">
              <a16:creationId xmlns:a16="http://schemas.microsoft.com/office/drawing/2014/main" id="{A8B9FB12-ADE7-4235-982E-77298924A57A}"/>
            </a:ext>
          </a:extLst>
        </xdr:cNvPr>
        <xdr:cNvPicPr>
          <a:picLocks noChangeAspect="1"/>
        </xdr:cNvPicPr>
      </xdr:nvPicPr>
      <xdr:blipFill rotWithShape="1">
        <a:blip xmlns:r="http://schemas.openxmlformats.org/officeDocument/2006/relationships" r:embed="rId18" cstate="email">
          <a:extLst>
            <a:ext uri="{28A0092B-C50C-407E-A947-70E740481C1C}">
              <a14:useLocalDpi xmlns:a14="http://schemas.microsoft.com/office/drawing/2010/main"/>
            </a:ext>
          </a:extLst>
        </a:blip>
        <a:srcRect/>
        <a:stretch/>
      </xdr:blipFill>
      <xdr:spPr>
        <a:xfrm>
          <a:off x="8726524" y="24252803"/>
          <a:ext cx="4228992" cy="1481124"/>
        </a:xfrm>
        <a:prstGeom prst="rect">
          <a:avLst/>
        </a:prstGeom>
      </xdr:spPr>
    </xdr:pic>
    <xdr:clientData/>
  </xdr:twoCellAnchor>
  <xdr:twoCellAnchor editAs="oneCell">
    <xdr:from>
      <xdr:col>18</xdr:col>
      <xdr:colOff>168550</xdr:colOff>
      <xdr:row>40</xdr:row>
      <xdr:rowOff>234714</xdr:rowOff>
    </xdr:from>
    <xdr:to>
      <xdr:col>23</xdr:col>
      <xdr:colOff>554199</xdr:colOff>
      <xdr:row>50</xdr:row>
      <xdr:rowOff>55322</xdr:rowOff>
    </xdr:to>
    <xdr:pic>
      <xdr:nvPicPr>
        <xdr:cNvPr id="23" name="Obraz 22">
          <a:extLst>
            <a:ext uri="{FF2B5EF4-FFF2-40B4-BE49-F238E27FC236}">
              <a16:creationId xmlns:a16="http://schemas.microsoft.com/office/drawing/2014/main" id="{6FFF84A5-FF91-4258-A6D2-01B3C9ED6BB6}"/>
            </a:ext>
          </a:extLst>
        </xdr:cNvPr>
        <xdr:cNvPicPr>
          <a:picLocks noChangeAspect="1"/>
        </xdr:cNvPicPr>
      </xdr:nvPicPr>
      <xdr:blipFill rotWithShape="1">
        <a:blip xmlns:r="http://schemas.openxmlformats.org/officeDocument/2006/relationships" r:embed="rId19" cstate="email">
          <a:extLst>
            <a:ext uri="{28A0092B-C50C-407E-A947-70E740481C1C}">
              <a14:useLocalDpi xmlns:a14="http://schemas.microsoft.com/office/drawing/2010/main"/>
            </a:ext>
          </a:extLst>
        </a:blip>
        <a:srcRect/>
        <a:stretch/>
      </xdr:blipFill>
      <xdr:spPr>
        <a:xfrm>
          <a:off x="16688710" y="10689354"/>
          <a:ext cx="3448889" cy="2563808"/>
        </a:xfrm>
        <a:prstGeom prst="rect">
          <a:avLst/>
        </a:prstGeom>
      </xdr:spPr>
    </xdr:pic>
    <xdr:clientData/>
  </xdr:twoCellAnchor>
  <xdr:twoCellAnchor editAs="oneCell">
    <xdr:from>
      <xdr:col>12</xdr:col>
      <xdr:colOff>69517</xdr:colOff>
      <xdr:row>40</xdr:row>
      <xdr:rowOff>285060</xdr:rowOff>
    </xdr:from>
    <xdr:to>
      <xdr:col>17</xdr:col>
      <xdr:colOff>436573</xdr:colOff>
      <xdr:row>50</xdr:row>
      <xdr:rowOff>172659</xdr:rowOff>
    </xdr:to>
    <xdr:pic>
      <xdr:nvPicPr>
        <xdr:cNvPr id="24" name="Obraz 23">
          <a:extLst>
            <a:ext uri="{FF2B5EF4-FFF2-40B4-BE49-F238E27FC236}">
              <a16:creationId xmlns:a16="http://schemas.microsoft.com/office/drawing/2014/main" id="{F3024F11-240D-41A6-A17D-9D7178E829F9}"/>
            </a:ext>
          </a:extLst>
        </xdr:cNvPr>
        <xdr:cNvPicPr>
          <a:picLocks noChangeAspect="1"/>
        </xdr:cNvPicPr>
      </xdr:nvPicPr>
      <xdr:blipFill rotWithShape="1">
        <a:blip xmlns:r="http://schemas.openxmlformats.org/officeDocument/2006/relationships" r:embed="rId20" cstate="email">
          <a:extLst>
            <a:ext uri="{28A0092B-C50C-407E-A947-70E740481C1C}">
              <a14:useLocalDpi xmlns:a14="http://schemas.microsoft.com/office/drawing/2010/main"/>
            </a:ext>
          </a:extLst>
        </a:blip>
        <a:srcRect/>
        <a:stretch/>
      </xdr:blipFill>
      <xdr:spPr>
        <a:xfrm>
          <a:off x="12932077" y="10739700"/>
          <a:ext cx="3415056" cy="2630799"/>
        </a:xfrm>
        <a:prstGeom prst="rect">
          <a:avLst/>
        </a:prstGeom>
      </xdr:spPr>
    </xdr:pic>
    <xdr:clientData/>
  </xdr:twoCellAnchor>
  <xdr:twoCellAnchor editAs="oneCell">
    <xdr:from>
      <xdr:col>5</xdr:col>
      <xdr:colOff>897289</xdr:colOff>
      <xdr:row>89</xdr:row>
      <xdr:rowOff>138326</xdr:rowOff>
    </xdr:from>
    <xdr:to>
      <xdr:col>6</xdr:col>
      <xdr:colOff>705376</xdr:colOff>
      <xdr:row>97</xdr:row>
      <xdr:rowOff>72585</xdr:rowOff>
    </xdr:to>
    <xdr:pic>
      <xdr:nvPicPr>
        <xdr:cNvPr id="25" name="Obraz 24">
          <a:extLst>
            <a:ext uri="{FF2B5EF4-FFF2-40B4-BE49-F238E27FC236}">
              <a16:creationId xmlns:a16="http://schemas.microsoft.com/office/drawing/2014/main" id="{2DC67EAF-AD87-4606-8527-D7BBF4D09FBF}"/>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5553109" y="20514206"/>
          <a:ext cx="1111107" cy="1397299"/>
        </a:xfrm>
        <a:prstGeom prst="rect">
          <a:avLst/>
        </a:prstGeom>
      </xdr:spPr>
    </xdr:pic>
    <xdr:clientData/>
  </xdr:twoCellAnchor>
  <xdr:twoCellAnchor editAs="oneCell">
    <xdr:from>
      <xdr:col>10</xdr:col>
      <xdr:colOff>106837</xdr:colOff>
      <xdr:row>61</xdr:row>
      <xdr:rowOff>138331</xdr:rowOff>
    </xdr:from>
    <xdr:to>
      <xdr:col>13</xdr:col>
      <xdr:colOff>37525</xdr:colOff>
      <xdr:row>71</xdr:row>
      <xdr:rowOff>172305</xdr:rowOff>
    </xdr:to>
    <xdr:pic>
      <xdr:nvPicPr>
        <xdr:cNvPr id="26" name="Obraz 25">
          <a:extLst>
            <a:ext uri="{FF2B5EF4-FFF2-40B4-BE49-F238E27FC236}">
              <a16:creationId xmlns:a16="http://schemas.microsoft.com/office/drawing/2014/main" id="{683EE66B-5AE6-4B69-A3D3-898A6C23A4F9}"/>
            </a:ext>
          </a:extLst>
        </xdr:cNvPr>
        <xdr:cNvPicPr>
          <a:picLocks noChangeAspect="1"/>
        </xdr:cNvPicPr>
      </xdr:nvPicPr>
      <xdr:blipFill>
        <a:blip xmlns:r="http://schemas.openxmlformats.org/officeDocument/2006/relationships" r:embed="rId22"/>
        <a:stretch>
          <a:fillRect/>
        </a:stretch>
      </xdr:blipFill>
      <xdr:spPr>
        <a:xfrm>
          <a:off x="11750197" y="15393571"/>
          <a:ext cx="1759488" cy="1862774"/>
        </a:xfrm>
        <a:prstGeom prst="rect">
          <a:avLst/>
        </a:prstGeom>
      </xdr:spPr>
    </xdr:pic>
    <xdr:clientData/>
  </xdr:twoCellAnchor>
  <xdr:twoCellAnchor>
    <xdr:from>
      <xdr:col>10</xdr:col>
      <xdr:colOff>145253</xdr:colOff>
      <xdr:row>61</xdr:row>
      <xdr:rowOff>21758</xdr:rowOff>
    </xdr:from>
    <xdr:to>
      <xdr:col>10</xdr:col>
      <xdr:colOff>407221</xdr:colOff>
      <xdr:row>62</xdr:row>
      <xdr:rowOff>44824</xdr:rowOff>
    </xdr:to>
    <xdr:sp macro="" textlink="">
      <xdr:nvSpPr>
        <xdr:cNvPr id="27" name="Owal 26">
          <a:extLst>
            <a:ext uri="{FF2B5EF4-FFF2-40B4-BE49-F238E27FC236}">
              <a16:creationId xmlns:a16="http://schemas.microsoft.com/office/drawing/2014/main" id="{5A21397F-BF3E-441D-B1A3-3F636A85399C}"/>
            </a:ext>
          </a:extLst>
        </xdr:cNvPr>
        <xdr:cNvSpPr/>
      </xdr:nvSpPr>
      <xdr:spPr>
        <a:xfrm>
          <a:off x="11788613" y="15276998"/>
          <a:ext cx="261968" cy="205946"/>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4</a:t>
          </a:r>
        </a:p>
      </xdr:txBody>
    </xdr:sp>
    <xdr:clientData/>
  </xdr:twoCellAnchor>
  <xdr:twoCellAnchor>
    <xdr:from>
      <xdr:col>3</xdr:col>
      <xdr:colOff>2261219</xdr:colOff>
      <xdr:row>98</xdr:row>
      <xdr:rowOff>49704</xdr:rowOff>
    </xdr:from>
    <xdr:to>
      <xdr:col>3</xdr:col>
      <xdr:colOff>2800622</xdr:colOff>
      <xdr:row>101</xdr:row>
      <xdr:rowOff>48364</xdr:rowOff>
    </xdr:to>
    <xdr:sp macro="" textlink="">
      <xdr:nvSpPr>
        <xdr:cNvPr id="28" name="Owal 27">
          <a:extLst>
            <a:ext uri="{FF2B5EF4-FFF2-40B4-BE49-F238E27FC236}">
              <a16:creationId xmlns:a16="http://schemas.microsoft.com/office/drawing/2014/main" id="{2D379162-11E0-4DA7-9903-A62264252171}"/>
            </a:ext>
          </a:extLst>
        </xdr:cNvPr>
        <xdr:cNvSpPr/>
      </xdr:nvSpPr>
      <xdr:spPr>
        <a:xfrm>
          <a:off x="2817479" y="22071504"/>
          <a:ext cx="539403" cy="547300"/>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8</a:t>
          </a:r>
        </a:p>
        <a:p>
          <a:pPr algn="ctr"/>
          <a:r>
            <a:rPr lang="pl-PL" sz="1200"/>
            <a:t>8A</a:t>
          </a:r>
        </a:p>
      </xdr:txBody>
    </xdr:sp>
    <xdr:clientData/>
  </xdr:twoCellAnchor>
  <xdr:twoCellAnchor>
    <xdr:from>
      <xdr:col>3</xdr:col>
      <xdr:colOff>2241706</xdr:colOff>
      <xdr:row>91</xdr:row>
      <xdr:rowOff>81258</xdr:rowOff>
    </xdr:from>
    <xdr:to>
      <xdr:col>3</xdr:col>
      <xdr:colOff>2531345</xdr:colOff>
      <xdr:row>93</xdr:row>
      <xdr:rowOff>24316</xdr:rowOff>
    </xdr:to>
    <xdr:sp macro="" textlink="">
      <xdr:nvSpPr>
        <xdr:cNvPr id="29" name="Owal 28">
          <a:extLst>
            <a:ext uri="{FF2B5EF4-FFF2-40B4-BE49-F238E27FC236}">
              <a16:creationId xmlns:a16="http://schemas.microsoft.com/office/drawing/2014/main" id="{8908AD3F-410F-45FA-91FD-671305BA44D9}"/>
            </a:ext>
          </a:extLst>
        </xdr:cNvPr>
        <xdr:cNvSpPr/>
      </xdr:nvSpPr>
      <xdr:spPr>
        <a:xfrm>
          <a:off x="2797966" y="20822898"/>
          <a:ext cx="289639" cy="308818"/>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10</a:t>
          </a:r>
        </a:p>
      </xdr:txBody>
    </xdr:sp>
    <xdr:clientData/>
  </xdr:twoCellAnchor>
  <xdr:twoCellAnchor>
    <xdr:from>
      <xdr:col>3</xdr:col>
      <xdr:colOff>840441</xdr:colOff>
      <xdr:row>91</xdr:row>
      <xdr:rowOff>31712</xdr:rowOff>
    </xdr:from>
    <xdr:to>
      <xdr:col>3</xdr:col>
      <xdr:colOff>1143000</xdr:colOff>
      <xdr:row>92</xdr:row>
      <xdr:rowOff>135826</xdr:rowOff>
    </xdr:to>
    <xdr:sp macro="" textlink="">
      <xdr:nvSpPr>
        <xdr:cNvPr id="30" name="Owal 29">
          <a:extLst>
            <a:ext uri="{FF2B5EF4-FFF2-40B4-BE49-F238E27FC236}">
              <a16:creationId xmlns:a16="http://schemas.microsoft.com/office/drawing/2014/main" id="{9C0C3200-216C-478E-8C5B-DE9399C306F3}"/>
            </a:ext>
          </a:extLst>
        </xdr:cNvPr>
        <xdr:cNvSpPr/>
      </xdr:nvSpPr>
      <xdr:spPr>
        <a:xfrm>
          <a:off x="1396701" y="20773352"/>
          <a:ext cx="302559" cy="286994"/>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10</a:t>
          </a:r>
        </a:p>
      </xdr:txBody>
    </xdr:sp>
    <xdr:clientData/>
  </xdr:twoCellAnchor>
  <xdr:twoCellAnchor>
    <xdr:from>
      <xdr:col>5</xdr:col>
      <xdr:colOff>865560</xdr:colOff>
      <xdr:row>93</xdr:row>
      <xdr:rowOff>6979</xdr:rowOff>
    </xdr:from>
    <xdr:to>
      <xdr:col>5</xdr:col>
      <xdr:colOff>1244160</xdr:colOff>
      <xdr:row>94</xdr:row>
      <xdr:rowOff>164278</xdr:rowOff>
    </xdr:to>
    <xdr:sp macro="" textlink="">
      <xdr:nvSpPr>
        <xdr:cNvPr id="31" name="Owal 30">
          <a:extLst>
            <a:ext uri="{FF2B5EF4-FFF2-40B4-BE49-F238E27FC236}">
              <a16:creationId xmlns:a16="http://schemas.microsoft.com/office/drawing/2014/main" id="{C03EE89E-6085-4BC8-A9FF-AA7C61618E61}"/>
            </a:ext>
          </a:extLst>
        </xdr:cNvPr>
        <xdr:cNvSpPr/>
      </xdr:nvSpPr>
      <xdr:spPr>
        <a:xfrm>
          <a:off x="5521380" y="21114379"/>
          <a:ext cx="378600" cy="340179"/>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11</a:t>
          </a:r>
        </a:p>
      </xdr:txBody>
    </xdr:sp>
    <xdr:clientData/>
  </xdr:twoCellAnchor>
  <xdr:twoCellAnchor>
    <xdr:from>
      <xdr:col>7</xdr:col>
      <xdr:colOff>3582456</xdr:colOff>
      <xdr:row>91</xdr:row>
      <xdr:rowOff>72228</xdr:rowOff>
    </xdr:from>
    <xdr:to>
      <xdr:col>7</xdr:col>
      <xdr:colOff>3880164</xdr:colOff>
      <xdr:row>92</xdr:row>
      <xdr:rowOff>113466</xdr:rowOff>
    </xdr:to>
    <xdr:sp macro="" textlink="">
      <xdr:nvSpPr>
        <xdr:cNvPr id="32" name="Owal 31">
          <a:extLst>
            <a:ext uri="{FF2B5EF4-FFF2-40B4-BE49-F238E27FC236}">
              <a16:creationId xmlns:a16="http://schemas.microsoft.com/office/drawing/2014/main" id="{D6442ABD-4AF4-4F0F-A84E-25D2068203C7}"/>
            </a:ext>
          </a:extLst>
        </xdr:cNvPr>
        <xdr:cNvSpPr/>
      </xdr:nvSpPr>
      <xdr:spPr>
        <a:xfrm>
          <a:off x="10371876" y="20813868"/>
          <a:ext cx="297708" cy="224118"/>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11</a:t>
          </a:r>
        </a:p>
      </xdr:txBody>
    </xdr:sp>
    <xdr:clientData/>
  </xdr:twoCellAnchor>
  <xdr:twoCellAnchor>
    <xdr:from>
      <xdr:col>7</xdr:col>
      <xdr:colOff>3739035</xdr:colOff>
      <xdr:row>77</xdr:row>
      <xdr:rowOff>47912</xdr:rowOff>
    </xdr:from>
    <xdr:to>
      <xdr:col>8</xdr:col>
      <xdr:colOff>42231</xdr:colOff>
      <xdr:row>78</xdr:row>
      <xdr:rowOff>87244</xdr:rowOff>
    </xdr:to>
    <xdr:sp macro="" textlink="">
      <xdr:nvSpPr>
        <xdr:cNvPr id="33" name="Owal 32">
          <a:extLst>
            <a:ext uri="{FF2B5EF4-FFF2-40B4-BE49-F238E27FC236}">
              <a16:creationId xmlns:a16="http://schemas.microsoft.com/office/drawing/2014/main" id="{47B86855-BF4C-4E81-BBDE-A45D30D58A9C}"/>
            </a:ext>
          </a:extLst>
        </xdr:cNvPr>
        <xdr:cNvSpPr/>
      </xdr:nvSpPr>
      <xdr:spPr>
        <a:xfrm>
          <a:off x="10528455" y="18229232"/>
          <a:ext cx="303696" cy="22221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11</a:t>
          </a:r>
        </a:p>
      </xdr:txBody>
    </xdr:sp>
    <xdr:clientData/>
  </xdr:twoCellAnchor>
  <xdr:twoCellAnchor>
    <xdr:from>
      <xdr:col>3</xdr:col>
      <xdr:colOff>1744304</xdr:colOff>
      <xdr:row>81</xdr:row>
      <xdr:rowOff>54126</xdr:rowOff>
    </xdr:from>
    <xdr:to>
      <xdr:col>3</xdr:col>
      <xdr:colOff>2295299</xdr:colOff>
      <xdr:row>82</xdr:row>
      <xdr:rowOff>82251</xdr:rowOff>
    </xdr:to>
    <xdr:sp macro="" textlink="">
      <xdr:nvSpPr>
        <xdr:cNvPr id="34" name="Owal 33">
          <a:extLst>
            <a:ext uri="{FF2B5EF4-FFF2-40B4-BE49-F238E27FC236}">
              <a16:creationId xmlns:a16="http://schemas.microsoft.com/office/drawing/2014/main" id="{C92244ED-55DA-4EC6-884D-82132E21B96E}"/>
            </a:ext>
          </a:extLst>
        </xdr:cNvPr>
        <xdr:cNvSpPr/>
      </xdr:nvSpPr>
      <xdr:spPr>
        <a:xfrm>
          <a:off x="2300564" y="18966966"/>
          <a:ext cx="550995" cy="211005"/>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12A</a:t>
          </a:r>
        </a:p>
      </xdr:txBody>
    </xdr:sp>
    <xdr:clientData/>
  </xdr:twoCellAnchor>
  <xdr:twoCellAnchor>
    <xdr:from>
      <xdr:col>7</xdr:col>
      <xdr:colOff>2799565</xdr:colOff>
      <xdr:row>109</xdr:row>
      <xdr:rowOff>48633</xdr:rowOff>
    </xdr:from>
    <xdr:to>
      <xdr:col>7</xdr:col>
      <xdr:colOff>3093047</xdr:colOff>
      <xdr:row>110</xdr:row>
      <xdr:rowOff>82250</xdr:rowOff>
    </xdr:to>
    <xdr:sp macro="" textlink="">
      <xdr:nvSpPr>
        <xdr:cNvPr id="35" name="Owal 34">
          <a:extLst>
            <a:ext uri="{FF2B5EF4-FFF2-40B4-BE49-F238E27FC236}">
              <a16:creationId xmlns:a16="http://schemas.microsoft.com/office/drawing/2014/main" id="{15AD05C4-D715-429B-93BD-9C0BAD95B2D4}"/>
            </a:ext>
          </a:extLst>
        </xdr:cNvPr>
        <xdr:cNvSpPr/>
      </xdr:nvSpPr>
      <xdr:spPr>
        <a:xfrm>
          <a:off x="9588985" y="24082113"/>
          <a:ext cx="293482" cy="216497"/>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16</a:t>
          </a:r>
        </a:p>
      </xdr:txBody>
    </xdr:sp>
    <xdr:clientData/>
  </xdr:twoCellAnchor>
  <xdr:twoCellAnchor>
    <xdr:from>
      <xdr:col>10</xdr:col>
      <xdr:colOff>153072</xdr:colOff>
      <xdr:row>109</xdr:row>
      <xdr:rowOff>59839</xdr:rowOff>
    </xdr:from>
    <xdr:to>
      <xdr:col>10</xdr:col>
      <xdr:colOff>461794</xdr:colOff>
      <xdr:row>110</xdr:row>
      <xdr:rowOff>91551</xdr:rowOff>
    </xdr:to>
    <xdr:sp macro="" textlink="">
      <xdr:nvSpPr>
        <xdr:cNvPr id="36" name="Owal 35">
          <a:extLst>
            <a:ext uri="{FF2B5EF4-FFF2-40B4-BE49-F238E27FC236}">
              <a16:creationId xmlns:a16="http://schemas.microsoft.com/office/drawing/2014/main" id="{16BF7BDE-BF66-4BD6-9B70-21507A1B23BB}"/>
            </a:ext>
          </a:extLst>
        </xdr:cNvPr>
        <xdr:cNvSpPr/>
      </xdr:nvSpPr>
      <xdr:spPr>
        <a:xfrm>
          <a:off x="11796432" y="24093319"/>
          <a:ext cx="308722" cy="21459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17</a:t>
          </a:r>
        </a:p>
      </xdr:txBody>
    </xdr:sp>
    <xdr:clientData/>
  </xdr:twoCellAnchor>
  <xdr:twoCellAnchor>
    <xdr:from>
      <xdr:col>12</xdr:col>
      <xdr:colOff>454173</xdr:colOff>
      <xdr:row>20</xdr:row>
      <xdr:rowOff>162815</xdr:rowOff>
    </xdr:from>
    <xdr:to>
      <xdr:col>13</xdr:col>
      <xdr:colOff>333279</xdr:colOff>
      <xdr:row>21</xdr:row>
      <xdr:rowOff>245425</xdr:rowOff>
    </xdr:to>
    <xdr:sp macro="" textlink="">
      <xdr:nvSpPr>
        <xdr:cNvPr id="37" name="Owal 36">
          <a:extLst>
            <a:ext uri="{FF2B5EF4-FFF2-40B4-BE49-F238E27FC236}">
              <a16:creationId xmlns:a16="http://schemas.microsoft.com/office/drawing/2014/main" id="{317C3EDA-023F-4806-A36F-EA3E5BA20F76}"/>
            </a:ext>
          </a:extLst>
        </xdr:cNvPr>
        <xdr:cNvSpPr/>
      </xdr:nvSpPr>
      <xdr:spPr>
        <a:xfrm>
          <a:off x="13316733" y="4033775"/>
          <a:ext cx="488706" cy="265490"/>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5XS</a:t>
          </a:r>
        </a:p>
      </xdr:txBody>
    </xdr:sp>
    <xdr:clientData/>
  </xdr:twoCellAnchor>
  <xdr:twoCellAnchor>
    <xdr:from>
      <xdr:col>15</xdr:col>
      <xdr:colOff>478796</xdr:colOff>
      <xdr:row>40</xdr:row>
      <xdr:rowOff>227168</xdr:rowOff>
    </xdr:from>
    <xdr:to>
      <xdr:col>16</xdr:col>
      <xdr:colOff>169067</xdr:colOff>
      <xdr:row>41</xdr:row>
      <xdr:rowOff>94826</xdr:rowOff>
    </xdr:to>
    <xdr:sp macro="" textlink="">
      <xdr:nvSpPr>
        <xdr:cNvPr id="38" name="Owal 37">
          <a:extLst>
            <a:ext uri="{FF2B5EF4-FFF2-40B4-BE49-F238E27FC236}">
              <a16:creationId xmlns:a16="http://schemas.microsoft.com/office/drawing/2014/main" id="{76B8FF06-D42F-4277-B79D-ECD585D747D2}"/>
            </a:ext>
          </a:extLst>
        </xdr:cNvPr>
        <xdr:cNvSpPr/>
      </xdr:nvSpPr>
      <xdr:spPr>
        <a:xfrm>
          <a:off x="15170156" y="10681808"/>
          <a:ext cx="299871" cy="233418"/>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11</a:t>
          </a:r>
        </a:p>
      </xdr:txBody>
    </xdr:sp>
    <xdr:clientData/>
  </xdr:twoCellAnchor>
  <xdr:twoCellAnchor>
    <xdr:from>
      <xdr:col>20</xdr:col>
      <xdr:colOff>552989</xdr:colOff>
      <xdr:row>42</xdr:row>
      <xdr:rowOff>85525</xdr:rowOff>
    </xdr:from>
    <xdr:to>
      <xdr:col>21</xdr:col>
      <xdr:colOff>178451</xdr:colOff>
      <xdr:row>42</xdr:row>
      <xdr:rowOff>325394</xdr:rowOff>
    </xdr:to>
    <xdr:sp macro="" textlink="">
      <xdr:nvSpPr>
        <xdr:cNvPr id="39" name="Owal 38">
          <a:extLst>
            <a:ext uri="{FF2B5EF4-FFF2-40B4-BE49-F238E27FC236}">
              <a16:creationId xmlns:a16="http://schemas.microsoft.com/office/drawing/2014/main" id="{75CC9AC5-9B3B-4305-BE9A-1B2D490A37DB}"/>
            </a:ext>
          </a:extLst>
        </xdr:cNvPr>
        <xdr:cNvSpPr/>
      </xdr:nvSpPr>
      <xdr:spPr>
        <a:xfrm>
          <a:off x="18292349" y="11271685"/>
          <a:ext cx="235062" cy="239869"/>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5</a:t>
          </a:r>
        </a:p>
      </xdr:txBody>
    </xdr:sp>
    <xdr:clientData/>
  </xdr:twoCellAnchor>
  <xdr:twoCellAnchor>
    <xdr:from>
      <xdr:col>3</xdr:col>
      <xdr:colOff>174249</xdr:colOff>
      <xdr:row>80</xdr:row>
      <xdr:rowOff>104435</xdr:rowOff>
    </xdr:from>
    <xdr:to>
      <xdr:col>3</xdr:col>
      <xdr:colOff>442966</xdr:colOff>
      <xdr:row>81</xdr:row>
      <xdr:rowOff>168532</xdr:rowOff>
    </xdr:to>
    <xdr:sp macro="" textlink="">
      <xdr:nvSpPr>
        <xdr:cNvPr id="40" name="Owal 39">
          <a:extLst>
            <a:ext uri="{FF2B5EF4-FFF2-40B4-BE49-F238E27FC236}">
              <a16:creationId xmlns:a16="http://schemas.microsoft.com/office/drawing/2014/main" id="{72C042E6-28C4-434F-A390-BA45DCE9139C}"/>
            </a:ext>
          </a:extLst>
        </xdr:cNvPr>
        <xdr:cNvSpPr/>
      </xdr:nvSpPr>
      <xdr:spPr>
        <a:xfrm>
          <a:off x="730509" y="18834395"/>
          <a:ext cx="268717" cy="246977"/>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12</a:t>
          </a:r>
        </a:p>
      </xdr:txBody>
    </xdr:sp>
    <xdr:clientData/>
  </xdr:twoCellAnchor>
  <xdr:twoCellAnchor>
    <xdr:from>
      <xdr:col>5</xdr:col>
      <xdr:colOff>816957</xdr:colOff>
      <xdr:row>98</xdr:row>
      <xdr:rowOff>16504</xdr:rowOff>
    </xdr:from>
    <xdr:to>
      <xdr:col>6</xdr:col>
      <xdr:colOff>59055</xdr:colOff>
      <xdr:row>101</xdr:row>
      <xdr:rowOff>81643</xdr:rowOff>
    </xdr:to>
    <xdr:sp macro="" textlink="">
      <xdr:nvSpPr>
        <xdr:cNvPr id="41" name="Owal 40">
          <a:extLst>
            <a:ext uri="{FF2B5EF4-FFF2-40B4-BE49-F238E27FC236}">
              <a16:creationId xmlns:a16="http://schemas.microsoft.com/office/drawing/2014/main" id="{916DFC7A-2C97-4D11-B41B-9707B872D263}"/>
            </a:ext>
          </a:extLst>
        </xdr:cNvPr>
        <xdr:cNvSpPr/>
      </xdr:nvSpPr>
      <xdr:spPr>
        <a:xfrm>
          <a:off x="5472777" y="22038304"/>
          <a:ext cx="545118" cy="613779"/>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8</a:t>
          </a:r>
        </a:p>
        <a:p>
          <a:pPr algn="ctr"/>
          <a:r>
            <a:rPr lang="pl-PL" sz="1200"/>
            <a:t>8A</a:t>
          </a:r>
        </a:p>
      </xdr:txBody>
    </xdr:sp>
    <xdr:clientData/>
  </xdr:twoCellAnchor>
  <xdr:twoCellAnchor editAs="oneCell">
    <xdr:from>
      <xdr:col>12</xdr:col>
      <xdr:colOff>364315</xdr:colOff>
      <xdr:row>90</xdr:row>
      <xdr:rowOff>98983</xdr:rowOff>
    </xdr:from>
    <xdr:to>
      <xdr:col>14</xdr:col>
      <xdr:colOff>321156</xdr:colOff>
      <xdr:row>98</xdr:row>
      <xdr:rowOff>74490</xdr:rowOff>
    </xdr:to>
    <xdr:pic>
      <xdr:nvPicPr>
        <xdr:cNvPr id="42" name="Obraz 41">
          <a:extLst>
            <a:ext uri="{FF2B5EF4-FFF2-40B4-BE49-F238E27FC236}">
              <a16:creationId xmlns:a16="http://schemas.microsoft.com/office/drawing/2014/main" id="{538E546A-F824-4B11-91D4-D4D1CBB56483}"/>
            </a:ext>
          </a:extLst>
        </xdr:cNvPr>
        <xdr:cNvPicPr>
          <a:picLocks noChangeAspect="1"/>
        </xdr:cNvPicPr>
      </xdr:nvPicPr>
      <xdr:blipFill>
        <a:blip xmlns:r="http://schemas.openxmlformats.org/officeDocument/2006/relationships" r:embed="rId23"/>
        <a:stretch>
          <a:fillRect/>
        </a:stretch>
      </xdr:blipFill>
      <xdr:spPr>
        <a:xfrm>
          <a:off x="13226875" y="20657743"/>
          <a:ext cx="1176041" cy="1438547"/>
        </a:xfrm>
        <a:prstGeom prst="rect">
          <a:avLst/>
        </a:prstGeom>
      </xdr:spPr>
    </xdr:pic>
    <xdr:clientData/>
  </xdr:twoCellAnchor>
  <xdr:twoCellAnchor>
    <xdr:from>
      <xdr:col>13</xdr:col>
      <xdr:colOff>98035</xdr:colOff>
      <xdr:row>90</xdr:row>
      <xdr:rowOff>5875</xdr:rowOff>
    </xdr:from>
    <xdr:to>
      <xdr:col>13</xdr:col>
      <xdr:colOff>395327</xdr:colOff>
      <xdr:row>91</xdr:row>
      <xdr:rowOff>45206</xdr:rowOff>
    </xdr:to>
    <xdr:sp macro="" textlink="">
      <xdr:nvSpPr>
        <xdr:cNvPr id="43" name="Owal 42">
          <a:extLst>
            <a:ext uri="{FF2B5EF4-FFF2-40B4-BE49-F238E27FC236}">
              <a16:creationId xmlns:a16="http://schemas.microsoft.com/office/drawing/2014/main" id="{292ACFF5-7DE7-4F35-BFBB-BFCDDD65DC87}"/>
            </a:ext>
          </a:extLst>
        </xdr:cNvPr>
        <xdr:cNvSpPr/>
      </xdr:nvSpPr>
      <xdr:spPr>
        <a:xfrm>
          <a:off x="13570195" y="20564635"/>
          <a:ext cx="297292" cy="222211"/>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14</a:t>
          </a:r>
        </a:p>
      </xdr:txBody>
    </xdr:sp>
    <xdr:clientData/>
  </xdr:twoCellAnchor>
  <xdr:twoCellAnchor>
    <xdr:from>
      <xdr:col>7</xdr:col>
      <xdr:colOff>3039421</xdr:colOff>
      <xdr:row>63</xdr:row>
      <xdr:rowOff>15400</xdr:rowOff>
    </xdr:from>
    <xdr:to>
      <xdr:col>7</xdr:col>
      <xdr:colOff>3382271</xdr:colOff>
      <xdr:row>64</xdr:row>
      <xdr:rowOff>166183</xdr:rowOff>
    </xdr:to>
    <xdr:sp macro="" textlink="">
      <xdr:nvSpPr>
        <xdr:cNvPr id="44" name="Owal 43">
          <a:extLst>
            <a:ext uri="{FF2B5EF4-FFF2-40B4-BE49-F238E27FC236}">
              <a16:creationId xmlns:a16="http://schemas.microsoft.com/office/drawing/2014/main" id="{79102054-2D86-4DDF-B844-DAB21D53AD01}"/>
            </a:ext>
          </a:extLst>
        </xdr:cNvPr>
        <xdr:cNvSpPr/>
      </xdr:nvSpPr>
      <xdr:spPr>
        <a:xfrm>
          <a:off x="9828841" y="15636400"/>
          <a:ext cx="342850" cy="333663"/>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8</a:t>
          </a:r>
        </a:p>
      </xdr:txBody>
    </xdr:sp>
    <xdr:clientData/>
  </xdr:twoCellAnchor>
  <xdr:twoCellAnchor editAs="oneCell">
    <xdr:from>
      <xdr:col>12</xdr:col>
      <xdr:colOff>386888</xdr:colOff>
      <xdr:row>30</xdr:row>
      <xdr:rowOff>81867</xdr:rowOff>
    </xdr:from>
    <xdr:to>
      <xdr:col>14</xdr:col>
      <xdr:colOff>441918</xdr:colOff>
      <xdr:row>32</xdr:row>
      <xdr:rowOff>208877</xdr:rowOff>
    </xdr:to>
    <xdr:pic>
      <xdr:nvPicPr>
        <xdr:cNvPr id="45" name="Obraz 44">
          <a:extLst>
            <a:ext uri="{FF2B5EF4-FFF2-40B4-BE49-F238E27FC236}">
              <a16:creationId xmlns:a16="http://schemas.microsoft.com/office/drawing/2014/main" id="{C3A94FB7-0C95-4186-A613-8E41DCC2EDAD}"/>
            </a:ext>
          </a:extLst>
        </xdr:cNvPr>
        <xdr:cNvPicPr>
          <a:picLocks noChangeAspect="1"/>
        </xdr:cNvPicPr>
      </xdr:nvPicPr>
      <xdr:blipFill>
        <a:blip xmlns:r="http://schemas.openxmlformats.org/officeDocument/2006/relationships" r:embed="rId24"/>
        <a:stretch>
          <a:fillRect/>
        </a:stretch>
      </xdr:blipFill>
      <xdr:spPr>
        <a:xfrm>
          <a:off x="13249448" y="7427547"/>
          <a:ext cx="1274230" cy="858530"/>
        </a:xfrm>
        <a:prstGeom prst="rect">
          <a:avLst/>
        </a:prstGeom>
      </xdr:spPr>
    </xdr:pic>
    <xdr:clientData/>
  </xdr:twoCellAnchor>
  <xdr:twoCellAnchor>
    <xdr:from>
      <xdr:col>14</xdr:col>
      <xdr:colOff>304184</xdr:colOff>
      <xdr:row>31</xdr:row>
      <xdr:rowOff>141971</xdr:rowOff>
    </xdr:from>
    <xdr:to>
      <xdr:col>14</xdr:col>
      <xdr:colOff>511017</xdr:colOff>
      <xdr:row>32</xdr:row>
      <xdr:rowOff>13852</xdr:rowOff>
    </xdr:to>
    <xdr:sp macro="" textlink="">
      <xdr:nvSpPr>
        <xdr:cNvPr id="46" name="Owal 45">
          <a:extLst>
            <a:ext uri="{FF2B5EF4-FFF2-40B4-BE49-F238E27FC236}">
              <a16:creationId xmlns:a16="http://schemas.microsoft.com/office/drawing/2014/main" id="{62962FCE-F735-402E-BB62-FC4070E60C21}"/>
            </a:ext>
          </a:extLst>
        </xdr:cNvPr>
        <xdr:cNvSpPr/>
      </xdr:nvSpPr>
      <xdr:spPr>
        <a:xfrm>
          <a:off x="14385944" y="7853411"/>
          <a:ext cx="206833" cy="237641"/>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8</a:t>
          </a:r>
        </a:p>
      </xdr:txBody>
    </xdr:sp>
    <xdr:clientData/>
  </xdr:twoCellAnchor>
  <xdr:twoCellAnchor>
    <xdr:from>
      <xdr:col>16</xdr:col>
      <xdr:colOff>95584</xdr:colOff>
      <xdr:row>12</xdr:row>
      <xdr:rowOff>146807</xdr:rowOff>
    </xdr:from>
    <xdr:to>
      <xdr:col>16</xdr:col>
      <xdr:colOff>585107</xdr:colOff>
      <xdr:row>14</xdr:row>
      <xdr:rowOff>44904</xdr:rowOff>
    </xdr:to>
    <xdr:sp macro="" textlink="">
      <xdr:nvSpPr>
        <xdr:cNvPr id="47" name="Owal 46">
          <a:extLst>
            <a:ext uri="{FF2B5EF4-FFF2-40B4-BE49-F238E27FC236}">
              <a16:creationId xmlns:a16="http://schemas.microsoft.com/office/drawing/2014/main" id="{6C4E04EF-7FC3-4624-A047-82291734E3C6}"/>
            </a:ext>
          </a:extLst>
        </xdr:cNvPr>
        <xdr:cNvSpPr/>
      </xdr:nvSpPr>
      <xdr:spPr>
        <a:xfrm>
          <a:off x="15396544" y="2554727"/>
          <a:ext cx="489523" cy="263857"/>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5S</a:t>
          </a:r>
        </a:p>
      </xdr:txBody>
    </xdr:sp>
    <xdr:clientData/>
  </xdr:twoCellAnchor>
  <xdr:twoCellAnchor>
    <xdr:from>
      <xdr:col>19</xdr:col>
      <xdr:colOff>322631</xdr:colOff>
      <xdr:row>4</xdr:row>
      <xdr:rowOff>152384</xdr:rowOff>
    </xdr:from>
    <xdr:to>
      <xdr:col>20</xdr:col>
      <xdr:colOff>209357</xdr:colOff>
      <xdr:row>6</xdr:row>
      <xdr:rowOff>56195</xdr:rowOff>
    </xdr:to>
    <xdr:sp macro="" textlink="">
      <xdr:nvSpPr>
        <xdr:cNvPr id="48" name="Owal 47">
          <a:extLst>
            <a:ext uri="{FF2B5EF4-FFF2-40B4-BE49-F238E27FC236}">
              <a16:creationId xmlns:a16="http://schemas.microsoft.com/office/drawing/2014/main" id="{E9E94B51-2610-453C-9CB0-1D7F5350DD6D}"/>
            </a:ext>
          </a:extLst>
        </xdr:cNvPr>
        <xdr:cNvSpPr/>
      </xdr:nvSpPr>
      <xdr:spPr>
        <a:xfrm>
          <a:off x="17452391" y="1097264"/>
          <a:ext cx="496326" cy="269571"/>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5M</a:t>
          </a:r>
        </a:p>
      </xdr:txBody>
    </xdr:sp>
    <xdr:clientData/>
  </xdr:twoCellAnchor>
  <xdr:twoCellAnchor>
    <xdr:from>
      <xdr:col>24</xdr:col>
      <xdr:colOff>530679</xdr:colOff>
      <xdr:row>17</xdr:row>
      <xdr:rowOff>40821</xdr:rowOff>
    </xdr:from>
    <xdr:to>
      <xdr:col>25</xdr:col>
      <xdr:colOff>407880</xdr:colOff>
      <xdr:row>18</xdr:row>
      <xdr:rowOff>125335</xdr:rowOff>
    </xdr:to>
    <xdr:sp macro="" textlink="">
      <xdr:nvSpPr>
        <xdr:cNvPr id="49" name="Owal 48">
          <a:extLst>
            <a:ext uri="{FF2B5EF4-FFF2-40B4-BE49-F238E27FC236}">
              <a16:creationId xmlns:a16="http://schemas.microsoft.com/office/drawing/2014/main" id="{8858B761-2978-4B0C-94B3-0A007F35B5A9}"/>
            </a:ext>
          </a:extLst>
        </xdr:cNvPr>
        <xdr:cNvSpPr/>
      </xdr:nvSpPr>
      <xdr:spPr>
        <a:xfrm>
          <a:off x="20723679" y="3363141"/>
          <a:ext cx="486801" cy="267394"/>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5XL</a:t>
          </a:r>
        </a:p>
      </xdr:txBody>
    </xdr:sp>
    <xdr:clientData/>
  </xdr:twoCellAnchor>
  <xdr:twoCellAnchor>
    <xdr:from>
      <xdr:col>19</xdr:col>
      <xdr:colOff>95250</xdr:colOff>
      <xdr:row>25</xdr:row>
      <xdr:rowOff>353785</xdr:rowOff>
    </xdr:from>
    <xdr:to>
      <xdr:col>19</xdr:col>
      <xdr:colOff>584773</xdr:colOff>
      <xdr:row>26</xdr:row>
      <xdr:rowOff>247799</xdr:rowOff>
    </xdr:to>
    <xdr:sp macro="" textlink="">
      <xdr:nvSpPr>
        <xdr:cNvPr id="50" name="Owal 49">
          <a:extLst>
            <a:ext uri="{FF2B5EF4-FFF2-40B4-BE49-F238E27FC236}">
              <a16:creationId xmlns:a16="http://schemas.microsoft.com/office/drawing/2014/main" id="{D860820D-CDA7-4CFA-BE72-3CED0224579A}"/>
            </a:ext>
          </a:extLst>
        </xdr:cNvPr>
        <xdr:cNvSpPr/>
      </xdr:nvSpPr>
      <xdr:spPr>
        <a:xfrm>
          <a:off x="17225010" y="5870665"/>
          <a:ext cx="489523" cy="259774"/>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5L</a:t>
          </a:r>
        </a:p>
      </xdr:txBody>
    </xdr:sp>
    <xdr:clientData/>
  </xdr:twoCellAnchor>
  <xdr:twoCellAnchor>
    <xdr:from>
      <xdr:col>17</xdr:col>
      <xdr:colOff>304302</xdr:colOff>
      <xdr:row>15</xdr:row>
      <xdr:rowOff>95773</xdr:rowOff>
    </xdr:from>
    <xdr:to>
      <xdr:col>18</xdr:col>
      <xdr:colOff>188707</xdr:colOff>
      <xdr:row>17</xdr:row>
      <xdr:rowOff>1489</xdr:rowOff>
    </xdr:to>
    <xdr:sp macro="" textlink="">
      <xdr:nvSpPr>
        <xdr:cNvPr id="51" name="Owal 50">
          <a:extLst>
            <a:ext uri="{FF2B5EF4-FFF2-40B4-BE49-F238E27FC236}">
              <a16:creationId xmlns:a16="http://schemas.microsoft.com/office/drawing/2014/main" id="{E552D254-9537-4635-B121-3EC5967CBA56}"/>
            </a:ext>
          </a:extLst>
        </xdr:cNvPr>
        <xdr:cNvSpPr/>
      </xdr:nvSpPr>
      <xdr:spPr>
        <a:xfrm>
          <a:off x="16214862" y="3052333"/>
          <a:ext cx="494005" cy="271476"/>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6S</a:t>
          </a:r>
        </a:p>
      </xdr:txBody>
    </xdr:sp>
    <xdr:clientData/>
  </xdr:twoCellAnchor>
  <xdr:twoCellAnchor>
    <xdr:from>
      <xdr:col>20</xdr:col>
      <xdr:colOff>531348</xdr:colOff>
      <xdr:row>7</xdr:row>
      <xdr:rowOff>105160</xdr:rowOff>
    </xdr:from>
    <xdr:to>
      <xdr:col>21</xdr:col>
      <xdr:colOff>418074</xdr:colOff>
      <xdr:row>9</xdr:row>
      <xdr:rowOff>8970</xdr:rowOff>
    </xdr:to>
    <xdr:sp macro="" textlink="">
      <xdr:nvSpPr>
        <xdr:cNvPr id="52" name="Owal 51">
          <a:extLst>
            <a:ext uri="{FF2B5EF4-FFF2-40B4-BE49-F238E27FC236}">
              <a16:creationId xmlns:a16="http://schemas.microsoft.com/office/drawing/2014/main" id="{139633C5-6854-4AA2-AB1B-A0319F541EBF}"/>
            </a:ext>
          </a:extLst>
        </xdr:cNvPr>
        <xdr:cNvSpPr/>
      </xdr:nvSpPr>
      <xdr:spPr>
        <a:xfrm>
          <a:off x="18270708" y="1598680"/>
          <a:ext cx="496326" cy="269570"/>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6M</a:t>
          </a:r>
        </a:p>
      </xdr:txBody>
    </xdr:sp>
    <xdr:clientData/>
  </xdr:twoCellAnchor>
  <xdr:twoCellAnchor>
    <xdr:from>
      <xdr:col>26</xdr:col>
      <xdr:colOff>134278</xdr:colOff>
      <xdr:row>19</xdr:row>
      <xdr:rowOff>172891</xdr:rowOff>
    </xdr:from>
    <xdr:to>
      <xdr:col>27</xdr:col>
      <xdr:colOff>7670</xdr:colOff>
      <xdr:row>21</xdr:row>
      <xdr:rowOff>81921</xdr:rowOff>
    </xdr:to>
    <xdr:sp macro="" textlink="">
      <xdr:nvSpPr>
        <xdr:cNvPr id="53" name="Owal 52">
          <a:extLst>
            <a:ext uri="{FF2B5EF4-FFF2-40B4-BE49-F238E27FC236}">
              <a16:creationId xmlns:a16="http://schemas.microsoft.com/office/drawing/2014/main" id="{2E96DD6A-9A12-4DE4-B8C7-11C6E313B405}"/>
            </a:ext>
          </a:extLst>
        </xdr:cNvPr>
        <xdr:cNvSpPr/>
      </xdr:nvSpPr>
      <xdr:spPr>
        <a:xfrm>
          <a:off x="21546478" y="3860971"/>
          <a:ext cx="482992" cy="274790"/>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6XL</a:t>
          </a:r>
        </a:p>
      </xdr:txBody>
    </xdr:sp>
    <xdr:clientData/>
  </xdr:twoCellAnchor>
  <xdr:twoCellAnchor>
    <xdr:from>
      <xdr:col>20</xdr:col>
      <xdr:colOff>303967</xdr:colOff>
      <xdr:row>27</xdr:row>
      <xdr:rowOff>131076</xdr:rowOff>
    </xdr:from>
    <xdr:to>
      <xdr:col>21</xdr:col>
      <xdr:colOff>188372</xdr:colOff>
      <xdr:row>28</xdr:row>
      <xdr:rowOff>21280</xdr:rowOff>
    </xdr:to>
    <xdr:sp macro="" textlink="">
      <xdr:nvSpPr>
        <xdr:cNvPr id="54" name="Owal 53">
          <a:extLst>
            <a:ext uri="{FF2B5EF4-FFF2-40B4-BE49-F238E27FC236}">
              <a16:creationId xmlns:a16="http://schemas.microsoft.com/office/drawing/2014/main" id="{CAC52A09-90B8-4392-A9F0-F102F3A2FEDD}"/>
            </a:ext>
          </a:extLst>
        </xdr:cNvPr>
        <xdr:cNvSpPr/>
      </xdr:nvSpPr>
      <xdr:spPr>
        <a:xfrm>
          <a:off x="18043327" y="6379476"/>
          <a:ext cx="494005" cy="255964"/>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6L</a:t>
          </a:r>
        </a:p>
      </xdr:txBody>
    </xdr:sp>
    <xdr:clientData/>
  </xdr:twoCellAnchor>
  <xdr:twoCellAnchor>
    <xdr:from>
      <xdr:col>14</xdr:col>
      <xdr:colOff>17144</xdr:colOff>
      <xdr:row>22</xdr:row>
      <xdr:rowOff>30249</xdr:rowOff>
    </xdr:from>
    <xdr:to>
      <xdr:col>14</xdr:col>
      <xdr:colOff>495653</xdr:colOff>
      <xdr:row>22</xdr:row>
      <xdr:rowOff>295963</xdr:rowOff>
    </xdr:to>
    <xdr:sp macro="" textlink="">
      <xdr:nvSpPr>
        <xdr:cNvPr id="55" name="Owal 54">
          <a:extLst>
            <a:ext uri="{FF2B5EF4-FFF2-40B4-BE49-F238E27FC236}">
              <a16:creationId xmlns:a16="http://schemas.microsoft.com/office/drawing/2014/main" id="{62B9A743-BCF6-4638-9910-3E01BD4766F5}"/>
            </a:ext>
          </a:extLst>
        </xdr:cNvPr>
        <xdr:cNvSpPr/>
      </xdr:nvSpPr>
      <xdr:spPr>
        <a:xfrm>
          <a:off x="14098904" y="4449849"/>
          <a:ext cx="478509" cy="265714"/>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6XS</a:t>
          </a:r>
        </a:p>
      </xdr:txBody>
    </xdr:sp>
    <xdr:clientData/>
  </xdr:twoCellAnchor>
  <xdr:twoCellAnchor>
    <xdr:from>
      <xdr:col>18</xdr:col>
      <xdr:colOff>378932</xdr:colOff>
      <xdr:row>18</xdr:row>
      <xdr:rowOff>54759</xdr:rowOff>
    </xdr:from>
    <xdr:to>
      <xdr:col>19</xdr:col>
      <xdr:colOff>261433</xdr:colOff>
      <xdr:row>19</xdr:row>
      <xdr:rowOff>134055</xdr:rowOff>
    </xdr:to>
    <xdr:sp macro="" textlink="">
      <xdr:nvSpPr>
        <xdr:cNvPr id="56" name="Owal 55">
          <a:extLst>
            <a:ext uri="{FF2B5EF4-FFF2-40B4-BE49-F238E27FC236}">
              <a16:creationId xmlns:a16="http://schemas.microsoft.com/office/drawing/2014/main" id="{6D872D77-EC33-4DF3-80F7-D4C7878E5226}"/>
            </a:ext>
          </a:extLst>
        </xdr:cNvPr>
        <xdr:cNvSpPr/>
      </xdr:nvSpPr>
      <xdr:spPr>
        <a:xfrm>
          <a:off x="16899092" y="3559959"/>
          <a:ext cx="492101" cy="262176"/>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7S</a:t>
          </a:r>
        </a:p>
      </xdr:txBody>
    </xdr:sp>
    <xdr:clientData/>
  </xdr:twoCellAnchor>
  <xdr:twoCellAnchor>
    <xdr:from>
      <xdr:col>22</xdr:col>
      <xdr:colOff>105300</xdr:colOff>
      <xdr:row>10</xdr:row>
      <xdr:rowOff>56526</xdr:rowOff>
    </xdr:from>
    <xdr:to>
      <xdr:col>22</xdr:col>
      <xdr:colOff>600954</xdr:colOff>
      <xdr:row>11</xdr:row>
      <xdr:rowOff>151061</xdr:rowOff>
    </xdr:to>
    <xdr:sp macro="" textlink="">
      <xdr:nvSpPr>
        <xdr:cNvPr id="57" name="Owal 56">
          <a:extLst>
            <a:ext uri="{FF2B5EF4-FFF2-40B4-BE49-F238E27FC236}">
              <a16:creationId xmlns:a16="http://schemas.microsoft.com/office/drawing/2014/main" id="{6C0215B7-241A-45FE-85D5-FABF362A7BC9}"/>
            </a:ext>
          </a:extLst>
        </xdr:cNvPr>
        <xdr:cNvSpPr/>
      </xdr:nvSpPr>
      <xdr:spPr>
        <a:xfrm>
          <a:off x="19079100" y="2098686"/>
          <a:ext cx="495654" cy="277415"/>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7M</a:t>
          </a:r>
        </a:p>
      </xdr:txBody>
    </xdr:sp>
    <xdr:clientData/>
  </xdr:twoCellAnchor>
  <xdr:twoCellAnchor>
    <xdr:from>
      <xdr:col>28</xdr:col>
      <xdr:colOff>141674</xdr:colOff>
      <xdr:row>22</xdr:row>
      <xdr:rowOff>197208</xdr:rowOff>
    </xdr:from>
    <xdr:to>
      <xdr:col>29</xdr:col>
      <xdr:colOff>18875</xdr:colOff>
      <xdr:row>23</xdr:row>
      <xdr:rowOff>110047</xdr:rowOff>
    </xdr:to>
    <xdr:sp macro="" textlink="">
      <xdr:nvSpPr>
        <xdr:cNvPr id="58" name="Owal 57">
          <a:extLst>
            <a:ext uri="{FF2B5EF4-FFF2-40B4-BE49-F238E27FC236}">
              <a16:creationId xmlns:a16="http://schemas.microsoft.com/office/drawing/2014/main" id="{D297208C-0474-4EAB-8698-E1FC79E585C7}"/>
            </a:ext>
          </a:extLst>
        </xdr:cNvPr>
        <xdr:cNvSpPr/>
      </xdr:nvSpPr>
      <xdr:spPr>
        <a:xfrm>
          <a:off x="22773074" y="4616808"/>
          <a:ext cx="486801" cy="278599"/>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7XL</a:t>
          </a:r>
        </a:p>
      </xdr:txBody>
    </xdr:sp>
    <xdr:clientData/>
  </xdr:twoCellAnchor>
  <xdr:twoCellAnchor>
    <xdr:from>
      <xdr:col>22</xdr:col>
      <xdr:colOff>287046</xdr:colOff>
      <xdr:row>30</xdr:row>
      <xdr:rowOff>155393</xdr:rowOff>
    </xdr:from>
    <xdr:to>
      <xdr:col>23</xdr:col>
      <xdr:colOff>171451</xdr:colOff>
      <xdr:row>31</xdr:row>
      <xdr:rowOff>217271</xdr:rowOff>
    </xdr:to>
    <xdr:sp macro="" textlink="">
      <xdr:nvSpPr>
        <xdr:cNvPr id="59" name="Owal 58">
          <a:extLst>
            <a:ext uri="{FF2B5EF4-FFF2-40B4-BE49-F238E27FC236}">
              <a16:creationId xmlns:a16="http://schemas.microsoft.com/office/drawing/2014/main" id="{23082ED4-4E95-4645-A491-E659D04754DF}"/>
            </a:ext>
          </a:extLst>
        </xdr:cNvPr>
        <xdr:cNvSpPr/>
      </xdr:nvSpPr>
      <xdr:spPr>
        <a:xfrm>
          <a:off x="19260846" y="7501073"/>
          <a:ext cx="494005" cy="427638"/>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7L</a:t>
          </a:r>
        </a:p>
      </xdr:txBody>
    </xdr:sp>
    <xdr:clientData/>
  </xdr:twoCellAnchor>
  <xdr:twoCellAnchor>
    <xdr:from>
      <xdr:col>15</xdr:col>
      <xdr:colOff>142314</xdr:colOff>
      <xdr:row>23</xdr:row>
      <xdr:rowOff>245065</xdr:rowOff>
    </xdr:from>
    <xdr:to>
      <xdr:col>16</xdr:col>
      <xdr:colOff>11895</xdr:colOff>
      <xdr:row>24</xdr:row>
      <xdr:rowOff>152191</xdr:rowOff>
    </xdr:to>
    <xdr:sp macro="" textlink="">
      <xdr:nvSpPr>
        <xdr:cNvPr id="60" name="Owal 59">
          <a:extLst>
            <a:ext uri="{FF2B5EF4-FFF2-40B4-BE49-F238E27FC236}">
              <a16:creationId xmlns:a16="http://schemas.microsoft.com/office/drawing/2014/main" id="{0C554F8B-B4E5-4358-A6A6-8F02CC3CE947}"/>
            </a:ext>
          </a:extLst>
        </xdr:cNvPr>
        <xdr:cNvSpPr/>
      </xdr:nvSpPr>
      <xdr:spPr>
        <a:xfrm>
          <a:off x="14833674" y="5030425"/>
          <a:ext cx="479181" cy="272886"/>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7XS</a:t>
          </a:r>
        </a:p>
      </xdr:txBody>
    </xdr:sp>
    <xdr:clientData/>
  </xdr:twoCellAnchor>
  <xdr:twoCellAnchor editAs="oneCell">
    <xdr:from>
      <xdr:col>10</xdr:col>
      <xdr:colOff>588258</xdr:colOff>
      <xdr:row>28</xdr:row>
      <xdr:rowOff>126578</xdr:rowOff>
    </xdr:from>
    <xdr:to>
      <xdr:col>12</xdr:col>
      <xdr:colOff>529784</xdr:colOff>
      <xdr:row>30</xdr:row>
      <xdr:rowOff>132341</xdr:rowOff>
    </xdr:to>
    <xdr:pic>
      <xdr:nvPicPr>
        <xdr:cNvPr id="61" name="Obraz 60">
          <a:extLst>
            <a:ext uri="{FF2B5EF4-FFF2-40B4-BE49-F238E27FC236}">
              <a16:creationId xmlns:a16="http://schemas.microsoft.com/office/drawing/2014/main" id="{D87CDD11-8208-4674-9185-3862C6689164}"/>
            </a:ext>
          </a:extLst>
        </xdr:cNvPr>
        <xdr:cNvPicPr>
          <a:picLocks noChangeAspect="1"/>
        </xdr:cNvPicPr>
      </xdr:nvPicPr>
      <xdr:blipFill>
        <a:blip xmlns:r="http://schemas.openxmlformats.org/officeDocument/2006/relationships" r:embed="rId25"/>
        <a:stretch>
          <a:fillRect/>
        </a:stretch>
      </xdr:blipFill>
      <xdr:spPr>
        <a:xfrm>
          <a:off x="12231618" y="6740738"/>
          <a:ext cx="1160726" cy="737283"/>
        </a:xfrm>
        <a:prstGeom prst="rect">
          <a:avLst/>
        </a:prstGeom>
      </xdr:spPr>
    </xdr:pic>
    <xdr:clientData/>
  </xdr:twoCellAnchor>
  <xdr:twoCellAnchor editAs="oneCell">
    <xdr:from>
      <xdr:col>14</xdr:col>
      <xdr:colOff>414618</xdr:colOff>
      <xdr:row>32</xdr:row>
      <xdr:rowOff>156883</xdr:rowOff>
    </xdr:from>
    <xdr:to>
      <xdr:col>16</xdr:col>
      <xdr:colOff>398757</xdr:colOff>
      <xdr:row>35</xdr:row>
      <xdr:rowOff>20717</xdr:rowOff>
    </xdr:to>
    <xdr:pic>
      <xdr:nvPicPr>
        <xdr:cNvPr id="62" name="Obraz 61">
          <a:extLst>
            <a:ext uri="{FF2B5EF4-FFF2-40B4-BE49-F238E27FC236}">
              <a16:creationId xmlns:a16="http://schemas.microsoft.com/office/drawing/2014/main" id="{1D98CAD2-28AF-4A80-B08F-11253DA4FB70}"/>
            </a:ext>
          </a:extLst>
        </xdr:cNvPr>
        <xdr:cNvPicPr>
          <a:picLocks noChangeAspect="1"/>
        </xdr:cNvPicPr>
      </xdr:nvPicPr>
      <xdr:blipFill>
        <a:blip xmlns:r="http://schemas.openxmlformats.org/officeDocument/2006/relationships" r:embed="rId26"/>
        <a:stretch>
          <a:fillRect/>
        </a:stretch>
      </xdr:blipFill>
      <xdr:spPr>
        <a:xfrm>
          <a:off x="14496378" y="8234083"/>
          <a:ext cx="1203339" cy="961114"/>
        </a:xfrm>
        <a:prstGeom prst="rect">
          <a:avLst/>
        </a:prstGeom>
      </xdr:spPr>
    </xdr:pic>
    <xdr:clientData/>
  </xdr:twoCellAnchor>
  <xdr:twoCellAnchor editAs="oneCell">
    <xdr:from>
      <xdr:col>4</xdr:col>
      <xdr:colOff>642545</xdr:colOff>
      <xdr:row>77</xdr:row>
      <xdr:rowOff>141867</xdr:rowOff>
    </xdr:from>
    <xdr:to>
      <xdr:col>7</xdr:col>
      <xdr:colOff>342232</xdr:colOff>
      <xdr:row>87</xdr:row>
      <xdr:rowOff>130886</xdr:rowOff>
    </xdr:to>
    <xdr:pic>
      <xdr:nvPicPr>
        <xdr:cNvPr id="63" name="Obraz 62">
          <a:extLst>
            <a:ext uri="{FF2B5EF4-FFF2-40B4-BE49-F238E27FC236}">
              <a16:creationId xmlns:a16="http://schemas.microsoft.com/office/drawing/2014/main" id="{191BB4D6-3E88-44F9-8F95-8DE9C5ED1EE3}"/>
            </a:ext>
          </a:extLst>
        </xdr:cNvPr>
        <xdr:cNvPicPr>
          <a:picLocks noChangeAspect="1"/>
        </xdr:cNvPicPr>
      </xdr:nvPicPr>
      <xdr:blipFill>
        <a:blip xmlns:r="http://schemas.openxmlformats.org/officeDocument/2006/relationships" r:embed="rId27"/>
        <a:stretch>
          <a:fillRect/>
        </a:stretch>
      </xdr:blipFill>
      <xdr:spPr>
        <a:xfrm>
          <a:off x="4452545" y="18323187"/>
          <a:ext cx="2679107" cy="1817818"/>
        </a:xfrm>
        <a:prstGeom prst="rect">
          <a:avLst/>
        </a:prstGeom>
      </xdr:spPr>
    </xdr:pic>
    <xdr:clientData/>
  </xdr:twoCellAnchor>
  <xdr:twoCellAnchor>
    <xdr:from>
      <xdr:col>5</xdr:col>
      <xdr:colOff>949681</xdr:colOff>
      <xdr:row>79</xdr:row>
      <xdr:rowOff>59839</xdr:rowOff>
    </xdr:from>
    <xdr:to>
      <xdr:col>6</xdr:col>
      <xdr:colOff>11206</xdr:colOff>
      <xdr:row>80</xdr:row>
      <xdr:rowOff>141866</xdr:rowOff>
    </xdr:to>
    <xdr:sp macro="" textlink="">
      <xdr:nvSpPr>
        <xdr:cNvPr id="64" name="Owal 63">
          <a:extLst>
            <a:ext uri="{FF2B5EF4-FFF2-40B4-BE49-F238E27FC236}">
              <a16:creationId xmlns:a16="http://schemas.microsoft.com/office/drawing/2014/main" id="{E47A3700-1787-44E5-896E-F97F8CB3FDA2}"/>
            </a:ext>
          </a:extLst>
        </xdr:cNvPr>
        <xdr:cNvSpPr/>
      </xdr:nvSpPr>
      <xdr:spPr>
        <a:xfrm>
          <a:off x="5605501" y="18606919"/>
          <a:ext cx="364545" cy="264907"/>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12</a:t>
          </a:r>
        </a:p>
      </xdr:txBody>
    </xdr:sp>
    <xdr:clientData/>
  </xdr:twoCellAnchor>
  <xdr:twoCellAnchor>
    <xdr:from>
      <xdr:col>15</xdr:col>
      <xdr:colOff>598490</xdr:colOff>
      <xdr:row>90</xdr:row>
      <xdr:rowOff>41398</xdr:rowOff>
    </xdr:from>
    <xdr:to>
      <xdr:col>16</xdr:col>
      <xdr:colOff>298284</xdr:colOff>
      <xdr:row>91</xdr:row>
      <xdr:rowOff>80729</xdr:rowOff>
    </xdr:to>
    <xdr:sp macro="" textlink="">
      <xdr:nvSpPr>
        <xdr:cNvPr id="65" name="Owal 64">
          <a:extLst>
            <a:ext uri="{FF2B5EF4-FFF2-40B4-BE49-F238E27FC236}">
              <a16:creationId xmlns:a16="http://schemas.microsoft.com/office/drawing/2014/main" id="{04D705A5-C884-4C64-A7DC-9DAB863F0549}"/>
            </a:ext>
          </a:extLst>
        </xdr:cNvPr>
        <xdr:cNvSpPr/>
      </xdr:nvSpPr>
      <xdr:spPr>
        <a:xfrm>
          <a:off x="15289850" y="20600158"/>
          <a:ext cx="309394" cy="222211"/>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15</a:t>
          </a:r>
        </a:p>
      </xdr:txBody>
    </xdr:sp>
    <xdr:clientData/>
  </xdr:twoCellAnchor>
  <xdr:twoCellAnchor editAs="oneCell">
    <xdr:from>
      <xdr:col>13</xdr:col>
      <xdr:colOff>34637</xdr:colOff>
      <xdr:row>110</xdr:row>
      <xdr:rowOff>51955</xdr:rowOff>
    </xdr:from>
    <xdr:to>
      <xdr:col>15</xdr:col>
      <xdr:colOff>136650</xdr:colOff>
      <xdr:row>117</xdr:row>
      <xdr:rowOff>134921</xdr:rowOff>
    </xdr:to>
    <xdr:pic>
      <xdr:nvPicPr>
        <xdr:cNvPr id="66" name="Obraz 65">
          <a:extLst>
            <a:ext uri="{FF2B5EF4-FFF2-40B4-BE49-F238E27FC236}">
              <a16:creationId xmlns:a16="http://schemas.microsoft.com/office/drawing/2014/main" id="{7EE65C68-1FFC-4A3D-8AEB-BF6451A00D53}"/>
            </a:ext>
          </a:extLst>
        </xdr:cNvPr>
        <xdr:cNvPicPr>
          <a:picLocks noChangeAspect="1"/>
        </xdr:cNvPicPr>
      </xdr:nvPicPr>
      <xdr:blipFill>
        <a:blip xmlns:r="http://schemas.openxmlformats.org/officeDocument/2006/relationships" r:embed="rId28"/>
        <a:stretch>
          <a:fillRect/>
        </a:stretch>
      </xdr:blipFill>
      <xdr:spPr>
        <a:xfrm>
          <a:off x="13506797" y="24268315"/>
          <a:ext cx="1321213" cy="1363126"/>
        </a:xfrm>
        <a:prstGeom prst="rect">
          <a:avLst/>
        </a:prstGeom>
      </xdr:spPr>
    </xdr:pic>
    <xdr:clientData/>
  </xdr:twoCellAnchor>
  <xdr:twoCellAnchor>
    <xdr:from>
      <xdr:col>14</xdr:col>
      <xdr:colOff>128359</xdr:colOff>
      <xdr:row>110</xdr:row>
      <xdr:rowOff>60858</xdr:rowOff>
    </xdr:from>
    <xdr:to>
      <xdr:col>14</xdr:col>
      <xdr:colOff>431366</xdr:colOff>
      <xdr:row>111</xdr:row>
      <xdr:rowOff>100191</xdr:rowOff>
    </xdr:to>
    <xdr:sp macro="" textlink="">
      <xdr:nvSpPr>
        <xdr:cNvPr id="67" name="Owal 66">
          <a:extLst>
            <a:ext uri="{FF2B5EF4-FFF2-40B4-BE49-F238E27FC236}">
              <a16:creationId xmlns:a16="http://schemas.microsoft.com/office/drawing/2014/main" id="{5143B4DF-5D98-4BD2-AAC2-1CC29C32BAD1}"/>
            </a:ext>
          </a:extLst>
        </xdr:cNvPr>
        <xdr:cNvSpPr/>
      </xdr:nvSpPr>
      <xdr:spPr>
        <a:xfrm>
          <a:off x="14210119" y="24277218"/>
          <a:ext cx="303007" cy="222213"/>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18</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188593</xdr:colOff>
      <xdr:row>76</xdr:row>
      <xdr:rowOff>93345</xdr:rowOff>
    </xdr:from>
    <xdr:to>
      <xdr:col>3</xdr:col>
      <xdr:colOff>1467639</xdr:colOff>
      <xdr:row>88</xdr:row>
      <xdr:rowOff>95251</xdr:rowOff>
    </xdr:to>
    <xdr:pic>
      <xdr:nvPicPr>
        <xdr:cNvPr id="9" name="Obraz 8">
          <a:extLst>
            <a:ext uri="{FF2B5EF4-FFF2-40B4-BE49-F238E27FC236}">
              <a16:creationId xmlns:a16="http://schemas.microsoft.com/office/drawing/2014/main" id="{6525E4BC-EFC3-45EC-8B11-E62FDDE05A41}"/>
            </a:ext>
          </a:extLst>
        </xdr:cNvPr>
        <xdr:cNvPicPr>
          <a:picLocks noChangeAspect="1"/>
        </xdr:cNvPicPr>
      </xdr:nvPicPr>
      <xdr:blipFill>
        <a:blip xmlns:r="http://schemas.openxmlformats.org/officeDocument/2006/relationships" r:embed="rId1"/>
        <a:stretch>
          <a:fillRect/>
        </a:stretch>
      </xdr:blipFill>
      <xdr:spPr>
        <a:xfrm>
          <a:off x="746486" y="17823452"/>
          <a:ext cx="1271426" cy="2124620"/>
        </a:xfrm>
        <a:prstGeom prst="rect">
          <a:avLst/>
        </a:prstGeom>
      </xdr:spPr>
    </xdr:pic>
    <xdr:clientData/>
  </xdr:twoCellAnchor>
  <xdr:twoCellAnchor editAs="oneCell">
    <xdr:from>
      <xdr:col>14</xdr:col>
      <xdr:colOff>472552</xdr:colOff>
      <xdr:row>90</xdr:row>
      <xdr:rowOff>78442</xdr:rowOff>
    </xdr:from>
    <xdr:to>
      <xdr:col>17</xdr:col>
      <xdr:colOff>136994</xdr:colOff>
      <xdr:row>99</xdr:row>
      <xdr:rowOff>15466</xdr:rowOff>
    </xdr:to>
    <xdr:pic>
      <xdr:nvPicPr>
        <xdr:cNvPr id="26" name="Obraz 25">
          <a:extLst>
            <a:ext uri="{FF2B5EF4-FFF2-40B4-BE49-F238E27FC236}">
              <a16:creationId xmlns:a16="http://schemas.microsoft.com/office/drawing/2014/main" id="{2B8D2A24-EBA1-4DCA-843C-D0CA6008E53D}"/>
            </a:ext>
          </a:extLst>
        </xdr:cNvPr>
        <xdr:cNvPicPr>
          <a:picLocks noChangeAspect="1"/>
        </xdr:cNvPicPr>
      </xdr:nvPicPr>
      <xdr:blipFill>
        <a:blip xmlns:r="http://schemas.openxmlformats.org/officeDocument/2006/relationships" r:embed="rId2"/>
        <a:stretch>
          <a:fillRect/>
        </a:stretch>
      </xdr:blipFill>
      <xdr:spPr>
        <a:xfrm>
          <a:off x="14547140" y="24036618"/>
          <a:ext cx="1483605" cy="1539240"/>
        </a:xfrm>
        <a:prstGeom prst="rect">
          <a:avLst/>
        </a:prstGeom>
      </xdr:spPr>
    </xdr:pic>
    <xdr:clientData/>
  </xdr:twoCellAnchor>
  <xdr:twoCellAnchor editAs="oneCell">
    <xdr:from>
      <xdr:col>3</xdr:col>
      <xdr:colOff>1964840</xdr:colOff>
      <xdr:row>76</xdr:row>
      <xdr:rowOff>89646</xdr:rowOff>
    </xdr:from>
    <xdr:to>
      <xdr:col>3</xdr:col>
      <xdr:colOff>3106605</xdr:colOff>
      <xdr:row>89</xdr:row>
      <xdr:rowOff>1425</xdr:rowOff>
    </xdr:to>
    <xdr:pic>
      <xdr:nvPicPr>
        <xdr:cNvPr id="23" name="Obraz 22">
          <a:extLst>
            <a:ext uri="{FF2B5EF4-FFF2-40B4-BE49-F238E27FC236}">
              <a16:creationId xmlns:a16="http://schemas.microsoft.com/office/drawing/2014/main" id="{9C6B968F-E39C-4C7E-BD15-07C93C7FDC16}"/>
            </a:ext>
          </a:extLst>
        </xdr:cNvPr>
        <xdr:cNvPicPr>
          <a:picLocks noChangeAspect="1"/>
        </xdr:cNvPicPr>
      </xdr:nvPicPr>
      <xdr:blipFill>
        <a:blip xmlns:r="http://schemas.openxmlformats.org/officeDocument/2006/relationships" r:embed="rId3"/>
        <a:stretch>
          <a:fillRect/>
        </a:stretch>
      </xdr:blipFill>
      <xdr:spPr>
        <a:xfrm>
          <a:off x="2536340" y="18489705"/>
          <a:ext cx="1128430" cy="2236491"/>
        </a:xfrm>
        <a:prstGeom prst="rect">
          <a:avLst/>
        </a:prstGeom>
      </xdr:spPr>
    </xdr:pic>
    <xdr:clientData/>
  </xdr:twoCellAnchor>
  <xdr:twoCellAnchor editAs="oneCell">
    <xdr:from>
      <xdr:col>3</xdr:col>
      <xdr:colOff>3111046</xdr:colOff>
      <xdr:row>91</xdr:row>
      <xdr:rowOff>20458</xdr:rowOff>
    </xdr:from>
    <xdr:to>
      <xdr:col>5</xdr:col>
      <xdr:colOff>511439</xdr:colOff>
      <xdr:row>96</xdr:row>
      <xdr:rowOff>114298</xdr:rowOff>
    </xdr:to>
    <xdr:pic>
      <xdr:nvPicPr>
        <xdr:cNvPr id="20" name="Obraz 19">
          <a:extLst>
            <a:ext uri="{FF2B5EF4-FFF2-40B4-BE49-F238E27FC236}">
              <a16:creationId xmlns:a16="http://schemas.microsoft.com/office/drawing/2014/main" id="{7BD84F40-8800-482F-B02F-5E3CD1FB2C4B}"/>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3673021" y="21289783"/>
          <a:ext cx="1492333" cy="998717"/>
        </a:xfrm>
        <a:prstGeom prst="rect">
          <a:avLst/>
        </a:prstGeom>
      </xdr:spPr>
    </xdr:pic>
    <xdr:clientData/>
  </xdr:twoCellAnchor>
  <xdr:twoCellAnchor editAs="oneCell">
    <xdr:from>
      <xdr:col>3</xdr:col>
      <xdr:colOff>2272758</xdr:colOff>
      <xdr:row>92</xdr:row>
      <xdr:rowOff>84473</xdr:rowOff>
    </xdr:from>
    <xdr:to>
      <xdr:col>3</xdr:col>
      <xdr:colOff>2989783</xdr:colOff>
      <xdr:row>95</xdr:row>
      <xdr:rowOff>135254</xdr:rowOff>
    </xdr:to>
    <xdr:pic>
      <xdr:nvPicPr>
        <xdr:cNvPr id="22" name="Obraz 21">
          <a:extLst>
            <a:ext uri="{FF2B5EF4-FFF2-40B4-BE49-F238E27FC236}">
              <a16:creationId xmlns:a16="http://schemas.microsoft.com/office/drawing/2014/main" id="{C4BBC5EC-77B6-40BE-A0D0-BBD1DCE02685}"/>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34733" y="21534773"/>
          <a:ext cx="720835" cy="601327"/>
        </a:xfrm>
        <a:prstGeom prst="rect">
          <a:avLst/>
        </a:prstGeom>
      </xdr:spPr>
    </xdr:pic>
    <xdr:clientData/>
  </xdr:twoCellAnchor>
  <xdr:twoCellAnchor editAs="oneCell">
    <xdr:from>
      <xdr:col>7</xdr:col>
      <xdr:colOff>2303951</xdr:colOff>
      <xdr:row>62</xdr:row>
      <xdr:rowOff>116227</xdr:rowOff>
    </xdr:from>
    <xdr:to>
      <xdr:col>8</xdr:col>
      <xdr:colOff>170497</xdr:colOff>
      <xdr:row>70</xdr:row>
      <xdr:rowOff>96162</xdr:rowOff>
    </xdr:to>
    <xdr:pic>
      <xdr:nvPicPr>
        <xdr:cNvPr id="24" name="Obraz 23">
          <a:extLst>
            <a:ext uri="{FF2B5EF4-FFF2-40B4-BE49-F238E27FC236}">
              <a16:creationId xmlns:a16="http://schemas.microsoft.com/office/drawing/2014/main" id="{286C7DB5-DC0D-4851-B7AE-1B56AA01CCC6}"/>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9105922" y="15288992"/>
          <a:ext cx="1863236" cy="1418097"/>
        </a:xfrm>
        <a:prstGeom prst="rect">
          <a:avLst/>
        </a:prstGeom>
      </xdr:spPr>
    </xdr:pic>
    <xdr:clientData/>
  </xdr:twoCellAnchor>
  <xdr:twoCellAnchor editAs="oneCell">
    <xdr:from>
      <xdr:col>3</xdr:col>
      <xdr:colOff>77939</xdr:colOff>
      <xdr:row>91</xdr:row>
      <xdr:rowOff>146071</xdr:rowOff>
    </xdr:from>
    <xdr:to>
      <xdr:col>3</xdr:col>
      <xdr:colOff>1810587</xdr:colOff>
      <xdr:row>96</xdr:row>
      <xdr:rowOff>18324</xdr:rowOff>
    </xdr:to>
    <xdr:pic>
      <xdr:nvPicPr>
        <xdr:cNvPr id="25" name="Obraz 24">
          <a:extLst>
            <a:ext uri="{FF2B5EF4-FFF2-40B4-BE49-F238E27FC236}">
              <a16:creationId xmlns:a16="http://schemas.microsoft.com/office/drawing/2014/main" id="{9CC261D1-B4E5-4248-8EA8-950360A363B3}"/>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649439" y="17550844"/>
          <a:ext cx="1721218" cy="749594"/>
        </a:xfrm>
        <a:prstGeom prst="rect">
          <a:avLst/>
        </a:prstGeom>
      </xdr:spPr>
    </xdr:pic>
    <xdr:clientData/>
  </xdr:twoCellAnchor>
  <xdr:twoCellAnchor editAs="oneCell">
    <xdr:from>
      <xdr:col>2</xdr:col>
      <xdr:colOff>173182</xdr:colOff>
      <xdr:row>99</xdr:row>
      <xdr:rowOff>116167</xdr:rowOff>
    </xdr:from>
    <xdr:to>
      <xdr:col>3</xdr:col>
      <xdr:colOff>2473902</xdr:colOff>
      <xdr:row>115</xdr:row>
      <xdr:rowOff>18012</xdr:rowOff>
    </xdr:to>
    <xdr:pic>
      <xdr:nvPicPr>
        <xdr:cNvPr id="31" name="Obraz 30">
          <a:extLst>
            <a:ext uri="{FF2B5EF4-FFF2-40B4-BE49-F238E27FC236}">
              <a16:creationId xmlns:a16="http://schemas.microsoft.com/office/drawing/2014/main" id="{D38BAC6E-172F-4869-AC37-7E8BF0C2BE65}"/>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467591" y="18906394"/>
          <a:ext cx="2577811" cy="26803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2599958</xdr:colOff>
      <xdr:row>99</xdr:row>
      <xdr:rowOff>121656</xdr:rowOff>
    </xdr:from>
    <xdr:to>
      <xdr:col>5</xdr:col>
      <xdr:colOff>1050000</xdr:colOff>
      <xdr:row>118</xdr:row>
      <xdr:rowOff>54380</xdr:rowOff>
    </xdr:to>
    <xdr:pic>
      <xdr:nvPicPr>
        <xdr:cNvPr id="32" name="Obraz 31">
          <a:extLst>
            <a:ext uri="{FF2B5EF4-FFF2-40B4-BE49-F238E27FC236}">
              <a16:creationId xmlns:a16="http://schemas.microsoft.com/office/drawing/2014/main" id="{036A33C0-6E7D-447D-923B-5C069A29B855}"/>
            </a:ext>
          </a:extLst>
        </xdr:cNvPr>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3171458" y="18911883"/>
          <a:ext cx="2542848" cy="3230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1121021</xdr:colOff>
      <xdr:row>99</xdr:row>
      <xdr:rowOff>103160</xdr:rowOff>
    </xdr:from>
    <xdr:to>
      <xdr:col>7</xdr:col>
      <xdr:colOff>1542531</xdr:colOff>
      <xdr:row>118</xdr:row>
      <xdr:rowOff>21822</xdr:rowOff>
    </xdr:to>
    <xdr:pic>
      <xdr:nvPicPr>
        <xdr:cNvPr id="33" name="Obraz 32">
          <a:extLst>
            <a:ext uri="{FF2B5EF4-FFF2-40B4-BE49-F238E27FC236}">
              <a16:creationId xmlns:a16="http://schemas.microsoft.com/office/drawing/2014/main" id="{8AE056C7-F170-4730-AD65-96158AEA6450}"/>
            </a:ext>
          </a:extLst>
        </xdr:cNvPr>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5779612" y="18893387"/>
          <a:ext cx="2551646" cy="32186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1939440</xdr:colOff>
      <xdr:row>77</xdr:row>
      <xdr:rowOff>53758</xdr:rowOff>
    </xdr:from>
    <xdr:to>
      <xdr:col>11</xdr:col>
      <xdr:colOff>841</xdr:colOff>
      <xdr:row>89</xdr:row>
      <xdr:rowOff>130647</xdr:rowOff>
    </xdr:to>
    <xdr:pic>
      <xdr:nvPicPr>
        <xdr:cNvPr id="34" name="Obraz 33">
          <a:extLst>
            <a:ext uri="{FF2B5EF4-FFF2-40B4-BE49-F238E27FC236}">
              <a16:creationId xmlns:a16="http://schemas.microsoft.com/office/drawing/2014/main" id="{85C22ADB-33E5-4269-B2FC-4901C237D5CB}"/>
            </a:ext>
          </a:extLst>
        </xdr:cNvPr>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8729404" y="18015187"/>
          <a:ext cx="3524268" cy="22072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2328615</xdr:colOff>
      <xdr:row>90</xdr:row>
      <xdr:rowOff>13938</xdr:rowOff>
    </xdr:from>
    <xdr:to>
      <xdr:col>10</xdr:col>
      <xdr:colOff>440011</xdr:colOff>
      <xdr:row>98</xdr:row>
      <xdr:rowOff>21386</xdr:rowOff>
    </xdr:to>
    <xdr:pic>
      <xdr:nvPicPr>
        <xdr:cNvPr id="35" name="Obraz 34">
          <a:extLst>
            <a:ext uri="{FF2B5EF4-FFF2-40B4-BE49-F238E27FC236}">
              <a16:creationId xmlns:a16="http://schemas.microsoft.com/office/drawing/2014/main" id="{1E62DF4C-F641-40AD-AA82-2E766CF55432}"/>
            </a:ext>
          </a:extLst>
        </xdr:cNvPr>
        <xdr:cNvPicPr>
          <a:picLocks noChangeAspect="1" noChangeArrowheads="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9130586" y="24151409"/>
          <a:ext cx="2959733" cy="14379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37978</xdr:colOff>
      <xdr:row>61</xdr:row>
      <xdr:rowOff>90159</xdr:rowOff>
    </xdr:from>
    <xdr:to>
      <xdr:col>22</xdr:col>
      <xdr:colOff>473841</xdr:colOff>
      <xdr:row>72</xdr:row>
      <xdr:rowOff>22410</xdr:rowOff>
    </xdr:to>
    <xdr:pic>
      <xdr:nvPicPr>
        <xdr:cNvPr id="38" name="Obraz 37" descr="Viessmann Flexrohr wärmegedämmt 1-6m | Loebbeshop Heizung und Ersatzteile  online einkaufen">
          <a:extLst>
            <a:ext uri="{FF2B5EF4-FFF2-40B4-BE49-F238E27FC236}">
              <a16:creationId xmlns:a16="http://schemas.microsoft.com/office/drawing/2014/main" id="{F7915E9F-99DE-4E4F-B504-BC8409B6DB2A}"/>
            </a:ext>
          </a:extLst>
        </xdr:cNvPr>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14706478" y="14966477"/>
          <a:ext cx="4684706" cy="18448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27214</xdr:colOff>
      <xdr:row>60</xdr:row>
      <xdr:rowOff>122464</xdr:rowOff>
    </xdr:from>
    <xdr:to>
      <xdr:col>3</xdr:col>
      <xdr:colOff>1906905</xdr:colOff>
      <xdr:row>70</xdr:row>
      <xdr:rowOff>132506</xdr:rowOff>
    </xdr:to>
    <xdr:pic>
      <xdr:nvPicPr>
        <xdr:cNvPr id="39" name="Obraz 38" descr="Bogen 90° mit Verbindungsmuffe Vitovent 300 | Loebbeshop Heizung und  Ersatzteile online einkaufen">
          <a:extLst>
            <a:ext uri="{FF2B5EF4-FFF2-40B4-BE49-F238E27FC236}">
              <a16:creationId xmlns:a16="http://schemas.microsoft.com/office/drawing/2014/main" id="{178A1EC7-0CF7-417B-8F13-2B0434D1D3F5}"/>
            </a:ext>
          </a:extLst>
        </xdr:cNvPr>
        <xdr:cNvPicPr>
          <a:picLocks noChangeAspect="1" noChangeArrowheads="1"/>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a:fillRect/>
        </a:stretch>
      </xdr:blipFill>
      <xdr:spPr bwMode="auto">
        <a:xfrm>
          <a:off x="585107" y="8014607"/>
          <a:ext cx="1879691" cy="1786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2459084</xdr:colOff>
      <xdr:row>61</xdr:row>
      <xdr:rowOff>13607</xdr:rowOff>
    </xdr:from>
    <xdr:to>
      <xdr:col>5</xdr:col>
      <xdr:colOff>475180</xdr:colOff>
      <xdr:row>73</xdr:row>
      <xdr:rowOff>136074</xdr:rowOff>
    </xdr:to>
    <xdr:pic>
      <xdr:nvPicPr>
        <xdr:cNvPr id="40" name="Obraz 39" descr="Rohr mit Verbindungsmuffe Viessmann 7501764, 7501765, 7501766 | Loebbeshop  Heizung und Ersatzteile online einkaufen">
          <a:extLst>
            <a:ext uri="{FF2B5EF4-FFF2-40B4-BE49-F238E27FC236}">
              <a16:creationId xmlns:a16="http://schemas.microsoft.com/office/drawing/2014/main" id="{635F7C44-F5DE-4095-BA59-D5E8625F8CE1}"/>
            </a:ext>
          </a:extLst>
        </xdr:cNvPr>
        <xdr:cNvPicPr>
          <a:picLocks noChangeAspect="1" noChangeArrowheads="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a:fillRect/>
        </a:stretch>
      </xdr:blipFill>
      <xdr:spPr bwMode="auto">
        <a:xfrm>
          <a:off x="3016977" y="8082643"/>
          <a:ext cx="2111846" cy="22451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39029</xdr:colOff>
      <xdr:row>62</xdr:row>
      <xdr:rowOff>73477</xdr:rowOff>
    </xdr:from>
    <xdr:to>
      <xdr:col>7</xdr:col>
      <xdr:colOff>1391289</xdr:colOff>
      <xdr:row>71</xdr:row>
      <xdr:rowOff>151888</xdr:rowOff>
    </xdr:to>
    <xdr:pic>
      <xdr:nvPicPr>
        <xdr:cNvPr id="2" name="Obraz 1">
          <a:extLst>
            <a:ext uri="{FF2B5EF4-FFF2-40B4-BE49-F238E27FC236}">
              <a16:creationId xmlns:a16="http://schemas.microsoft.com/office/drawing/2014/main" id="{60A08FF4-522D-49E7-8657-CC70081CE6AF}"/>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6011764" y="15246242"/>
          <a:ext cx="2168161" cy="1692057"/>
        </a:xfrm>
        <a:prstGeom prst="rect">
          <a:avLst/>
        </a:prstGeom>
      </xdr:spPr>
    </xdr:pic>
    <xdr:clientData/>
  </xdr:twoCellAnchor>
  <xdr:twoCellAnchor>
    <xdr:from>
      <xdr:col>4</xdr:col>
      <xdr:colOff>420067</xdr:colOff>
      <xdr:row>64</xdr:row>
      <xdr:rowOff>58280</xdr:rowOff>
    </xdr:from>
    <xdr:to>
      <xdr:col>4</xdr:col>
      <xdr:colOff>649760</xdr:colOff>
      <xdr:row>65</xdr:row>
      <xdr:rowOff>102331</xdr:rowOff>
    </xdr:to>
    <xdr:sp macro="" textlink="">
      <xdr:nvSpPr>
        <xdr:cNvPr id="27" name="Owal 26">
          <a:extLst>
            <a:ext uri="{FF2B5EF4-FFF2-40B4-BE49-F238E27FC236}">
              <a16:creationId xmlns:a16="http://schemas.microsoft.com/office/drawing/2014/main" id="{9FF6BFA0-7151-490C-9380-E4686BB10E02}"/>
            </a:ext>
          </a:extLst>
        </xdr:cNvPr>
        <xdr:cNvSpPr/>
      </xdr:nvSpPr>
      <xdr:spPr>
        <a:xfrm>
          <a:off x="4248039" y="8756582"/>
          <a:ext cx="229693" cy="223768"/>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a:t>
          </a:r>
        </a:p>
      </xdr:txBody>
    </xdr:sp>
    <xdr:clientData/>
  </xdr:twoCellAnchor>
  <xdr:twoCellAnchor>
    <xdr:from>
      <xdr:col>3</xdr:col>
      <xdr:colOff>404364</xdr:colOff>
      <xdr:row>61</xdr:row>
      <xdr:rowOff>107830</xdr:rowOff>
    </xdr:from>
    <xdr:to>
      <xdr:col>3</xdr:col>
      <xdr:colOff>626437</xdr:colOff>
      <xdr:row>62</xdr:row>
      <xdr:rowOff>157596</xdr:rowOff>
    </xdr:to>
    <xdr:sp macro="" textlink="">
      <xdr:nvSpPr>
        <xdr:cNvPr id="28" name="Owal 27">
          <a:extLst>
            <a:ext uri="{FF2B5EF4-FFF2-40B4-BE49-F238E27FC236}">
              <a16:creationId xmlns:a16="http://schemas.microsoft.com/office/drawing/2014/main" id="{7C6F9336-D7FB-455E-9F5A-A62F7399FDF1}"/>
            </a:ext>
          </a:extLst>
        </xdr:cNvPr>
        <xdr:cNvSpPr/>
      </xdr:nvSpPr>
      <xdr:spPr>
        <a:xfrm>
          <a:off x="970472" y="8266981"/>
          <a:ext cx="222073" cy="229483"/>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2</a:t>
          </a:r>
        </a:p>
      </xdr:txBody>
    </xdr:sp>
    <xdr:clientData/>
  </xdr:twoCellAnchor>
  <xdr:twoCellAnchor>
    <xdr:from>
      <xdr:col>7</xdr:col>
      <xdr:colOff>304029</xdr:colOff>
      <xdr:row>61</xdr:row>
      <xdr:rowOff>118826</xdr:rowOff>
    </xdr:from>
    <xdr:to>
      <xdr:col>7</xdr:col>
      <xdr:colOff>533722</xdr:colOff>
      <xdr:row>62</xdr:row>
      <xdr:rowOff>162454</xdr:rowOff>
    </xdr:to>
    <xdr:sp macro="" textlink="">
      <xdr:nvSpPr>
        <xdr:cNvPr id="29" name="Owal 28">
          <a:extLst>
            <a:ext uri="{FF2B5EF4-FFF2-40B4-BE49-F238E27FC236}">
              <a16:creationId xmlns:a16="http://schemas.microsoft.com/office/drawing/2014/main" id="{224AF3BF-B545-4CB7-A9F3-24D8476BD5F4}"/>
            </a:ext>
          </a:extLst>
        </xdr:cNvPr>
        <xdr:cNvSpPr/>
      </xdr:nvSpPr>
      <xdr:spPr>
        <a:xfrm>
          <a:off x="7106000" y="15112297"/>
          <a:ext cx="229693" cy="22292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3</a:t>
          </a:r>
        </a:p>
      </xdr:txBody>
    </xdr:sp>
    <xdr:clientData/>
  </xdr:twoCellAnchor>
  <xdr:twoCellAnchor editAs="oneCell">
    <xdr:from>
      <xdr:col>12</xdr:col>
      <xdr:colOff>69517</xdr:colOff>
      <xdr:row>40</xdr:row>
      <xdr:rowOff>285060</xdr:rowOff>
    </xdr:from>
    <xdr:to>
      <xdr:col>17</xdr:col>
      <xdr:colOff>440383</xdr:colOff>
      <xdr:row>50</xdr:row>
      <xdr:rowOff>168849</xdr:rowOff>
    </xdr:to>
    <xdr:pic>
      <xdr:nvPicPr>
        <xdr:cNvPr id="53" name="Obraz 52">
          <a:extLst>
            <a:ext uri="{FF2B5EF4-FFF2-40B4-BE49-F238E27FC236}">
              <a16:creationId xmlns:a16="http://schemas.microsoft.com/office/drawing/2014/main" id="{5A5750E1-72D7-4114-907A-1FA4B8C782BF}"/>
            </a:ext>
          </a:extLst>
        </xdr:cNvPr>
        <xdr:cNvPicPr>
          <a:picLocks noChangeAspect="1"/>
        </xdr:cNvPicPr>
      </xdr:nvPicPr>
      <xdr:blipFill rotWithShape="1">
        <a:blip xmlns:r="http://schemas.openxmlformats.org/officeDocument/2006/relationships" r:embed="rId17" cstate="email">
          <a:extLst>
            <a:ext uri="{28A0092B-C50C-407E-A947-70E740481C1C}">
              <a14:useLocalDpi xmlns:a14="http://schemas.microsoft.com/office/drawing/2010/main"/>
            </a:ext>
          </a:extLst>
        </a:blip>
        <a:srcRect/>
        <a:stretch/>
      </xdr:blipFill>
      <xdr:spPr>
        <a:xfrm>
          <a:off x="12919608" y="10502787"/>
          <a:ext cx="3411073" cy="2558582"/>
        </a:xfrm>
        <a:prstGeom prst="rect">
          <a:avLst/>
        </a:prstGeom>
      </xdr:spPr>
    </xdr:pic>
    <xdr:clientData/>
  </xdr:twoCellAnchor>
  <xdr:twoCellAnchor editAs="oneCell">
    <xdr:from>
      <xdr:col>5</xdr:col>
      <xdr:colOff>897289</xdr:colOff>
      <xdr:row>89</xdr:row>
      <xdr:rowOff>138326</xdr:rowOff>
    </xdr:from>
    <xdr:to>
      <xdr:col>6</xdr:col>
      <xdr:colOff>701566</xdr:colOff>
      <xdr:row>97</xdr:row>
      <xdr:rowOff>72585</xdr:rowOff>
    </xdr:to>
    <xdr:pic>
      <xdr:nvPicPr>
        <xdr:cNvPr id="16" name="Obraz 15">
          <a:extLst>
            <a:ext uri="{FF2B5EF4-FFF2-40B4-BE49-F238E27FC236}">
              <a16:creationId xmlns:a16="http://schemas.microsoft.com/office/drawing/2014/main" id="{0B43DB14-5F05-4071-A2E9-1D8883EB749F}"/>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5570142" y="24096502"/>
          <a:ext cx="1107969" cy="1368613"/>
        </a:xfrm>
        <a:prstGeom prst="rect">
          <a:avLst/>
        </a:prstGeom>
      </xdr:spPr>
    </xdr:pic>
    <xdr:clientData/>
  </xdr:twoCellAnchor>
  <xdr:twoCellAnchor editAs="oneCell">
    <xdr:from>
      <xdr:col>10</xdr:col>
      <xdr:colOff>106837</xdr:colOff>
      <xdr:row>61</xdr:row>
      <xdr:rowOff>138331</xdr:rowOff>
    </xdr:from>
    <xdr:to>
      <xdr:col>13</xdr:col>
      <xdr:colOff>37525</xdr:colOff>
      <xdr:row>71</xdr:row>
      <xdr:rowOff>168496</xdr:rowOff>
    </xdr:to>
    <xdr:pic>
      <xdr:nvPicPr>
        <xdr:cNvPr id="7" name="Obraz 6">
          <a:extLst>
            <a:ext uri="{FF2B5EF4-FFF2-40B4-BE49-F238E27FC236}">
              <a16:creationId xmlns:a16="http://schemas.microsoft.com/office/drawing/2014/main" id="{4E343CFE-6BDA-4271-8434-BE098BE2B141}"/>
            </a:ext>
          </a:extLst>
        </xdr:cNvPr>
        <xdr:cNvPicPr>
          <a:picLocks noChangeAspect="1"/>
        </xdr:cNvPicPr>
      </xdr:nvPicPr>
      <xdr:blipFill>
        <a:blip xmlns:r="http://schemas.openxmlformats.org/officeDocument/2006/relationships" r:embed="rId19"/>
        <a:stretch>
          <a:fillRect/>
        </a:stretch>
      </xdr:blipFill>
      <xdr:spPr>
        <a:xfrm>
          <a:off x="11760955" y="15131802"/>
          <a:ext cx="1746041" cy="1811675"/>
        </a:xfrm>
        <a:prstGeom prst="rect">
          <a:avLst/>
        </a:prstGeom>
      </xdr:spPr>
    </xdr:pic>
    <xdr:clientData/>
  </xdr:twoCellAnchor>
  <xdr:twoCellAnchor>
    <xdr:from>
      <xdr:col>10</xdr:col>
      <xdr:colOff>145253</xdr:colOff>
      <xdr:row>61</xdr:row>
      <xdr:rowOff>21758</xdr:rowOff>
    </xdr:from>
    <xdr:to>
      <xdr:col>10</xdr:col>
      <xdr:colOff>407221</xdr:colOff>
      <xdr:row>62</xdr:row>
      <xdr:rowOff>44824</xdr:rowOff>
    </xdr:to>
    <xdr:sp macro="" textlink="">
      <xdr:nvSpPr>
        <xdr:cNvPr id="54" name="Owal 53">
          <a:extLst>
            <a:ext uri="{FF2B5EF4-FFF2-40B4-BE49-F238E27FC236}">
              <a16:creationId xmlns:a16="http://schemas.microsoft.com/office/drawing/2014/main" id="{09F290CB-F2CD-4A07-8505-312BA78DF741}"/>
            </a:ext>
          </a:extLst>
        </xdr:cNvPr>
        <xdr:cNvSpPr/>
      </xdr:nvSpPr>
      <xdr:spPr>
        <a:xfrm>
          <a:off x="11799371" y="15015229"/>
          <a:ext cx="261968" cy="202360"/>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4</a:t>
          </a:r>
        </a:p>
      </xdr:txBody>
    </xdr:sp>
    <xdr:clientData/>
  </xdr:twoCellAnchor>
  <xdr:twoCellAnchor>
    <xdr:from>
      <xdr:col>3</xdr:col>
      <xdr:colOff>2261219</xdr:colOff>
      <xdr:row>98</xdr:row>
      <xdr:rowOff>49704</xdr:rowOff>
    </xdr:from>
    <xdr:to>
      <xdr:col>3</xdr:col>
      <xdr:colOff>2800622</xdr:colOff>
      <xdr:row>101</xdr:row>
      <xdr:rowOff>48364</xdr:rowOff>
    </xdr:to>
    <xdr:sp macro="" textlink="">
      <xdr:nvSpPr>
        <xdr:cNvPr id="60" name="Owal 59">
          <a:extLst>
            <a:ext uri="{FF2B5EF4-FFF2-40B4-BE49-F238E27FC236}">
              <a16:creationId xmlns:a16="http://schemas.microsoft.com/office/drawing/2014/main" id="{55AB09BE-5851-4F98-9A91-6BCE095F171D}"/>
            </a:ext>
          </a:extLst>
        </xdr:cNvPr>
        <xdr:cNvSpPr/>
      </xdr:nvSpPr>
      <xdr:spPr>
        <a:xfrm>
          <a:off x="2823194" y="22585854"/>
          <a:ext cx="539403" cy="541585"/>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8</a:t>
          </a:r>
        </a:p>
        <a:p>
          <a:pPr algn="ctr"/>
          <a:r>
            <a:rPr lang="pl-PL" sz="1200"/>
            <a:t>8A</a:t>
          </a:r>
        </a:p>
      </xdr:txBody>
    </xdr:sp>
    <xdr:clientData/>
  </xdr:twoCellAnchor>
  <xdr:twoCellAnchor>
    <xdr:from>
      <xdr:col>3</xdr:col>
      <xdr:colOff>2241706</xdr:colOff>
      <xdr:row>91</xdr:row>
      <xdr:rowOff>81258</xdr:rowOff>
    </xdr:from>
    <xdr:to>
      <xdr:col>3</xdr:col>
      <xdr:colOff>2531345</xdr:colOff>
      <xdr:row>93</xdr:row>
      <xdr:rowOff>24316</xdr:rowOff>
    </xdr:to>
    <xdr:sp macro="" textlink="">
      <xdr:nvSpPr>
        <xdr:cNvPr id="62" name="Owal 61">
          <a:extLst>
            <a:ext uri="{FF2B5EF4-FFF2-40B4-BE49-F238E27FC236}">
              <a16:creationId xmlns:a16="http://schemas.microsoft.com/office/drawing/2014/main" id="{918CCE35-8F6C-45EC-985B-75DAA9A0A317}"/>
            </a:ext>
          </a:extLst>
        </xdr:cNvPr>
        <xdr:cNvSpPr/>
      </xdr:nvSpPr>
      <xdr:spPr>
        <a:xfrm>
          <a:off x="2813206" y="24398023"/>
          <a:ext cx="289639" cy="301646"/>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10</a:t>
          </a:r>
        </a:p>
      </xdr:txBody>
    </xdr:sp>
    <xdr:clientData/>
  </xdr:twoCellAnchor>
  <xdr:twoCellAnchor>
    <xdr:from>
      <xdr:col>3</xdr:col>
      <xdr:colOff>840441</xdr:colOff>
      <xdr:row>91</xdr:row>
      <xdr:rowOff>31712</xdr:rowOff>
    </xdr:from>
    <xdr:to>
      <xdr:col>3</xdr:col>
      <xdr:colOff>1143000</xdr:colOff>
      <xdr:row>92</xdr:row>
      <xdr:rowOff>135826</xdr:rowOff>
    </xdr:to>
    <xdr:sp macro="" textlink="">
      <xdr:nvSpPr>
        <xdr:cNvPr id="63" name="Owal 62">
          <a:extLst>
            <a:ext uri="{FF2B5EF4-FFF2-40B4-BE49-F238E27FC236}">
              <a16:creationId xmlns:a16="http://schemas.microsoft.com/office/drawing/2014/main" id="{41DDD965-BE51-4855-9771-B8F26599969B}"/>
            </a:ext>
          </a:extLst>
        </xdr:cNvPr>
        <xdr:cNvSpPr/>
      </xdr:nvSpPr>
      <xdr:spPr>
        <a:xfrm>
          <a:off x="1411941" y="24348477"/>
          <a:ext cx="302559" cy="283408"/>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10</a:t>
          </a:r>
        </a:p>
      </xdr:txBody>
    </xdr:sp>
    <xdr:clientData/>
  </xdr:twoCellAnchor>
  <xdr:twoCellAnchor>
    <xdr:from>
      <xdr:col>5</xdr:col>
      <xdr:colOff>865560</xdr:colOff>
      <xdr:row>93</xdr:row>
      <xdr:rowOff>6979</xdr:rowOff>
    </xdr:from>
    <xdr:to>
      <xdr:col>5</xdr:col>
      <xdr:colOff>1244160</xdr:colOff>
      <xdr:row>94</xdr:row>
      <xdr:rowOff>164278</xdr:rowOff>
    </xdr:to>
    <xdr:sp macro="" textlink="">
      <xdr:nvSpPr>
        <xdr:cNvPr id="64" name="Owal 63">
          <a:extLst>
            <a:ext uri="{FF2B5EF4-FFF2-40B4-BE49-F238E27FC236}">
              <a16:creationId xmlns:a16="http://schemas.microsoft.com/office/drawing/2014/main" id="{3DAC2E5E-208B-4AF6-8B1E-EFD407FEF761}"/>
            </a:ext>
          </a:extLst>
        </xdr:cNvPr>
        <xdr:cNvSpPr/>
      </xdr:nvSpPr>
      <xdr:spPr>
        <a:xfrm>
          <a:off x="5538413" y="24682332"/>
          <a:ext cx="378600" cy="336593"/>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11</a:t>
          </a:r>
        </a:p>
      </xdr:txBody>
    </xdr:sp>
    <xdr:clientData/>
  </xdr:twoCellAnchor>
  <xdr:twoCellAnchor>
    <xdr:from>
      <xdr:col>7</xdr:col>
      <xdr:colOff>3582456</xdr:colOff>
      <xdr:row>91</xdr:row>
      <xdr:rowOff>72228</xdr:rowOff>
    </xdr:from>
    <xdr:to>
      <xdr:col>7</xdr:col>
      <xdr:colOff>3880164</xdr:colOff>
      <xdr:row>92</xdr:row>
      <xdr:rowOff>113466</xdr:rowOff>
    </xdr:to>
    <xdr:sp macro="" textlink="">
      <xdr:nvSpPr>
        <xdr:cNvPr id="65" name="Owal 64">
          <a:extLst>
            <a:ext uri="{FF2B5EF4-FFF2-40B4-BE49-F238E27FC236}">
              <a16:creationId xmlns:a16="http://schemas.microsoft.com/office/drawing/2014/main" id="{4006504A-FA63-41FE-9826-42C631C76DF9}"/>
            </a:ext>
          </a:extLst>
        </xdr:cNvPr>
        <xdr:cNvSpPr/>
      </xdr:nvSpPr>
      <xdr:spPr>
        <a:xfrm>
          <a:off x="10384427" y="24388993"/>
          <a:ext cx="297708" cy="22053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11</a:t>
          </a:r>
        </a:p>
      </xdr:txBody>
    </xdr:sp>
    <xdr:clientData/>
  </xdr:twoCellAnchor>
  <xdr:twoCellAnchor>
    <xdr:from>
      <xdr:col>7</xdr:col>
      <xdr:colOff>3739035</xdr:colOff>
      <xdr:row>77</xdr:row>
      <xdr:rowOff>47912</xdr:rowOff>
    </xdr:from>
    <xdr:to>
      <xdr:col>8</xdr:col>
      <xdr:colOff>42231</xdr:colOff>
      <xdr:row>78</xdr:row>
      <xdr:rowOff>87244</xdr:rowOff>
    </xdr:to>
    <xdr:sp macro="" textlink="">
      <xdr:nvSpPr>
        <xdr:cNvPr id="66" name="Owal 65">
          <a:extLst>
            <a:ext uri="{FF2B5EF4-FFF2-40B4-BE49-F238E27FC236}">
              <a16:creationId xmlns:a16="http://schemas.microsoft.com/office/drawing/2014/main" id="{73B04897-4B62-46EA-879F-E46A9CD85289}"/>
            </a:ext>
          </a:extLst>
        </xdr:cNvPr>
        <xdr:cNvSpPr/>
      </xdr:nvSpPr>
      <xdr:spPr>
        <a:xfrm>
          <a:off x="10528999" y="18009341"/>
          <a:ext cx="303696" cy="216224"/>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11</a:t>
          </a:r>
        </a:p>
      </xdr:txBody>
    </xdr:sp>
    <xdr:clientData/>
  </xdr:twoCellAnchor>
  <xdr:twoCellAnchor>
    <xdr:from>
      <xdr:col>3</xdr:col>
      <xdr:colOff>1744304</xdr:colOff>
      <xdr:row>81</xdr:row>
      <xdr:rowOff>54126</xdr:rowOff>
    </xdr:from>
    <xdr:to>
      <xdr:col>3</xdr:col>
      <xdr:colOff>2295299</xdr:colOff>
      <xdr:row>82</xdr:row>
      <xdr:rowOff>82251</xdr:rowOff>
    </xdr:to>
    <xdr:sp macro="" textlink="">
      <xdr:nvSpPr>
        <xdr:cNvPr id="67" name="Owal 66">
          <a:extLst>
            <a:ext uri="{FF2B5EF4-FFF2-40B4-BE49-F238E27FC236}">
              <a16:creationId xmlns:a16="http://schemas.microsoft.com/office/drawing/2014/main" id="{8F27489B-94AD-41F1-BA78-D8930C4ED685}"/>
            </a:ext>
          </a:extLst>
        </xdr:cNvPr>
        <xdr:cNvSpPr/>
      </xdr:nvSpPr>
      <xdr:spPr>
        <a:xfrm>
          <a:off x="2315804" y="19350655"/>
          <a:ext cx="550995" cy="207420"/>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12A</a:t>
          </a:r>
        </a:p>
      </xdr:txBody>
    </xdr:sp>
    <xdr:clientData/>
  </xdr:twoCellAnchor>
  <xdr:twoCellAnchor>
    <xdr:from>
      <xdr:col>15</xdr:col>
      <xdr:colOff>478796</xdr:colOff>
      <xdr:row>40</xdr:row>
      <xdr:rowOff>227168</xdr:rowOff>
    </xdr:from>
    <xdr:to>
      <xdr:col>16</xdr:col>
      <xdr:colOff>169067</xdr:colOff>
      <xdr:row>41</xdr:row>
      <xdr:rowOff>94826</xdr:rowOff>
    </xdr:to>
    <xdr:sp macro="" textlink="">
      <xdr:nvSpPr>
        <xdr:cNvPr id="81" name="Owal 80">
          <a:extLst>
            <a:ext uri="{FF2B5EF4-FFF2-40B4-BE49-F238E27FC236}">
              <a16:creationId xmlns:a16="http://schemas.microsoft.com/office/drawing/2014/main" id="{DF17348F-52DB-4B40-BAA0-8A3551DC03DF}"/>
            </a:ext>
          </a:extLst>
        </xdr:cNvPr>
        <xdr:cNvSpPr/>
      </xdr:nvSpPr>
      <xdr:spPr>
        <a:xfrm>
          <a:off x="15147296" y="10444895"/>
          <a:ext cx="296407" cy="231340"/>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11</a:t>
          </a:r>
        </a:p>
      </xdr:txBody>
    </xdr:sp>
    <xdr:clientData/>
  </xdr:twoCellAnchor>
  <xdr:twoCellAnchor>
    <xdr:from>
      <xdr:col>3</xdr:col>
      <xdr:colOff>174249</xdr:colOff>
      <xdr:row>80</xdr:row>
      <xdr:rowOff>104435</xdr:rowOff>
    </xdr:from>
    <xdr:to>
      <xdr:col>3</xdr:col>
      <xdr:colOff>442966</xdr:colOff>
      <xdr:row>81</xdr:row>
      <xdr:rowOff>168532</xdr:rowOff>
    </xdr:to>
    <xdr:sp macro="" textlink="">
      <xdr:nvSpPr>
        <xdr:cNvPr id="85" name="Owal 84">
          <a:extLst>
            <a:ext uri="{FF2B5EF4-FFF2-40B4-BE49-F238E27FC236}">
              <a16:creationId xmlns:a16="http://schemas.microsoft.com/office/drawing/2014/main" id="{AB8F1A7E-E438-46E6-92BB-AA9D13A93B3F}"/>
            </a:ext>
          </a:extLst>
        </xdr:cNvPr>
        <xdr:cNvSpPr/>
      </xdr:nvSpPr>
      <xdr:spPr>
        <a:xfrm>
          <a:off x="745749" y="19221670"/>
          <a:ext cx="268717" cy="243391"/>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12</a:t>
          </a:r>
        </a:p>
      </xdr:txBody>
    </xdr:sp>
    <xdr:clientData/>
  </xdr:twoCellAnchor>
  <xdr:twoCellAnchor>
    <xdr:from>
      <xdr:col>5</xdr:col>
      <xdr:colOff>816957</xdr:colOff>
      <xdr:row>98</xdr:row>
      <xdr:rowOff>16504</xdr:rowOff>
    </xdr:from>
    <xdr:to>
      <xdr:col>6</xdr:col>
      <xdr:colOff>59055</xdr:colOff>
      <xdr:row>101</xdr:row>
      <xdr:rowOff>81643</xdr:rowOff>
    </xdr:to>
    <xdr:sp macro="" textlink="">
      <xdr:nvSpPr>
        <xdr:cNvPr id="91" name="Owal 90">
          <a:extLst>
            <a:ext uri="{FF2B5EF4-FFF2-40B4-BE49-F238E27FC236}">
              <a16:creationId xmlns:a16="http://schemas.microsoft.com/office/drawing/2014/main" id="{9E98D8A2-104B-481A-B5BA-819681C644BB}"/>
            </a:ext>
          </a:extLst>
        </xdr:cNvPr>
        <xdr:cNvSpPr/>
      </xdr:nvSpPr>
      <xdr:spPr>
        <a:xfrm>
          <a:off x="5470600" y="22223361"/>
          <a:ext cx="548384" cy="595818"/>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8</a:t>
          </a:r>
        </a:p>
        <a:p>
          <a:pPr algn="ctr"/>
          <a:r>
            <a:rPr lang="pl-PL" sz="1200"/>
            <a:t>8A</a:t>
          </a:r>
        </a:p>
      </xdr:txBody>
    </xdr:sp>
    <xdr:clientData/>
  </xdr:twoCellAnchor>
  <xdr:twoCellAnchor editAs="oneCell">
    <xdr:from>
      <xdr:col>12</xdr:col>
      <xdr:colOff>364315</xdr:colOff>
      <xdr:row>90</xdr:row>
      <xdr:rowOff>98983</xdr:rowOff>
    </xdr:from>
    <xdr:to>
      <xdr:col>14</xdr:col>
      <xdr:colOff>324966</xdr:colOff>
      <xdr:row>98</xdr:row>
      <xdr:rowOff>74491</xdr:rowOff>
    </xdr:to>
    <xdr:pic>
      <xdr:nvPicPr>
        <xdr:cNvPr id="17" name="Obraz 16">
          <a:extLst>
            <a:ext uri="{FF2B5EF4-FFF2-40B4-BE49-F238E27FC236}">
              <a16:creationId xmlns:a16="http://schemas.microsoft.com/office/drawing/2014/main" id="{47896114-5BA7-42CD-8AFB-7287A16F4469}"/>
            </a:ext>
          </a:extLst>
        </xdr:cNvPr>
        <xdr:cNvPicPr>
          <a:picLocks noChangeAspect="1"/>
        </xdr:cNvPicPr>
      </xdr:nvPicPr>
      <xdr:blipFill>
        <a:blip xmlns:r="http://schemas.openxmlformats.org/officeDocument/2006/relationships" r:embed="rId20"/>
        <a:stretch>
          <a:fillRect/>
        </a:stretch>
      </xdr:blipFill>
      <xdr:spPr>
        <a:xfrm>
          <a:off x="13228668" y="24057159"/>
          <a:ext cx="1167076" cy="1409860"/>
        </a:xfrm>
        <a:prstGeom prst="rect">
          <a:avLst/>
        </a:prstGeom>
      </xdr:spPr>
    </xdr:pic>
    <xdr:clientData/>
  </xdr:twoCellAnchor>
  <xdr:twoCellAnchor>
    <xdr:from>
      <xdr:col>13</xdr:col>
      <xdr:colOff>98035</xdr:colOff>
      <xdr:row>90</xdr:row>
      <xdr:rowOff>5875</xdr:rowOff>
    </xdr:from>
    <xdr:to>
      <xdr:col>13</xdr:col>
      <xdr:colOff>395327</xdr:colOff>
      <xdr:row>91</xdr:row>
      <xdr:rowOff>45206</xdr:rowOff>
    </xdr:to>
    <xdr:sp macro="" textlink="">
      <xdr:nvSpPr>
        <xdr:cNvPr id="92" name="Owal 91">
          <a:extLst>
            <a:ext uri="{FF2B5EF4-FFF2-40B4-BE49-F238E27FC236}">
              <a16:creationId xmlns:a16="http://schemas.microsoft.com/office/drawing/2014/main" id="{8B418DF3-98CB-43B1-A43A-A73A5A5F253F}"/>
            </a:ext>
          </a:extLst>
        </xdr:cNvPr>
        <xdr:cNvSpPr/>
      </xdr:nvSpPr>
      <xdr:spPr>
        <a:xfrm>
          <a:off x="13567506" y="23964051"/>
          <a:ext cx="297292" cy="218626"/>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14</a:t>
          </a:r>
        </a:p>
      </xdr:txBody>
    </xdr:sp>
    <xdr:clientData/>
  </xdr:twoCellAnchor>
  <xdr:twoCellAnchor>
    <xdr:from>
      <xdr:col>7</xdr:col>
      <xdr:colOff>3039421</xdr:colOff>
      <xdr:row>63</xdr:row>
      <xdr:rowOff>15400</xdr:rowOff>
    </xdr:from>
    <xdr:to>
      <xdr:col>7</xdr:col>
      <xdr:colOff>3382271</xdr:colOff>
      <xdr:row>64</xdr:row>
      <xdr:rowOff>166183</xdr:rowOff>
    </xdr:to>
    <xdr:sp macro="" textlink="">
      <xdr:nvSpPr>
        <xdr:cNvPr id="93" name="Owal 92">
          <a:extLst>
            <a:ext uri="{FF2B5EF4-FFF2-40B4-BE49-F238E27FC236}">
              <a16:creationId xmlns:a16="http://schemas.microsoft.com/office/drawing/2014/main" id="{0A25869C-3A59-4BB2-A8BD-922B1068D89F}"/>
            </a:ext>
          </a:extLst>
        </xdr:cNvPr>
        <xdr:cNvSpPr/>
      </xdr:nvSpPr>
      <xdr:spPr>
        <a:xfrm>
          <a:off x="9841392" y="15367459"/>
          <a:ext cx="342850" cy="330077"/>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8</a:t>
          </a:r>
        </a:p>
      </xdr:txBody>
    </xdr:sp>
    <xdr:clientData/>
  </xdr:twoCellAnchor>
  <xdr:twoCellAnchor editAs="oneCell">
    <xdr:from>
      <xdr:col>12</xdr:col>
      <xdr:colOff>16773</xdr:colOff>
      <xdr:row>17</xdr:row>
      <xdr:rowOff>179838</xdr:rowOff>
    </xdr:from>
    <xdr:to>
      <xdr:col>14</xdr:col>
      <xdr:colOff>60373</xdr:colOff>
      <xdr:row>22</xdr:row>
      <xdr:rowOff>135126</xdr:rowOff>
    </xdr:to>
    <xdr:pic>
      <xdr:nvPicPr>
        <xdr:cNvPr id="41" name="Obraz 40">
          <a:extLst>
            <a:ext uri="{FF2B5EF4-FFF2-40B4-BE49-F238E27FC236}">
              <a16:creationId xmlns:a16="http://schemas.microsoft.com/office/drawing/2014/main" id="{92006EFF-FC83-442C-8A15-45573BD1F84A}"/>
            </a:ext>
          </a:extLst>
        </xdr:cNvPr>
        <xdr:cNvPicPr>
          <a:picLocks noChangeAspect="1"/>
        </xdr:cNvPicPr>
      </xdr:nvPicPr>
      <xdr:blipFill>
        <a:blip xmlns:r="http://schemas.openxmlformats.org/officeDocument/2006/relationships" r:embed="rId21"/>
        <a:stretch>
          <a:fillRect/>
        </a:stretch>
      </xdr:blipFill>
      <xdr:spPr>
        <a:xfrm>
          <a:off x="12883687" y="3543524"/>
          <a:ext cx="1274230" cy="867238"/>
        </a:xfrm>
        <a:prstGeom prst="rect">
          <a:avLst/>
        </a:prstGeom>
      </xdr:spPr>
    </xdr:pic>
    <xdr:clientData/>
  </xdr:twoCellAnchor>
  <xdr:twoCellAnchor>
    <xdr:from>
      <xdr:col>13</xdr:col>
      <xdr:colOff>521897</xdr:colOff>
      <xdr:row>18</xdr:row>
      <xdr:rowOff>120198</xdr:rowOff>
    </xdr:from>
    <xdr:to>
      <xdr:col>14</xdr:col>
      <xdr:colOff>130628</xdr:colOff>
      <xdr:row>19</xdr:row>
      <xdr:rowOff>174170</xdr:rowOff>
    </xdr:to>
    <xdr:sp macro="" textlink="">
      <xdr:nvSpPr>
        <xdr:cNvPr id="58" name="Owal 57">
          <a:extLst>
            <a:ext uri="{FF2B5EF4-FFF2-40B4-BE49-F238E27FC236}">
              <a16:creationId xmlns:a16="http://schemas.microsoft.com/office/drawing/2014/main" id="{43F2A338-0A75-4F21-8D35-98D9056CF808}"/>
            </a:ext>
          </a:extLst>
        </xdr:cNvPr>
        <xdr:cNvSpPr/>
      </xdr:nvSpPr>
      <xdr:spPr>
        <a:xfrm>
          <a:off x="13998411" y="3668941"/>
          <a:ext cx="218331" cy="239029"/>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8</a:t>
          </a:r>
        </a:p>
      </xdr:txBody>
    </xdr:sp>
    <xdr:clientData/>
  </xdr:twoCellAnchor>
  <xdr:twoCellAnchor>
    <xdr:from>
      <xdr:col>15</xdr:col>
      <xdr:colOff>50488</xdr:colOff>
      <xdr:row>4</xdr:row>
      <xdr:rowOff>97955</xdr:rowOff>
    </xdr:from>
    <xdr:to>
      <xdr:col>15</xdr:col>
      <xdr:colOff>546814</xdr:colOff>
      <xdr:row>6</xdr:row>
      <xdr:rowOff>1766</xdr:rowOff>
    </xdr:to>
    <xdr:sp macro="" textlink="">
      <xdr:nvSpPr>
        <xdr:cNvPr id="95" name="Owal 94">
          <a:extLst>
            <a:ext uri="{FF2B5EF4-FFF2-40B4-BE49-F238E27FC236}">
              <a16:creationId xmlns:a16="http://schemas.microsoft.com/office/drawing/2014/main" id="{8D959403-04EA-4790-B185-2A658CD18D7C}"/>
            </a:ext>
          </a:extLst>
        </xdr:cNvPr>
        <xdr:cNvSpPr/>
      </xdr:nvSpPr>
      <xdr:spPr>
        <a:xfrm>
          <a:off x="14746202" y="1055898"/>
          <a:ext cx="496326" cy="273925"/>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5A</a:t>
          </a:r>
        </a:p>
      </xdr:txBody>
    </xdr:sp>
    <xdr:clientData/>
  </xdr:twoCellAnchor>
  <xdr:twoCellAnchor>
    <xdr:from>
      <xdr:col>15</xdr:col>
      <xdr:colOff>63263</xdr:colOff>
      <xdr:row>6</xdr:row>
      <xdr:rowOff>148703</xdr:rowOff>
    </xdr:from>
    <xdr:to>
      <xdr:col>15</xdr:col>
      <xdr:colOff>559589</xdr:colOff>
      <xdr:row>8</xdr:row>
      <xdr:rowOff>52514</xdr:rowOff>
    </xdr:to>
    <xdr:sp macro="" textlink="">
      <xdr:nvSpPr>
        <xdr:cNvPr id="88" name="Owal 87">
          <a:extLst>
            <a:ext uri="{FF2B5EF4-FFF2-40B4-BE49-F238E27FC236}">
              <a16:creationId xmlns:a16="http://schemas.microsoft.com/office/drawing/2014/main" id="{C3286D64-5A85-4B41-8825-B68B1D7520B7}"/>
            </a:ext>
          </a:extLst>
        </xdr:cNvPr>
        <xdr:cNvSpPr/>
      </xdr:nvSpPr>
      <xdr:spPr>
        <a:xfrm>
          <a:off x="14758977" y="1476760"/>
          <a:ext cx="496326" cy="273925"/>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5B</a:t>
          </a:r>
        </a:p>
      </xdr:txBody>
    </xdr:sp>
    <xdr:clientData/>
  </xdr:twoCellAnchor>
  <xdr:twoCellAnchor>
    <xdr:from>
      <xdr:col>15</xdr:col>
      <xdr:colOff>61757</xdr:colOff>
      <xdr:row>9</xdr:row>
      <xdr:rowOff>2097</xdr:rowOff>
    </xdr:from>
    <xdr:to>
      <xdr:col>15</xdr:col>
      <xdr:colOff>557411</xdr:colOff>
      <xdr:row>10</xdr:row>
      <xdr:rowOff>96632</xdr:rowOff>
    </xdr:to>
    <xdr:sp macro="" textlink="">
      <xdr:nvSpPr>
        <xdr:cNvPr id="102" name="Owal 101">
          <a:extLst>
            <a:ext uri="{FF2B5EF4-FFF2-40B4-BE49-F238E27FC236}">
              <a16:creationId xmlns:a16="http://schemas.microsoft.com/office/drawing/2014/main" id="{BB6C9CB2-3E65-4ED7-A005-5CEF7AACDAE0}"/>
            </a:ext>
          </a:extLst>
        </xdr:cNvPr>
        <xdr:cNvSpPr/>
      </xdr:nvSpPr>
      <xdr:spPr>
        <a:xfrm>
          <a:off x="14757471" y="1885326"/>
          <a:ext cx="495654" cy="27959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5C</a:t>
          </a:r>
        </a:p>
      </xdr:txBody>
    </xdr:sp>
    <xdr:clientData/>
  </xdr:twoCellAnchor>
  <xdr:twoCellAnchor editAs="oneCell">
    <xdr:from>
      <xdr:col>10</xdr:col>
      <xdr:colOff>218143</xdr:colOff>
      <xdr:row>16</xdr:row>
      <xdr:rowOff>39491</xdr:rowOff>
    </xdr:from>
    <xdr:to>
      <xdr:col>12</xdr:col>
      <xdr:colOff>173004</xdr:colOff>
      <xdr:row>20</xdr:row>
      <xdr:rowOff>58590</xdr:rowOff>
    </xdr:to>
    <xdr:pic>
      <xdr:nvPicPr>
        <xdr:cNvPr id="3" name="Obraz 2">
          <a:extLst>
            <a:ext uri="{FF2B5EF4-FFF2-40B4-BE49-F238E27FC236}">
              <a16:creationId xmlns:a16="http://schemas.microsoft.com/office/drawing/2014/main" id="{73411F89-FE98-41AB-A9F1-F3B2B1A6EC73}"/>
            </a:ext>
          </a:extLst>
        </xdr:cNvPr>
        <xdr:cNvPicPr>
          <a:picLocks noChangeAspect="1"/>
        </xdr:cNvPicPr>
      </xdr:nvPicPr>
      <xdr:blipFill>
        <a:blip xmlns:r="http://schemas.openxmlformats.org/officeDocument/2006/relationships" r:embed="rId22"/>
        <a:stretch>
          <a:fillRect/>
        </a:stretch>
      </xdr:blipFill>
      <xdr:spPr>
        <a:xfrm>
          <a:off x="11865857" y="3218120"/>
          <a:ext cx="1160726" cy="745992"/>
        </a:xfrm>
        <a:prstGeom prst="rect">
          <a:avLst/>
        </a:prstGeom>
      </xdr:spPr>
    </xdr:pic>
    <xdr:clientData/>
  </xdr:twoCellAnchor>
  <xdr:twoCellAnchor editAs="oneCell">
    <xdr:from>
      <xdr:col>14</xdr:col>
      <xdr:colOff>44503</xdr:colOff>
      <xdr:row>20</xdr:row>
      <xdr:rowOff>69797</xdr:rowOff>
    </xdr:from>
    <xdr:to>
      <xdr:col>16</xdr:col>
      <xdr:colOff>21022</xdr:colOff>
      <xdr:row>25</xdr:row>
      <xdr:rowOff>130118</xdr:rowOff>
    </xdr:to>
    <xdr:pic>
      <xdr:nvPicPr>
        <xdr:cNvPr id="4" name="Obraz 3">
          <a:extLst>
            <a:ext uri="{FF2B5EF4-FFF2-40B4-BE49-F238E27FC236}">
              <a16:creationId xmlns:a16="http://schemas.microsoft.com/office/drawing/2014/main" id="{6AD1425D-B9D5-4B4D-802F-BC38E16AF057}"/>
            </a:ext>
          </a:extLst>
        </xdr:cNvPr>
        <xdr:cNvPicPr>
          <a:picLocks noChangeAspect="1"/>
        </xdr:cNvPicPr>
      </xdr:nvPicPr>
      <xdr:blipFill>
        <a:blip xmlns:r="http://schemas.openxmlformats.org/officeDocument/2006/relationships" r:embed="rId23"/>
        <a:stretch>
          <a:fillRect/>
        </a:stretch>
      </xdr:blipFill>
      <xdr:spPr>
        <a:xfrm>
          <a:off x="14130617" y="3988654"/>
          <a:ext cx="1203339" cy="974177"/>
        </a:xfrm>
        <a:prstGeom prst="rect">
          <a:avLst/>
        </a:prstGeom>
      </xdr:spPr>
    </xdr:pic>
    <xdr:clientData/>
  </xdr:twoCellAnchor>
  <xdr:twoCellAnchor editAs="oneCell">
    <xdr:from>
      <xdr:col>4</xdr:col>
      <xdr:colOff>642545</xdr:colOff>
      <xdr:row>77</xdr:row>
      <xdr:rowOff>141867</xdr:rowOff>
    </xdr:from>
    <xdr:to>
      <xdr:col>7</xdr:col>
      <xdr:colOff>342232</xdr:colOff>
      <xdr:row>87</xdr:row>
      <xdr:rowOff>134696</xdr:rowOff>
    </xdr:to>
    <xdr:pic>
      <xdr:nvPicPr>
        <xdr:cNvPr id="5" name="Obraz 4">
          <a:extLst>
            <a:ext uri="{FF2B5EF4-FFF2-40B4-BE49-F238E27FC236}">
              <a16:creationId xmlns:a16="http://schemas.microsoft.com/office/drawing/2014/main" id="{1A464194-3E06-409B-AC5C-E75844B11C1F}"/>
            </a:ext>
          </a:extLst>
        </xdr:cNvPr>
        <xdr:cNvPicPr>
          <a:picLocks noChangeAspect="1"/>
        </xdr:cNvPicPr>
      </xdr:nvPicPr>
      <xdr:blipFill>
        <a:blip xmlns:r="http://schemas.openxmlformats.org/officeDocument/2006/relationships" r:embed="rId24"/>
        <a:stretch>
          <a:fillRect/>
        </a:stretch>
      </xdr:blipFill>
      <xdr:spPr>
        <a:xfrm>
          <a:off x="4474957" y="21769220"/>
          <a:ext cx="2669246" cy="1776244"/>
        </a:xfrm>
        <a:prstGeom prst="rect">
          <a:avLst/>
        </a:prstGeom>
      </xdr:spPr>
    </xdr:pic>
    <xdr:clientData/>
  </xdr:twoCellAnchor>
  <xdr:twoCellAnchor>
    <xdr:from>
      <xdr:col>5</xdr:col>
      <xdr:colOff>949681</xdr:colOff>
      <xdr:row>79</xdr:row>
      <xdr:rowOff>59839</xdr:rowOff>
    </xdr:from>
    <xdr:to>
      <xdr:col>6</xdr:col>
      <xdr:colOff>11206</xdr:colOff>
      <xdr:row>80</xdr:row>
      <xdr:rowOff>141866</xdr:rowOff>
    </xdr:to>
    <xdr:sp macro="" textlink="">
      <xdr:nvSpPr>
        <xdr:cNvPr id="89" name="Owal 88">
          <a:extLst>
            <a:ext uri="{FF2B5EF4-FFF2-40B4-BE49-F238E27FC236}">
              <a16:creationId xmlns:a16="http://schemas.microsoft.com/office/drawing/2014/main" id="{E01C954F-BA6F-432D-A959-F2612058E3D8}"/>
            </a:ext>
          </a:extLst>
        </xdr:cNvPr>
        <xdr:cNvSpPr/>
      </xdr:nvSpPr>
      <xdr:spPr>
        <a:xfrm>
          <a:off x="5622534" y="22045780"/>
          <a:ext cx="361407" cy="261321"/>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12</a:t>
          </a:r>
        </a:p>
      </xdr:txBody>
    </xdr:sp>
    <xdr:clientData/>
  </xdr:twoCellAnchor>
  <xdr:twoCellAnchor>
    <xdr:from>
      <xdr:col>15</xdr:col>
      <xdr:colOff>598490</xdr:colOff>
      <xdr:row>90</xdr:row>
      <xdr:rowOff>41398</xdr:rowOff>
    </xdr:from>
    <xdr:to>
      <xdr:col>16</xdr:col>
      <xdr:colOff>298284</xdr:colOff>
      <xdr:row>91</xdr:row>
      <xdr:rowOff>80729</xdr:rowOff>
    </xdr:to>
    <xdr:sp macro="" textlink="">
      <xdr:nvSpPr>
        <xdr:cNvPr id="106" name="Owal 105">
          <a:extLst>
            <a:ext uri="{FF2B5EF4-FFF2-40B4-BE49-F238E27FC236}">
              <a16:creationId xmlns:a16="http://schemas.microsoft.com/office/drawing/2014/main" id="{29B8BFC5-9FC8-4EB8-93CC-33FE508BB4BD}"/>
            </a:ext>
          </a:extLst>
        </xdr:cNvPr>
        <xdr:cNvSpPr/>
      </xdr:nvSpPr>
      <xdr:spPr>
        <a:xfrm>
          <a:off x="15278196" y="23461692"/>
          <a:ext cx="304912" cy="218625"/>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15</a:t>
          </a:r>
        </a:p>
      </xdr:txBody>
    </xdr:sp>
    <xdr:clientData/>
  </xdr:twoCellAnchor>
  <xdr:twoCellAnchor editAs="oneCell">
    <xdr:from>
      <xdr:col>13</xdr:col>
      <xdr:colOff>34637</xdr:colOff>
      <xdr:row>110</xdr:row>
      <xdr:rowOff>51955</xdr:rowOff>
    </xdr:from>
    <xdr:to>
      <xdr:col>15</xdr:col>
      <xdr:colOff>132840</xdr:colOff>
      <xdr:row>117</xdr:row>
      <xdr:rowOff>131111</xdr:rowOff>
    </xdr:to>
    <xdr:pic>
      <xdr:nvPicPr>
        <xdr:cNvPr id="8" name="Obraz 7">
          <a:extLst>
            <a:ext uri="{FF2B5EF4-FFF2-40B4-BE49-F238E27FC236}">
              <a16:creationId xmlns:a16="http://schemas.microsoft.com/office/drawing/2014/main" id="{9A1C2344-2785-480B-BBDB-C000C3E84632}"/>
            </a:ext>
          </a:extLst>
        </xdr:cNvPr>
        <xdr:cNvPicPr>
          <a:picLocks noChangeAspect="1"/>
        </xdr:cNvPicPr>
      </xdr:nvPicPr>
      <xdr:blipFill>
        <a:blip xmlns:r="http://schemas.openxmlformats.org/officeDocument/2006/relationships" r:embed="rId25"/>
        <a:stretch>
          <a:fillRect/>
        </a:stretch>
      </xdr:blipFill>
      <xdr:spPr>
        <a:xfrm>
          <a:off x="13490864" y="23414182"/>
          <a:ext cx="1310476" cy="1285714"/>
        </a:xfrm>
        <a:prstGeom prst="rect">
          <a:avLst/>
        </a:prstGeom>
      </xdr:spPr>
    </xdr:pic>
    <xdr:clientData/>
  </xdr:twoCellAnchor>
  <xdr:twoCellAnchor>
    <xdr:from>
      <xdr:col>14</xdr:col>
      <xdr:colOff>128359</xdr:colOff>
      <xdr:row>110</xdr:row>
      <xdr:rowOff>60858</xdr:rowOff>
    </xdr:from>
    <xdr:to>
      <xdr:col>14</xdr:col>
      <xdr:colOff>431366</xdr:colOff>
      <xdr:row>111</xdr:row>
      <xdr:rowOff>100191</xdr:rowOff>
    </xdr:to>
    <xdr:sp macro="" textlink="">
      <xdr:nvSpPr>
        <xdr:cNvPr id="107" name="Owal 106">
          <a:extLst>
            <a:ext uri="{FF2B5EF4-FFF2-40B4-BE49-F238E27FC236}">
              <a16:creationId xmlns:a16="http://schemas.microsoft.com/office/drawing/2014/main" id="{C88BF4B6-EB94-4D94-8DF7-747E4D5CFA55}"/>
            </a:ext>
          </a:extLst>
        </xdr:cNvPr>
        <xdr:cNvSpPr/>
      </xdr:nvSpPr>
      <xdr:spPr>
        <a:xfrm>
          <a:off x="14202947" y="23839740"/>
          <a:ext cx="303007" cy="218627"/>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18</a:t>
          </a:r>
        </a:p>
      </xdr:txBody>
    </xdr:sp>
    <xdr:clientData/>
  </xdr:twoCellAnchor>
  <xdr:twoCellAnchor editAs="oneCell">
    <xdr:from>
      <xdr:col>10</xdr:col>
      <xdr:colOff>163285</xdr:colOff>
      <xdr:row>3</xdr:row>
      <xdr:rowOff>93104</xdr:rowOff>
    </xdr:from>
    <xdr:to>
      <xdr:col>14</xdr:col>
      <xdr:colOff>589189</xdr:colOff>
      <xdr:row>14</xdr:row>
      <xdr:rowOff>19265</xdr:rowOff>
    </xdr:to>
    <xdr:pic>
      <xdr:nvPicPr>
        <xdr:cNvPr id="6" name="Obraz 5">
          <a:extLst>
            <a:ext uri="{FF2B5EF4-FFF2-40B4-BE49-F238E27FC236}">
              <a16:creationId xmlns:a16="http://schemas.microsoft.com/office/drawing/2014/main" id="{81AE662A-CE44-3ADE-E9B9-60ECFCE724C4}"/>
            </a:ext>
          </a:extLst>
        </xdr:cNvPr>
        <xdr:cNvPicPr>
          <a:picLocks noChangeAspect="1"/>
        </xdr:cNvPicPr>
      </xdr:nvPicPr>
      <xdr:blipFill>
        <a:blip xmlns:r="http://schemas.openxmlformats.org/officeDocument/2006/relationships" r:embed="rId26"/>
        <a:stretch>
          <a:fillRect/>
        </a:stretch>
      </xdr:blipFill>
      <xdr:spPr>
        <a:xfrm>
          <a:off x="11810999" y="865990"/>
          <a:ext cx="2873829" cy="1952264"/>
        </a:xfrm>
        <a:prstGeom prst="rect">
          <a:avLst/>
        </a:prstGeom>
      </xdr:spPr>
    </xdr:pic>
    <xdr:clientData/>
  </xdr:twoCellAnchor>
  <xdr:twoCellAnchor>
    <xdr:from>
      <xdr:col>15</xdr:col>
      <xdr:colOff>72643</xdr:colOff>
      <xdr:row>11</xdr:row>
      <xdr:rowOff>56526</xdr:rowOff>
    </xdr:from>
    <xdr:to>
      <xdr:col>15</xdr:col>
      <xdr:colOff>568297</xdr:colOff>
      <xdr:row>12</xdr:row>
      <xdr:rowOff>151061</xdr:rowOff>
    </xdr:to>
    <xdr:sp macro="" textlink="">
      <xdr:nvSpPr>
        <xdr:cNvPr id="10" name="Owal 9">
          <a:extLst>
            <a:ext uri="{FF2B5EF4-FFF2-40B4-BE49-F238E27FC236}">
              <a16:creationId xmlns:a16="http://schemas.microsoft.com/office/drawing/2014/main" id="{50145008-A47C-4F4F-8FE5-9BDC70116C75}"/>
            </a:ext>
          </a:extLst>
        </xdr:cNvPr>
        <xdr:cNvSpPr/>
      </xdr:nvSpPr>
      <xdr:spPr>
        <a:xfrm>
          <a:off x="14768357" y="2309869"/>
          <a:ext cx="495654" cy="27959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5D</a:t>
          </a:r>
        </a:p>
      </xdr:txBody>
    </xdr:sp>
    <xdr:clientData/>
  </xdr:twoCellAnchor>
  <xdr:twoCellAnchor editAs="oneCell">
    <xdr:from>
      <xdr:col>7</xdr:col>
      <xdr:colOff>1942011</xdr:colOff>
      <xdr:row>105</xdr:row>
      <xdr:rowOff>69941</xdr:rowOff>
    </xdr:from>
    <xdr:to>
      <xdr:col>12</xdr:col>
      <xdr:colOff>56921</xdr:colOff>
      <xdr:row>115</xdr:row>
      <xdr:rowOff>59574</xdr:rowOff>
    </xdr:to>
    <xdr:pic>
      <xdr:nvPicPr>
        <xdr:cNvPr id="11" name="Obraz 10">
          <a:extLst>
            <a:ext uri="{FF2B5EF4-FFF2-40B4-BE49-F238E27FC236}">
              <a16:creationId xmlns:a16="http://schemas.microsoft.com/office/drawing/2014/main" id="{267668DD-A0E2-C1B2-69B7-875786EA65B8}"/>
            </a:ext>
          </a:extLst>
        </xdr:cNvPr>
        <xdr:cNvPicPr>
          <a:picLocks noChangeAspect="1"/>
        </xdr:cNvPicPr>
      </xdr:nvPicPr>
      <xdr:blipFill>
        <a:blip xmlns:r="http://schemas.openxmlformats.org/officeDocument/2006/relationships" r:embed="rId27"/>
        <a:stretch>
          <a:fillRect/>
        </a:stretch>
      </xdr:blipFill>
      <xdr:spPr>
        <a:xfrm>
          <a:off x="8731975" y="20018012"/>
          <a:ext cx="4210638" cy="1766182"/>
        </a:xfrm>
        <a:prstGeom prst="rect">
          <a:avLst/>
        </a:prstGeom>
      </xdr:spPr>
    </xdr:pic>
    <xdr:clientData/>
  </xdr:twoCellAnchor>
  <xdr:twoCellAnchor>
    <xdr:from>
      <xdr:col>10</xdr:col>
      <xdr:colOff>85036</xdr:colOff>
      <xdr:row>108</xdr:row>
      <xdr:rowOff>61744</xdr:rowOff>
    </xdr:from>
    <xdr:to>
      <xdr:col>10</xdr:col>
      <xdr:colOff>399473</xdr:colOff>
      <xdr:row>109</xdr:row>
      <xdr:rowOff>101076</xdr:rowOff>
    </xdr:to>
    <xdr:sp macro="" textlink="">
      <xdr:nvSpPr>
        <xdr:cNvPr id="69" name="Owal 68">
          <a:extLst>
            <a:ext uri="{FF2B5EF4-FFF2-40B4-BE49-F238E27FC236}">
              <a16:creationId xmlns:a16="http://schemas.microsoft.com/office/drawing/2014/main" id="{22E34865-AD1E-43C4-993A-21C065523A3D}"/>
            </a:ext>
          </a:extLst>
        </xdr:cNvPr>
        <xdr:cNvSpPr/>
      </xdr:nvSpPr>
      <xdr:spPr>
        <a:xfrm>
          <a:off x="11732750" y="20540494"/>
          <a:ext cx="314437" cy="216225"/>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17</a:t>
          </a:r>
        </a:p>
      </xdr:txBody>
    </xdr:sp>
    <xdr:clientData/>
  </xdr:twoCellAnchor>
  <xdr:twoCellAnchor>
    <xdr:from>
      <xdr:col>7</xdr:col>
      <xdr:colOff>2585661</xdr:colOff>
      <xdr:row>105</xdr:row>
      <xdr:rowOff>23324</xdr:rowOff>
    </xdr:from>
    <xdr:to>
      <xdr:col>7</xdr:col>
      <xdr:colOff>2877238</xdr:colOff>
      <xdr:row>106</xdr:row>
      <xdr:rowOff>56941</xdr:rowOff>
    </xdr:to>
    <xdr:sp macro="" textlink="">
      <xdr:nvSpPr>
        <xdr:cNvPr id="68" name="Owal 67">
          <a:extLst>
            <a:ext uri="{FF2B5EF4-FFF2-40B4-BE49-F238E27FC236}">
              <a16:creationId xmlns:a16="http://schemas.microsoft.com/office/drawing/2014/main" id="{75B47C24-AAE1-4B17-95F4-05913315CFED}"/>
            </a:ext>
          </a:extLst>
        </xdr:cNvPr>
        <xdr:cNvSpPr/>
      </xdr:nvSpPr>
      <xdr:spPr>
        <a:xfrm>
          <a:off x="9375625" y="19971395"/>
          <a:ext cx="291577" cy="210510"/>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16</a:t>
          </a: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PanD\Prezentacje\DVD%20dla%20DH\Kalkulatory%20doborowe\!2023\16%20Kalkulator%20wentylacji%202023-11-02.xlsm" TargetMode="External"/><Relationship Id="rId1" Type="http://schemas.openxmlformats.org/officeDocument/2006/relationships/externalLinkPath" Target="/!PanD/Prezentacje/DVD%20dla%20DH/Kalkulatory%20doborowe/!2023/16%20Kalkulator%20wentylacji%202023-11-0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anD/Prezentacje/DVD%20dla%20DH/Kalkulatory%20doborowe/!2022/18%20Kalkulator%20doborowy%20pomp%20ciep&#322;a%20AW%202022-04-07.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ne"/>
      <sheetName val="System DN63"/>
      <sheetName val="System DN75"/>
      <sheetName val="System DN90"/>
      <sheetName val="Centrala Vitovent"/>
      <sheetName val="Centrala Vitoair FS"/>
      <sheetName val="Elementy DN63"/>
      <sheetName val="Elementy DN75&amp;90"/>
      <sheetName val="Obliczenia"/>
      <sheetName val="Dane techniczne"/>
      <sheetName val="Zmiany"/>
      <sheetName val="Nowe kanały 2023-11"/>
      <sheetName val="Warunki"/>
      <sheetName val="obliczenia-temp"/>
      <sheetName val="Arkusz1"/>
      <sheetName val="16 Kalkulator wentylacji 2023-1"/>
    </sheetNames>
    <definedNames>
      <definedName name="R_system_add_"/>
      <definedName name="R_system_err"/>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liczenia"/>
      <sheetName val="Zestawienie"/>
      <sheetName val="Tabela_numerow"/>
      <sheetName val="Oferta"/>
      <sheetName val="Koszty"/>
      <sheetName val="Zmiany"/>
      <sheetName val="Energia"/>
      <sheetName val="Meteo"/>
      <sheetName val="Dane"/>
      <sheetName val="Budynek"/>
      <sheetName val="Bilans"/>
      <sheetName val="Bilans-D16"/>
      <sheetName val="Bilans-D13"/>
      <sheetName val="Bilans-D10"/>
      <sheetName val="Bilans-D08"/>
      <sheetName val="Bilans-D06"/>
      <sheetName val="Bilans-D04"/>
      <sheetName val="Bilans-A16"/>
      <sheetName val="Bilans-A14"/>
      <sheetName val="Bilans-A12"/>
      <sheetName val="Bilans-B08"/>
      <sheetName val="Bilans-B06"/>
      <sheetName val="Bilans-B04"/>
      <sheetName val="Bilans-251-A10"/>
      <sheetName val="Bilans-251-A13"/>
      <sheetName val="Bilans-151-A13"/>
      <sheetName val="Bilans-151-A16"/>
      <sheetName val="Bilans-151-A10"/>
      <sheetName val="251.A10"/>
      <sheetName val="251.A13"/>
      <sheetName val="151.A10"/>
      <sheetName val="151.A13"/>
      <sheetName val="151.A16"/>
      <sheetName val="D16"/>
      <sheetName val="D13"/>
      <sheetName val="D10"/>
      <sheetName val="D08"/>
      <sheetName val="D06"/>
      <sheetName val="D04"/>
      <sheetName val="A16"/>
      <sheetName val="A14"/>
      <sheetName val="A12"/>
      <sheetName val="B08"/>
      <sheetName val="B06"/>
      <sheetName val="B04"/>
    </sheetNames>
    <sheetDataSet>
      <sheetData sheetId="0">
        <row r="199">
          <cell r="Q199" t="str">
            <v>Autor:</v>
          </cell>
          <cell r="R199" t="str">
            <v>PanD, 2022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1C77D-7FD3-40C2-9825-4CF3C72C90D1}">
  <sheetPr codeName="Arkusz7">
    <tabColor theme="9"/>
  </sheetPr>
  <dimension ref="A1:BB242"/>
  <sheetViews>
    <sheetView showGridLines="0" tabSelected="1" zoomScaleNormal="100" workbookViewId="0">
      <pane ySplit="1" topLeftCell="A2" activePane="bottomLeft" state="frozen"/>
      <selection pane="bottomLeft" activeCell="C11" sqref="C11:J12"/>
    </sheetView>
  </sheetViews>
  <sheetFormatPr defaultRowHeight="14.4"/>
  <cols>
    <col min="1" max="1" width="0.6640625" customWidth="1"/>
    <col min="2" max="2" width="6.6640625" customWidth="1"/>
    <col min="4" max="4" width="4.88671875" customWidth="1"/>
    <col min="5" max="5" width="14.44140625" customWidth="1"/>
    <col min="8" max="8" width="9.33203125" bestFit="1" customWidth="1"/>
    <col min="21" max="21" width="5.33203125" customWidth="1"/>
    <col min="22" max="22" width="0.6640625" customWidth="1"/>
    <col min="23" max="52" width="8.88671875" style="13"/>
  </cols>
  <sheetData>
    <row r="1" spans="1:52" s="601" customFormat="1" ht="22.95" customHeight="1">
      <c r="A1" s="612"/>
      <c r="B1" s="612"/>
      <c r="C1" s="612"/>
      <c r="D1" s="612"/>
      <c r="E1" s="612"/>
      <c r="F1" s="612"/>
      <c r="G1" s="612"/>
      <c r="H1" s="755" t="s">
        <v>540</v>
      </c>
      <c r="I1" s="755"/>
      <c r="J1" s="755"/>
      <c r="K1" s="618" t="str">
        <f>IF(S1&lt;=P1,IF(S1&gt;P1*0.97,"prawidłowy","błędny"),"błędny")</f>
        <v>prawidłowy</v>
      </c>
      <c r="L1" s="617"/>
      <c r="M1" s="617"/>
      <c r="N1" s="612"/>
      <c r="O1" s="613" t="s">
        <v>15</v>
      </c>
      <c r="P1" s="616">
        <f>Obliczenia!N30</f>
        <v>260</v>
      </c>
      <c r="Q1" s="614" t="s">
        <v>526</v>
      </c>
      <c r="R1" s="613" t="s">
        <v>16</v>
      </c>
      <c r="S1" s="615">
        <f>Obliczenia!P30</f>
        <v>260</v>
      </c>
      <c r="T1" s="614" t="s">
        <v>526</v>
      </c>
      <c r="U1" s="612"/>
      <c r="V1" s="612"/>
      <c r="W1" s="602"/>
      <c r="X1" s="602"/>
      <c r="Y1" s="602"/>
      <c r="Z1" s="602"/>
      <c r="AA1" s="602"/>
      <c r="AB1" s="602"/>
      <c r="AC1" s="602"/>
      <c r="AD1" s="602"/>
      <c r="AE1" s="602"/>
      <c r="AF1" s="602"/>
      <c r="AG1" s="602"/>
      <c r="AH1" s="602"/>
      <c r="AI1" s="602"/>
      <c r="AJ1" s="602"/>
      <c r="AK1" s="602"/>
      <c r="AL1" s="602"/>
      <c r="AM1" s="602"/>
      <c r="AN1" s="602"/>
      <c r="AO1" s="602"/>
      <c r="AP1" s="602"/>
      <c r="AQ1" s="602"/>
      <c r="AR1" s="602"/>
      <c r="AS1" s="602"/>
      <c r="AT1" s="602"/>
      <c r="AU1" s="602"/>
      <c r="AV1" s="602"/>
      <c r="AW1" s="602"/>
      <c r="AX1" s="602"/>
      <c r="AY1" s="602"/>
      <c r="AZ1" s="602"/>
    </row>
    <row r="2" spans="1:52">
      <c r="A2" s="261"/>
      <c r="B2" s="267"/>
      <c r="C2" s="267"/>
      <c r="D2" s="267"/>
      <c r="E2" s="267"/>
      <c r="F2" s="267"/>
      <c r="G2" s="267"/>
      <c r="H2" s="267"/>
      <c r="I2" s="267"/>
      <c r="J2" s="267"/>
      <c r="K2" s="267"/>
      <c r="L2" s="267"/>
      <c r="M2" s="267"/>
      <c r="N2" s="267"/>
      <c r="O2" s="267"/>
      <c r="P2" s="262"/>
      <c r="Q2" s="268"/>
      <c r="R2" s="267"/>
      <c r="S2" s="267"/>
      <c r="T2" s="267"/>
      <c r="U2" s="262"/>
      <c r="V2" s="261"/>
    </row>
    <row r="3" spans="1:52">
      <c r="A3" s="261"/>
      <c r="B3" s="267"/>
      <c r="C3" s="267"/>
      <c r="D3" s="267"/>
      <c r="E3" s="267"/>
      <c r="F3" s="267"/>
      <c r="G3" s="267"/>
      <c r="H3" s="267"/>
      <c r="I3" s="267"/>
      <c r="J3" s="267"/>
      <c r="K3" s="267"/>
      <c r="L3" s="13"/>
      <c r="M3" s="13"/>
      <c r="N3" s="267"/>
      <c r="O3" s="720" t="s">
        <v>294</v>
      </c>
      <c r="P3" s="729">
        <f ca="1">TODAY()</f>
        <v>45546</v>
      </c>
      <c r="Q3" s="729"/>
      <c r="R3" s="267"/>
      <c r="S3" s="721" t="s">
        <v>693</v>
      </c>
      <c r="T3" s="722"/>
      <c r="U3" s="262"/>
      <c r="V3" s="261"/>
    </row>
    <row r="4" spans="1:52">
      <c r="A4" s="261"/>
      <c r="B4" s="267"/>
      <c r="C4" s="267"/>
      <c r="D4" s="267"/>
      <c r="E4" s="267"/>
      <c r="F4" s="267"/>
      <c r="G4" s="267"/>
      <c r="H4" s="267"/>
      <c r="I4" s="267"/>
      <c r="J4" s="267"/>
      <c r="K4" s="267"/>
      <c r="L4" s="13"/>
      <c r="M4" s="13"/>
      <c r="N4" s="267"/>
      <c r="O4" s="720"/>
      <c r="P4" s="729"/>
      <c r="Q4" s="729"/>
      <c r="R4" s="267"/>
      <c r="S4" s="722"/>
      <c r="T4" s="722"/>
      <c r="U4" s="262"/>
      <c r="V4" s="261"/>
    </row>
    <row r="5" spans="1:52">
      <c r="A5" s="261"/>
      <c r="B5" s="262"/>
      <c r="C5" s="262"/>
      <c r="D5" s="262"/>
      <c r="E5" s="262"/>
      <c r="F5" s="262"/>
      <c r="G5" s="262"/>
      <c r="H5" s="262"/>
      <c r="I5" s="262"/>
      <c r="J5" s="262"/>
      <c r="K5" s="262"/>
      <c r="L5" s="262"/>
      <c r="M5" s="262"/>
      <c r="N5" s="262"/>
      <c r="O5" s="262"/>
      <c r="P5" s="262"/>
      <c r="Q5" s="262"/>
      <c r="R5" s="262"/>
      <c r="S5" s="262"/>
      <c r="T5" s="262"/>
      <c r="U5" s="262"/>
      <c r="V5" s="261"/>
      <c r="Y5" s="267"/>
    </row>
    <row r="6" spans="1:52">
      <c r="A6" s="261"/>
      <c r="B6" s="263"/>
      <c r="C6" s="263"/>
      <c r="D6" s="263"/>
      <c r="E6" s="263"/>
      <c r="F6" s="263"/>
      <c r="G6" s="263"/>
      <c r="H6" s="263"/>
      <c r="I6" s="263"/>
      <c r="J6" s="263"/>
      <c r="K6" s="263"/>
      <c r="L6" s="263"/>
      <c r="M6" s="263"/>
      <c r="N6" s="263"/>
      <c r="O6" s="263"/>
      <c r="P6" s="263"/>
      <c r="Q6" s="263"/>
      <c r="R6" s="263"/>
      <c r="S6" s="263"/>
      <c r="T6" s="263"/>
      <c r="U6" s="263"/>
      <c r="V6" s="261"/>
    </row>
    <row r="7" spans="1:52">
      <c r="A7" s="261"/>
      <c r="B7" s="263"/>
      <c r="C7" s="263"/>
      <c r="D7" s="263"/>
      <c r="E7" s="263"/>
      <c r="F7" s="263"/>
      <c r="G7" s="263"/>
      <c r="H7" s="263"/>
      <c r="I7" s="263"/>
      <c r="J7" s="263"/>
      <c r="K7" s="263"/>
      <c r="L7" s="263"/>
      <c r="M7" s="263"/>
      <c r="N7" s="263"/>
      <c r="O7" s="263"/>
      <c r="P7" s="263"/>
      <c r="Q7" s="263"/>
      <c r="R7" s="263"/>
      <c r="S7" s="263"/>
      <c r="T7" s="263"/>
      <c r="U7" s="263"/>
      <c r="V7" s="261"/>
    </row>
    <row r="8" spans="1:52">
      <c r="A8" s="261"/>
      <c r="B8" s="263"/>
      <c r="C8" s="723" t="s">
        <v>328</v>
      </c>
      <c r="D8" s="723"/>
      <c r="E8" s="723"/>
      <c r="F8" s="723"/>
      <c r="G8" s="723"/>
      <c r="H8" s="723"/>
      <c r="I8" s="723"/>
      <c r="J8" s="723"/>
      <c r="K8" s="723"/>
      <c r="L8" s="723"/>
      <c r="M8" s="723"/>
      <c r="N8" s="723"/>
      <c r="O8" s="723"/>
      <c r="P8" s="263"/>
      <c r="Q8" s="263"/>
      <c r="R8" s="263"/>
      <c r="S8" s="263"/>
      <c r="T8" s="263"/>
      <c r="U8" s="263"/>
      <c r="V8" s="261"/>
    </row>
    <row r="9" spans="1:52">
      <c r="A9" s="261"/>
      <c r="B9" s="263"/>
      <c r="C9" s="723"/>
      <c r="D9" s="723"/>
      <c r="E9" s="723"/>
      <c r="F9" s="723"/>
      <c r="G9" s="723"/>
      <c r="H9" s="723"/>
      <c r="I9" s="723"/>
      <c r="J9" s="723"/>
      <c r="K9" s="723"/>
      <c r="L9" s="723"/>
      <c r="M9" s="723"/>
      <c r="N9" s="723"/>
      <c r="O9" s="723"/>
      <c r="P9" s="263"/>
      <c r="Q9" s="263"/>
      <c r="R9" s="263"/>
      <c r="S9" s="263"/>
      <c r="T9" s="263"/>
      <c r="U9" s="263"/>
      <c r="V9" s="261"/>
    </row>
    <row r="10" spans="1:52">
      <c r="A10" s="261"/>
      <c r="B10" s="263"/>
      <c r="C10" s="263"/>
      <c r="D10" s="263"/>
      <c r="E10" s="263"/>
      <c r="F10" s="263"/>
      <c r="G10" s="263"/>
      <c r="H10" s="263"/>
      <c r="I10" s="263"/>
      <c r="J10" s="263"/>
      <c r="K10" s="263"/>
      <c r="L10" s="263"/>
      <c r="M10" s="263"/>
      <c r="N10" s="263"/>
      <c r="O10" s="263"/>
      <c r="P10" s="263"/>
      <c r="Q10" s="263"/>
      <c r="R10" s="263"/>
      <c r="S10" s="263"/>
      <c r="T10" s="263"/>
      <c r="U10" s="263"/>
      <c r="V10" s="261"/>
    </row>
    <row r="11" spans="1:52">
      <c r="A11" s="261"/>
      <c r="B11" s="263"/>
      <c r="C11" s="724" t="s">
        <v>295</v>
      </c>
      <c r="D11" s="724"/>
      <c r="E11" s="724"/>
      <c r="F11" s="724"/>
      <c r="G11" s="724"/>
      <c r="H11" s="724"/>
      <c r="I11" s="724"/>
      <c r="J11" s="724"/>
      <c r="K11" s="263"/>
      <c r="L11" s="263"/>
      <c r="M11" s="263"/>
      <c r="N11" s="263"/>
      <c r="O11" s="263"/>
      <c r="P11" s="263"/>
      <c r="Q11" s="263"/>
      <c r="R11" s="263"/>
      <c r="S11" s="263"/>
      <c r="T11" s="263"/>
      <c r="U11" s="263"/>
      <c r="V11" s="261"/>
    </row>
    <row r="12" spans="1:52">
      <c r="A12" s="261"/>
      <c r="B12" s="263"/>
      <c r="C12" s="725"/>
      <c r="D12" s="725"/>
      <c r="E12" s="725"/>
      <c r="F12" s="725"/>
      <c r="G12" s="725"/>
      <c r="H12" s="725"/>
      <c r="I12" s="725"/>
      <c r="J12" s="725"/>
      <c r="K12" s="263"/>
      <c r="L12" s="263"/>
      <c r="M12" s="263"/>
      <c r="N12" s="263"/>
      <c r="O12" s="263"/>
      <c r="P12" s="263"/>
      <c r="Q12" s="263"/>
      <c r="R12" s="263"/>
      <c r="S12" s="263"/>
      <c r="T12" s="263"/>
      <c r="U12" s="263"/>
      <c r="V12" s="261"/>
    </row>
    <row r="13" spans="1:52">
      <c r="A13" s="261"/>
      <c r="B13" s="263"/>
      <c r="C13" s="263"/>
      <c r="D13" s="263"/>
      <c r="E13" s="263"/>
      <c r="F13" s="263"/>
      <c r="G13" s="263"/>
      <c r="H13" s="263"/>
      <c r="I13" s="263"/>
      <c r="J13" s="263"/>
      <c r="K13" s="263"/>
      <c r="L13" s="263"/>
      <c r="M13" s="263"/>
      <c r="N13" s="263"/>
      <c r="O13" s="263"/>
      <c r="P13" s="263"/>
      <c r="Q13" s="263"/>
      <c r="R13" s="263"/>
      <c r="S13" s="263"/>
      <c r="T13" s="263"/>
      <c r="U13" s="263"/>
      <c r="V13" s="261"/>
    </row>
    <row r="14" spans="1:52">
      <c r="A14" s="261"/>
      <c r="B14" s="263"/>
      <c r="C14" s="263"/>
      <c r="D14" s="263"/>
      <c r="E14" s="263"/>
      <c r="F14" s="263"/>
      <c r="G14" s="263"/>
      <c r="H14" s="263"/>
      <c r="I14" s="263"/>
      <c r="J14" s="263"/>
      <c r="K14" s="263"/>
      <c r="L14" s="263"/>
      <c r="M14" s="263"/>
      <c r="N14" s="263"/>
      <c r="O14" s="263"/>
      <c r="P14" s="263"/>
      <c r="Q14" s="263"/>
      <c r="R14" s="263"/>
      <c r="S14" s="263"/>
      <c r="T14" s="263"/>
      <c r="U14" s="263"/>
      <c r="V14" s="261"/>
    </row>
    <row r="15" spans="1:52">
      <c r="A15" s="261"/>
      <c r="B15" s="262"/>
      <c r="C15" s="262"/>
      <c r="D15" s="262"/>
      <c r="E15" s="262"/>
      <c r="F15" s="262"/>
      <c r="G15" s="262"/>
      <c r="H15" s="262"/>
      <c r="I15" s="262"/>
      <c r="J15" s="262"/>
      <c r="K15" s="262"/>
      <c r="L15" s="262"/>
      <c r="M15" s="262"/>
      <c r="N15" s="262"/>
      <c r="O15" s="262"/>
      <c r="P15" s="262"/>
      <c r="Q15" s="262"/>
      <c r="R15" s="262"/>
      <c r="S15" s="262"/>
      <c r="T15" s="262"/>
      <c r="U15" s="262"/>
      <c r="V15" s="261"/>
    </row>
    <row r="16" spans="1:52" ht="14.4" customHeight="1">
      <c r="A16" s="261"/>
      <c r="B16" s="262"/>
      <c r="D16" s="282"/>
      <c r="E16" s="282"/>
      <c r="F16" s="282"/>
      <c r="G16" s="282"/>
      <c r="H16" s="282"/>
      <c r="I16" s="282"/>
      <c r="J16" s="282"/>
      <c r="K16" s="262"/>
      <c r="L16" s="262"/>
      <c r="M16" s="269"/>
      <c r="N16" s="269"/>
      <c r="O16" s="269"/>
      <c r="P16" s="269"/>
      <c r="Q16" s="269"/>
      <c r="R16" s="269"/>
      <c r="S16" s="269"/>
      <c r="T16" s="269"/>
      <c r="U16" s="262"/>
      <c r="V16" s="261"/>
    </row>
    <row r="17" spans="1:22" ht="14.4" customHeight="1">
      <c r="A17" s="261"/>
      <c r="B17" s="262"/>
      <c r="C17" s="287" t="s">
        <v>378</v>
      </c>
      <c r="D17" s="282"/>
      <c r="E17" s="282"/>
      <c r="F17" s="282"/>
      <c r="G17" s="282"/>
      <c r="H17" s="726">
        <v>165</v>
      </c>
      <c r="I17" s="726"/>
      <c r="J17" s="726"/>
      <c r="K17" s="727" t="s">
        <v>296</v>
      </c>
      <c r="L17" s="727"/>
      <c r="M17" s="269"/>
      <c r="N17" s="270"/>
      <c r="O17" s="271"/>
      <c r="P17" s="269"/>
      <c r="Q17" s="272"/>
      <c r="R17" s="273"/>
      <c r="S17" s="269"/>
      <c r="T17" s="269"/>
      <c r="U17" s="262"/>
      <c r="V17" s="261"/>
    </row>
    <row r="18" spans="1:22" ht="13.2" customHeight="1">
      <c r="A18" s="261"/>
      <c r="B18" s="262"/>
      <c r="C18" s="283"/>
      <c r="D18" s="283"/>
      <c r="E18" s="283"/>
      <c r="F18" s="283"/>
      <c r="G18" s="283"/>
      <c r="H18" s="283"/>
      <c r="I18" s="284" t="s">
        <v>297</v>
      </c>
      <c r="J18" s="283"/>
      <c r="K18" s="274"/>
      <c r="L18" s="275"/>
      <c r="M18" s="269"/>
      <c r="N18" s="276"/>
      <c r="O18" s="271"/>
      <c r="P18" s="269"/>
      <c r="Q18" s="269"/>
      <c r="R18" s="269"/>
      <c r="S18" s="269"/>
      <c r="T18" s="269"/>
      <c r="U18" s="262"/>
      <c r="V18" s="261"/>
    </row>
    <row r="19" spans="1:22" ht="14.4" hidden="1" customHeight="1">
      <c r="A19" s="261"/>
      <c r="B19" s="262"/>
      <c r="D19" s="285"/>
      <c r="E19" s="285"/>
      <c r="F19" s="285"/>
      <c r="G19" s="285"/>
      <c r="H19" s="285"/>
      <c r="I19" s="285"/>
      <c r="J19" s="285"/>
      <c r="K19" s="277"/>
      <c r="L19" s="277"/>
      <c r="M19" s="269"/>
      <c r="N19" s="270"/>
      <c r="O19" s="262"/>
      <c r="P19" s="262"/>
      <c r="Q19" s="262"/>
      <c r="R19" s="262"/>
      <c r="S19" s="273"/>
      <c r="T19" s="273"/>
      <c r="U19" s="262"/>
      <c r="V19" s="261"/>
    </row>
    <row r="20" spans="1:22" ht="14.4" hidden="1" customHeight="1">
      <c r="A20" s="261"/>
      <c r="B20" s="262"/>
      <c r="C20" s="287"/>
      <c r="D20" s="282"/>
      <c r="E20" s="282"/>
      <c r="F20" s="282"/>
      <c r="G20" s="282"/>
      <c r="H20" s="281"/>
      <c r="I20" s="281"/>
      <c r="J20" s="281"/>
      <c r="K20" s="728"/>
      <c r="L20" s="728"/>
      <c r="M20" s="269"/>
      <c r="N20" s="279"/>
      <c r="O20" s="269"/>
      <c r="P20" s="269"/>
      <c r="Q20" s="280"/>
      <c r="R20" s="273"/>
      <c r="S20" s="273"/>
      <c r="T20" s="273"/>
      <c r="U20" s="262"/>
      <c r="V20" s="261"/>
    </row>
    <row r="21" spans="1:22" ht="14.4" hidden="1" customHeight="1">
      <c r="A21" s="261"/>
      <c r="B21" s="262"/>
      <c r="C21" s="283"/>
      <c r="D21" s="283"/>
      <c r="E21" s="283"/>
      <c r="F21" s="283"/>
      <c r="G21" s="283"/>
      <c r="H21" s="286"/>
      <c r="I21" s="284"/>
      <c r="J21" s="283"/>
      <c r="K21" s="278"/>
      <c r="L21" s="278"/>
      <c r="M21" s="276"/>
      <c r="N21" s="279"/>
      <c r="O21" s="271"/>
      <c r="P21" s="269"/>
      <c r="Q21" s="280"/>
      <c r="R21" s="273"/>
      <c r="S21" s="273"/>
      <c r="T21" s="273"/>
      <c r="U21" s="262"/>
      <c r="V21" s="261"/>
    </row>
    <row r="22" spans="1:22" ht="14.4" customHeight="1">
      <c r="A22" s="261"/>
      <c r="B22" s="262"/>
      <c r="C22" s="287"/>
      <c r="D22" s="287"/>
      <c r="E22" s="287"/>
      <c r="F22" s="287"/>
      <c r="G22" s="282"/>
      <c r="H22" s="288"/>
      <c r="I22" s="288"/>
      <c r="J22" s="282"/>
      <c r="K22" s="281"/>
      <c r="L22" s="281"/>
      <c r="M22" s="276"/>
      <c r="N22" s="273"/>
      <c r="O22" s="271"/>
      <c r="P22" s="269"/>
      <c r="Q22" s="280"/>
      <c r="R22" s="273"/>
      <c r="S22" s="273"/>
      <c r="T22" s="273"/>
      <c r="U22" s="262"/>
      <c r="V22" s="261"/>
    </row>
    <row r="23" spans="1:22" ht="14.4" customHeight="1">
      <c r="A23" s="261"/>
      <c r="B23" s="262"/>
      <c r="C23" s="287" t="s">
        <v>298</v>
      </c>
      <c r="D23" s="287"/>
      <c r="E23" s="287"/>
      <c r="F23" s="287"/>
      <c r="G23" s="282"/>
      <c r="H23" s="726">
        <v>4</v>
      </c>
      <c r="I23" s="726"/>
      <c r="J23" s="726"/>
      <c r="K23" s="727" t="str">
        <f>IF(H23=1,"[ osoba ]",IF(H23&lt;5,"[ osoby ]","[ osób ]"))</f>
        <v>[ osoby ]</v>
      </c>
      <c r="L23" s="727"/>
      <c r="M23" s="276"/>
      <c r="N23" s="273"/>
      <c r="O23" s="271"/>
      <c r="P23" s="269"/>
      <c r="Q23" s="280"/>
      <c r="R23" s="273"/>
      <c r="S23" s="273"/>
      <c r="T23" s="273"/>
      <c r="U23" s="262"/>
      <c r="V23" s="261"/>
    </row>
    <row r="24" spans="1:22" ht="14.4" customHeight="1">
      <c r="A24" s="261"/>
      <c r="B24" s="262"/>
      <c r="C24" s="287"/>
      <c r="D24" s="287"/>
      <c r="E24" s="287"/>
      <c r="F24" s="287"/>
      <c r="G24" s="282"/>
      <c r="H24" s="332"/>
      <c r="I24" s="333" t="s">
        <v>299</v>
      </c>
      <c r="J24" s="332"/>
      <c r="K24" s="278"/>
      <c r="L24" s="274"/>
      <c r="M24" s="276"/>
      <c r="N24" s="273"/>
      <c r="O24" s="271"/>
      <c r="P24" s="269"/>
      <c r="Q24" s="280"/>
      <c r="R24" s="273"/>
      <c r="S24" s="273"/>
      <c r="T24" s="273"/>
      <c r="U24" s="262"/>
      <c r="V24" s="261"/>
    </row>
    <row r="25" spans="1:22" ht="19.2" customHeight="1">
      <c r="A25" s="261"/>
      <c r="B25" s="262"/>
      <c r="C25" s="285"/>
      <c r="D25" s="285"/>
      <c r="E25" s="285"/>
      <c r="F25" s="285"/>
      <c r="G25" s="285"/>
      <c r="H25" s="285"/>
      <c r="I25" s="285"/>
      <c r="J25" s="285"/>
      <c r="K25" s="277"/>
      <c r="L25" s="277"/>
      <c r="M25" s="269"/>
      <c r="O25" s="271"/>
      <c r="P25" s="269"/>
      <c r="Q25" s="273"/>
      <c r="R25" s="273"/>
      <c r="S25" s="273"/>
      <c r="T25" s="273"/>
      <c r="U25" s="262"/>
      <c r="V25" s="261"/>
    </row>
    <row r="26" spans="1:22">
      <c r="A26" s="261"/>
      <c r="B26" s="262"/>
      <c r="C26" s="262"/>
      <c r="D26" s="262"/>
      <c r="E26" s="262"/>
      <c r="F26" s="262"/>
      <c r="G26" s="262"/>
      <c r="H26" s="262"/>
      <c r="I26" s="262"/>
      <c r="J26" s="262"/>
      <c r="K26" s="262"/>
      <c r="L26" s="262"/>
      <c r="M26" s="262"/>
      <c r="N26" s="262"/>
      <c r="O26" s="262"/>
      <c r="P26" s="262"/>
      <c r="Q26" s="262"/>
      <c r="R26" s="262"/>
      <c r="S26" s="262"/>
      <c r="T26" s="262"/>
      <c r="U26" s="262"/>
      <c r="V26" s="261"/>
    </row>
    <row r="27" spans="1:22">
      <c r="A27" s="261"/>
      <c r="B27" s="263"/>
      <c r="C27" s="263"/>
      <c r="D27" s="263"/>
      <c r="E27" s="263"/>
      <c r="F27" s="263"/>
      <c r="G27" s="263"/>
      <c r="H27" s="263"/>
      <c r="I27" s="263"/>
      <c r="J27" s="263"/>
      <c r="K27" s="263"/>
      <c r="L27" s="263"/>
      <c r="M27" s="263"/>
      <c r="N27" s="263"/>
      <c r="O27" s="263"/>
      <c r="P27" s="263"/>
      <c r="Q27" s="263"/>
      <c r="R27" s="263"/>
      <c r="S27" s="263"/>
      <c r="T27" s="263"/>
      <c r="U27" s="263"/>
      <c r="V27" s="261"/>
    </row>
    <row r="28" spans="1:22" ht="21">
      <c r="A28" s="261"/>
      <c r="B28" s="263"/>
      <c r="C28" s="264" t="s">
        <v>324</v>
      </c>
      <c r="D28" s="263"/>
      <c r="E28" s="263"/>
      <c r="F28" s="263"/>
      <c r="G28" s="263"/>
      <c r="H28" s="263"/>
      <c r="I28" s="263"/>
      <c r="J28" s="263"/>
      <c r="K28" s="263"/>
      <c r="L28" s="263"/>
      <c r="M28" s="263"/>
      <c r="N28" s="263"/>
      <c r="O28" s="263"/>
      <c r="P28" s="263"/>
      <c r="Q28" s="263"/>
      <c r="R28" s="263"/>
      <c r="S28" s="736"/>
      <c r="T28" s="736"/>
      <c r="U28" s="263"/>
      <c r="V28" s="261"/>
    </row>
    <row r="29" spans="1:22">
      <c r="A29" s="261"/>
      <c r="B29" s="263"/>
      <c r="C29" s="263"/>
      <c r="D29" s="263"/>
      <c r="E29" s="263"/>
      <c r="F29" s="263"/>
      <c r="G29" s="263"/>
      <c r="H29" s="263"/>
      <c r="I29" s="263"/>
      <c r="J29" s="263"/>
      <c r="K29" s="263"/>
      <c r="L29" s="263"/>
      <c r="M29" s="263"/>
      <c r="N29" s="263"/>
      <c r="O29" s="263"/>
      <c r="P29" s="263"/>
      <c r="Q29" s="263"/>
      <c r="R29" s="263"/>
      <c r="S29" s="263"/>
      <c r="T29" s="263"/>
      <c r="U29" s="263"/>
      <c r="V29" s="261"/>
    </row>
    <row r="30" spans="1:22" ht="11.4" customHeight="1">
      <c r="A30" s="265"/>
      <c r="B30" s="289"/>
      <c r="C30" s="289"/>
      <c r="D30" s="289"/>
      <c r="E30" s="289"/>
      <c r="F30" s="289"/>
      <c r="G30" s="289"/>
      <c r="H30" s="289"/>
      <c r="I30" s="289"/>
      <c r="J30" s="289"/>
      <c r="K30" s="289"/>
      <c r="L30" s="289"/>
      <c r="M30" s="289"/>
      <c r="N30" s="289"/>
      <c r="O30" s="289"/>
      <c r="P30" s="289"/>
      <c r="Q30" s="289"/>
      <c r="R30" s="289"/>
      <c r="S30" s="289"/>
      <c r="T30" s="296"/>
      <c r="U30" s="266"/>
      <c r="V30" s="265"/>
    </row>
    <row r="31" spans="1:22" ht="14.4" customHeight="1">
      <c r="A31" s="265"/>
      <c r="B31" s="266"/>
      <c r="C31" s="336"/>
      <c r="D31" s="336"/>
      <c r="E31" s="336"/>
      <c r="F31" s="336"/>
      <c r="G31" s="336"/>
      <c r="H31" s="336"/>
      <c r="I31" s="336"/>
      <c r="J31" s="337"/>
      <c r="K31" s="337"/>
      <c r="L31" s="337"/>
      <c r="M31" s="337"/>
      <c r="N31" s="337"/>
      <c r="O31" s="337"/>
      <c r="P31" s="337"/>
      <c r="Q31" s="337"/>
      <c r="R31" s="337"/>
      <c r="S31" s="337"/>
      <c r="T31" s="337"/>
      <c r="U31" s="266"/>
      <c r="V31" s="265"/>
    </row>
    <row r="32" spans="1:22" ht="14.4" customHeight="1">
      <c r="A32" s="265"/>
      <c r="B32" s="13"/>
      <c r="C32" s="756" t="s">
        <v>89</v>
      </c>
      <c r="D32" s="341"/>
      <c r="E32" s="732" t="s">
        <v>25</v>
      </c>
      <c r="F32" s="732"/>
      <c r="G32" s="732"/>
      <c r="H32" s="732"/>
      <c r="I32" s="288"/>
      <c r="J32" s="282" t="s">
        <v>133</v>
      </c>
      <c r="K32" s="13"/>
      <c r="L32" s="282" t="s">
        <v>143</v>
      </c>
      <c r="M32" s="13"/>
      <c r="N32" s="340" t="s">
        <v>79</v>
      </c>
      <c r="O32" s="13"/>
      <c r="P32" s="733" t="s">
        <v>132</v>
      </c>
      <c r="Q32" s="733"/>
      <c r="R32" s="334" t="str">
        <f>IF(E32="","n.d.",VLOOKUP(E32,lista_pod_rodzaj_ruchu_powietrza,4,0))</f>
        <v>wywiew</v>
      </c>
      <c r="S32" s="273"/>
      <c r="T32" s="365">
        <f>IF(Q33&gt;S33,0,1)</f>
        <v>1</v>
      </c>
      <c r="U32" s="266"/>
      <c r="V32" s="265"/>
    </row>
    <row r="33" spans="1:22" ht="14.4" customHeight="1">
      <c r="A33" s="265"/>
      <c r="B33" s="13"/>
      <c r="C33" s="756"/>
      <c r="D33" s="287"/>
      <c r="E33" s="730"/>
      <c r="F33" s="730"/>
      <c r="G33" s="730"/>
      <c r="H33" s="730"/>
      <c r="I33" s="13"/>
      <c r="J33" s="574">
        <v>3</v>
      </c>
      <c r="K33" s="13"/>
      <c r="L33" s="574">
        <v>2.8</v>
      </c>
      <c r="M33" s="13"/>
      <c r="N33" s="664">
        <f>L33*J33</f>
        <v>8.3999999999999986</v>
      </c>
      <c r="O33" s="13"/>
      <c r="P33" s="335" t="s">
        <v>333</v>
      </c>
      <c r="Q33" s="335">
        <f>IF(R32="n.d.",0,IF(R32="nawiew",G34*20,VLOOKUP(E32,warunki2,3,0)))</f>
        <v>15</v>
      </c>
      <c r="R33" s="731">
        <f>IF(R32="n.d.",-1,IF(R32="nawiew",0,IF(R32="wywiew",1,IF(R32="naw.wyw.",0.5,2))))</f>
        <v>1</v>
      </c>
      <c r="S33" s="598">
        <f>Q33</f>
        <v>15</v>
      </c>
      <c r="T33" s="335" t="s">
        <v>325</v>
      </c>
      <c r="U33" s="266"/>
      <c r="V33" s="265"/>
    </row>
    <row r="34" spans="1:22" ht="14.4" customHeight="1">
      <c r="A34" s="265"/>
      <c r="B34" s="13"/>
      <c r="C34" s="756"/>
      <c r="D34" s="13"/>
      <c r="E34" s="276" t="s">
        <v>41</v>
      </c>
      <c r="F34" s="625" t="str">
        <f>IF(R32&lt;&gt;"nawiew","n.d.","")</f>
        <v>n.d.</v>
      </c>
      <c r="G34" s="573">
        <f>H23</f>
        <v>4</v>
      </c>
      <c r="H34" s="343"/>
      <c r="I34" s="13"/>
      <c r="J34" s="342" t="s">
        <v>326</v>
      </c>
      <c r="K34" s="13"/>
      <c r="L34" s="342" t="s">
        <v>144</v>
      </c>
      <c r="M34" s="13"/>
      <c r="N34" s="342" t="s">
        <v>327</v>
      </c>
      <c r="O34" s="13"/>
      <c r="P34" s="335" t="s">
        <v>330</v>
      </c>
      <c r="Q34" s="347">
        <f>N33</f>
        <v>8.3999999999999986</v>
      </c>
      <c r="R34" s="731"/>
      <c r="S34" s="13"/>
      <c r="T34" s="343"/>
      <c r="U34" s="266"/>
      <c r="V34" s="265"/>
    </row>
    <row r="35" spans="1:22" ht="13.95" customHeight="1">
      <c r="A35" s="265"/>
      <c r="B35" s="266"/>
      <c r="C35" s="338"/>
      <c r="D35" s="338"/>
      <c r="E35" s="13"/>
      <c r="F35" s="13"/>
      <c r="G35" s="346"/>
      <c r="H35" s="13"/>
      <c r="I35" s="338"/>
      <c r="J35" s="338"/>
      <c r="K35" s="338"/>
      <c r="L35" s="338"/>
      <c r="M35" s="338"/>
      <c r="N35" s="338"/>
      <c r="O35" s="338"/>
      <c r="P35" s="338"/>
      <c r="Q35" s="338"/>
      <c r="R35" s="338"/>
      <c r="S35" s="338"/>
      <c r="T35" s="338"/>
      <c r="U35" s="266"/>
      <c r="V35" s="265"/>
    </row>
    <row r="36" spans="1:22" ht="14.4" hidden="1" customHeight="1">
      <c r="A36" s="265"/>
      <c r="B36" s="262"/>
      <c r="C36" s="348"/>
      <c r="D36" s="348"/>
      <c r="E36" s="348"/>
      <c r="F36" s="348"/>
      <c r="G36" s="349"/>
      <c r="H36" s="350"/>
      <c r="I36" s="350"/>
      <c r="J36" s="350"/>
      <c r="K36" s="351"/>
      <c r="L36" s="351"/>
      <c r="M36" s="352"/>
      <c r="N36" s="353"/>
      <c r="O36" s="354"/>
      <c r="P36" s="355"/>
      <c r="Q36" s="356"/>
      <c r="R36" s="353"/>
      <c r="S36" s="353"/>
      <c r="T36" s="357"/>
      <c r="U36" s="266"/>
      <c r="V36" s="265"/>
    </row>
    <row r="37" spans="1:22" ht="14.4" customHeight="1">
      <c r="A37" s="265"/>
      <c r="B37" s="266"/>
      <c r="C37" s="336"/>
      <c r="D37" s="336"/>
      <c r="E37" s="336"/>
      <c r="F37" s="336"/>
      <c r="G37" s="336"/>
      <c r="H37" s="336"/>
      <c r="I37" s="336"/>
      <c r="J37" s="337"/>
      <c r="K37" s="337"/>
      <c r="L37" s="337"/>
      <c r="M37" s="337"/>
      <c r="N37" s="337"/>
      <c r="O37" s="337"/>
      <c r="P37" s="337"/>
      <c r="Q37" s="337"/>
      <c r="R37" s="337"/>
      <c r="S37" s="337"/>
      <c r="T37" s="337"/>
      <c r="U37" s="266"/>
      <c r="V37" s="265"/>
    </row>
    <row r="38" spans="1:22" ht="14.4" customHeight="1">
      <c r="A38" s="265"/>
      <c r="B38" s="13"/>
      <c r="C38" s="756" t="s">
        <v>90</v>
      </c>
      <c r="D38" s="341"/>
      <c r="E38" s="732" t="s">
        <v>129</v>
      </c>
      <c r="F38" s="732"/>
      <c r="G38" s="732"/>
      <c r="H38" s="732"/>
      <c r="I38" s="13"/>
      <c r="J38" s="282" t="s">
        <v>133</v>
      </c>
      <c r="K38" s="288"/>
      <c r="L38" s="282" t="s">
        <v>143</v>
      </c>
      <c r="M38" s="13"/>
      <c r="N38" s="340" t="s">
        <v>79</v>
      </c>
      <c r="O38" s="13"/>
      <c r="P38" s="733" t="s">
        <v>132</v>
      </c>
      <c r="Q38" s="733"/>
      <c r="R38" s="334" t="str">
        <f>IF(E38="","n.d.",VLOOKUP(E38,lista_pod_rodzaj_ruchu_powietrza,4,0))</f>
        <v>wywiew</v>
      </c>
      <c r="S38" s="273"/>
      <c r="T38" s="365">
        <f>IF(Q39&gt;S39,0,1)</f>
        <v>1</v>
      </c>
      <c r="U38" s="266"/>
      <c r="V38" s="265"/>
    </row>
    <row r="39" spans="1:22" ht="14.4" customHeight="1">
      <c r="A39" s="265"/>
      <c r="B39" s="13"/>
      <c r="C39" s="756"/>
      <c r="D39" s="287"/>
      <c r="E39" s="730"/>
      <c r="F39" s="730"/>
      <c r="G39" s="730"/>
      <c r="H39" s="730"/>
      <c r="I39" s="13"/>
      <c r="J39" s="574">
        <v>10.6</v>
      </c>
      <c r="L39" s="574">
        <v>2.8</v>
      </c>
      <c r="M39" s="13"/>
      <c r="N39" s="664">
        <f>L39*J39</f>
        <v>29.679999999999996</v>
      </c>
      <c r="O39" s="13"/>
      <c r="P39" s="335" t="s">
        <v>333</v>
      </c>
      <c r="Q39" s="335">
        <f>IF(R38="n.d.",0,IF(R38="nawiew",G40*20,VLOOKUP(E38,warunki2,3,0)))</f>
        <v>50</v>
      </c>
      <c r="R39" s="731">
        <f>IF(R38="n.d.",-1,IF(R38="nawiew",0,IF(R38="wywiew",1,IF(R38="naw.wyw.",0.5,2))))</f>
        <v>1</v>
      </c>
      <c r="S39" s="598">
        <f>Q39</f>
        <v>50</v>
      </c>
      <c r="T39" s="335" t="s">
        <v>325</v>
      </c>
      <c r="U39" s="266"/>
      <c r="V39" s="265"/>
    </row>
    <row r="40" spans="1:22" ht="14.4" customHeight="1">
      <c r="A40" s="265"/>
      <c r="B40" s="13"/>
      <c r="C40" s="756"/>
      <c r="D40" s="13"/>
      <c r="E40" s="276" t="s">
        <v>41</v>
      </c>
      <c r="F40" s="625" t="str">
        <f>IF(R38&lt;&gt;"nawiew","n.d.","")</f>
        <v>n.d.</v>
      </c>
      <c r="G40" s="573">
        <f>H23</f>
        <v>4</v>
      </c>
      <c r="H40" s="343"/>
      <c r="I40" s="13"/>
      <c r="J40" s="342" t="s">
        <v>326</v>
      </c>
      <c r="K40" s="13"/>
      <c r="L40" s="342" t="s">
        <v>144</v>
      </c>
      <c r="M40" s="13"/>
      <c r="N40" s="342" t="s">
        <v>327</v>
      </c>
      <c r="O40" s="13"/>
      <c r="P40" s="335" t="s">
        <v>330</v>
      </c>
      <c r="Q40" s="347">
        <f>N39</f>
        <v>29.679999999999996</v>
      </c>
      <c r="R40" s="731"/>
      <c r="S40" s="13"/>
      <c r="T40" s="343"/>
      <c r="U40" s="266"/>
      <c r="V40" s="265"/>
    </row>
    <row r="41" spans="1:22" ht="10.199999999999999" customHeight="1">
      <c r="A41" s="265"/>
      <c r="B41" s="266"/>
      <c r="C41" s="338"/>
      <c r="D41" s="338"/>
      <c r="E41" s="338"/>
      <c r="F41" s="338"/>
      <c r="G41" s="338"/>
      <c r="H41" s="338"/>
      <c r="I41" s="338"/>
      <c r="J41" s="338"/>
      <c r="K41" s="338"/>
      <c r="L41" s="338"/>
      <c r="M41" s="338"/>
      <c r="N41" s="338"/>
      <c r="O41" s="338"/>
      <c r="P41" s="338"/>
      <c r="Q41" s="338"/>
      <c r="R41" s="338"/>
      <c r="S41" s="338"/>
      <c r="T41" s="338"/>
      <c r="U41" s="266"/>
      <c r="V41" s="265"/>
    </row>
    <row r="42" spans="1:22" ht="14.4" hidden="1" customHeight="1">
      <c r="A42" s="265"/>
      <c r="B42" s="266"/>
      <c r="C42" s="358"/>
      <c r="D42" s="358"/>
      <c r="E42" s="358"/>
      <c r="F42" s="358"/>
      <c r="G42" s="358"/>
      <c r="H42" s="358"/>
      <c r="I42" s="358"/>
      <c r="J42" s="265"/>
      <c r="K42" s="265"/>
      <c r="L42" s="265"/>
      <c r="M42" s="265"/>
      <c r="N42" s="265"/>
      <c r="O42" s="265"/>
      <c r="P42" s="265"/>
      <c r="Q42" s="265"/>
      <c r="R42" s="265"/>
      <c r="S42" s="265"/>
      <c r="T42" s="265"/>
      <c r="U42" s="266"/>
      <c r="V42" s="265"/>
    </row>
    <row r="43" spans="1:22" ht="14.4" customHeight="1">
      <c r="A43" s="265"/>
      <c r="B43" s="266"/>
      <c r="C43" s="336"/>
      <c r="D43" s="336"/>
      <c r="E43" s="336"/>
      <c r="F43" s="336"/>
      <c r="G43" s="336"/>
      <c r="H43" s="336"/>
      <c r="I43" s="336"/>
      <c r="J43" s="337"/>
      <c r="K43" s="337"/>
      <c r="L43" s="337"/>
      <c r="M43" s="337"/>
      <c r="N43" s="337"/>
      <c r="O43" s="337"/>
      <c r="P43" s="337"/>
      <c r="Q43" s="337"/>
      <c r="R43" s="337"/>
      <c r="S43" s="337"/>
      <c r="T43" s="337"/>
      <c r="U43" s="266"/>
      <c r="V43" s="265"/>
    </row>
    <row r="44" spans="1:22" ht="14.4" customHeight="1">
      <c r="A44" s="265"/>
      <c r="B44" s="13"/>
      <c r="C44" s="756" t="s">
        <v>91</v>
      </c>
      <c r="D44" s="341"/>
      <c r="E44" s="732" t="s">
        <v>27</v>
      </c>
      <c r="F44" s="732"/>
      <c r="G44" s="732"/>
      <c r="H44" s="732"/>
      <c r="I44" s="288"/>
      <c r="J44" s="282" t="s">
        <v>133</v>
      </c>
      <c r="K44" s="288"/>
      <c r="L44" s="282" t="s">
        <v>143</v>
      </c>
      <c r="M44" s="13"/>
      <c r="N44" s="340" t="s">
        <v>79</v>
      </c>
      <c r="O44" s="13"/>
      <c r="P44" s="733" t="s">
        <v>132</v>
      </c>
      <c r="Q44" s="733"/>
      <c r="R44" s="334" t="str">
        <f>IF(E44="","n.d.",VLOOKUP(E44,lista_pod_rodzaj_ruchu_powietrza,4,0))</f>
        <v>wywiew</v>
      </c>
      <c r="S44" s="273"/>
      <c r="T44" s="365">
        <f>IF(Q45&gt;S45,0,1)</f>
        <v>1</v>
      </c>
      <c r="U44" s="266"/>
      <c r="V44" s="265"/>
    </row>
    <row r="45" spans="1:22" ht="14.4" customHeight="1">
      <c r="A45" s="265"/>
      <c r="B45" s="13"/>
      <c r="C45" s="756"/>
      <c r="D45" s="287"/>
      <c r="E45" s="730"/>
      <c r="F45" s="730"/>
      <c r="G45" s="730"/>
      <c r="H45" s="730"/>
      <c r="J45" s="574">
        <v>2</v>
      </c>
      <c r="L45" s="574">
        <v>2.8</v>
      </c>
      <c r="M45" s="13"/>
      <c r="N45" s="664">
        <f>L45*J45</f>
        <v>5.6</v>
      </c>
      <c r="O45" s="13"/>
      <c r="P45" s="335" t="s">
        <v>333</v>
      </c>
      <c r="Q45" s="335">
        <f>IF(R44="n.d.",0,IF(R44="nawiew",G46*20,VLOOKUP(E44,warunki2,3,0)))</f>
        <v>15</v>
      </c>
      <c r="R45" s="731">
        <f>IF(R44="n.d.",-1,IF(R44="nawiew",0,IF(R44="wywiew",1,IF(R44="naw.wyw.",0.5,2))))</f>
        <v>1</v>
      </c>
      <c r="S45" s="598">
        <f>Q45</f>
        <v>15</v>
      </c>
      <c r="T45" s="335" t="s">
        <v>325</v>
      </c>
      <c r="U45" s="266"/>
      <c r="V45" s="265"/>
    </row>
    <row r="46" spans="1:22" ht="14.4" customHeight="1">
      <c r="A46" s="265"/>
      <c r="B46" s="13"/>
      <c r="C46" s="756"/>
      <c r="D46" s="13"/>
      <c r="E46" s="276" t="s">
        <v>41</v>
      </c>
      <c r="F46" s="625" t="str">
        <f>IF(R44&lt;&gt;"nawiew","n.d.","")</f>
        <v>n.d.</v>
      </c>
      <c r="G46" s="573">
        <f>H23</f>
        <v>4</v>
      </c>
      <c r="H46" s="343"/>
      <c r="I46" s="13"/>
      <c r="J46" s="342" t="s">
        <v>326</v>
      </c>
      <c r="K46" s="13"/>
      <c r="L46" s="342" t="s">
        <v>144</v>
      </c>
      <c r="M46" s="13"/>
      <c r="N46" s="342" t="s">
        <v>327</v>
      </c>
      <c r="O46" s="13"/>
      <c r="P46" s="335" t="s">
        <v>330</v>
      </c>
      <c r="Q46" s="347">
        <f>N45</f>
        <v>5.6</v>
      </c>
      <c r="R46" s="731"/>
      <c r="S46" s="13"/>
      <c r="T46" s="343"/>
      <c r="U46" s="266"/>
      <c r="V46" s="265"/>
    </row>
    <row r="47" spans="1:22" ht="14.4" customHeight="1">
      <c r="A47" s="265"/>
      <c r="B47" s="266"/>
      <c r="C47" s="338"/>
      <c r="D47" s="338"/>
      <c r="E47" s="338"/>
      <c r="F47" s="338"/>
      <c r="G47" s="338"/>
      <c r="H47" s="338"/>
      <c r="I47" s="338"/>
      <c r="J47" s="338"/>
      <c r="K47" s="338"/>
      <c r="L47" s="338"/>
      <c r="M47" s="338"/>
      <c r="N47" s="338"/>
      <c r="O47" s="338"/>
      <c r="P47" s="338"/>
      <c r="Q47" s="338"/>
      <c r="R47" s="338"/>
      <c r="S47" s="338"/>
      <c r="T47" s="338"/>
      <c r="U47" s="266"/>
      <c r="V47" s="265"/>
    </row>
    <row r="48" spans="1:22" ht="14.4" hidden="1" customHeight="1">
      <c r="A48" s="265"/>
      <c r="B48" s="266"/>
      <c r="C48" s="358"/>
      <c r="D48" s="358"/>
      <c r="E48" s="358"/>
      <c r="F48" s="358"/>
      <c r="G48" s="358"/>
      <c r="H48" s="358"/>
      <c r="I48" s="358"/>
      <c r="J48" s="265"/>
      <c r="K48" s="265"/>
      <c r="L48" s="265"/>
      <c r="M48" s="265"/>
      <c r="N48" s="265"/>
      <c r="O48" s="265"/>
      <c r="P48" s="265"/>
      <c r="Q48" s="265"/>
      <c r="R48" s="265"/>
      <c r="S48" s="265"/>
      <c r="T48" s="265"/>
      <c r="U48" s="266"/>
      <c r="V48" s="265"/>
    </row>
    <row r="49" spans="1:22" ht="14.4" customHeight="1">
      <c r="A49" s="265"/>
      <c r="B49" s="266"/>
      <c r="C49" s="336"/>
      <c r="D49" s="336"/>
      <c r="E49" s="336"/>
      <c r="F49" s="336"/>
      <c r="G49" s="336"/>
      <c r="H49" s="336"/>
      <c r="I49" s="336"/>
      <c r="J49" s="337"/>
      <c r="K49" s="337"/>
      <c r="L49" s="337"/>
      <c r="M49" s="337"/>
      <c r="N49" s="337"/>
      <c r="O49" s="337"/>
      <c r="P49" s="337"/>
      <c r="Q49" s="337"/>
      <c r="R49" s="337"/>
      <c r="S49" s="337"/>
      <c r="T49" s="337"/>
      <c r="U49" s="266"/>
      <c r="V49" s="265"/>
    </row>
    <row r="50" spans="1:22" ht="14.4" customHeight="1">
      <c r="A50" s="265"/>
      <c r="B50" s="13"/>
      <c r="C50" s="756" t="s">
        <v>92</v>
      </c>
      <c r="D50" s="341"/>
      <c r="E50" s="732" t="s">
        <v>120</v>
      </c>
      <c r="F50" s="732"/>
      <c r="G50" s="732"/>
      <c r="H50" s="732"/>
      <c r="I50" s="288"/>
      <c r="J50" s="282" t="s">
        <v>133</v>
      </c>
      <c r="K50" s="288"/>
      <c r="L50" s="282" t="s">
        <v>143</v>
      </c>
      <c r="M50" s="13"/>
      <c r="N50" s="340" t="s">
        <v>79</v>
      </c>
      <c r="O50" s="13"/>
      <c r="P50" s="733" t="s">
        <v>132</v>
      </c>
      <c r="Q50" s="733"/>
      <c r="R50" s="334" t="str">
        <f>IF(E50="","n.d.",VLOOKUP(E50,lista_pod_rodzaj_ruchu_powietrza,4,0))</f>
        <v>nawiew</v>
      </c>
      <c r="S50" s="273"/>
      <c r="T50" s="365">
        <f>IF(Q51&gt;S51,0,1)</f>
        <v>1</v>
      </c>
      <c r="U50" s="266"/>
      <c r="V50" s="265"/>
    </row>
    <row r="51" spans="1:22" ht="14.4" customHeight="1">
      <c r="A51" s="265"/>
      <c r="B51" s="13"/>
      <c r="C51" s="756"/>
      <c r="D51" s="287"/>
      <c r="E51" s="730"/>
      <c r="F51" s="730"/>
      <c r="G51" s="730"/>
      <c r="H51" s="730"/>
      <c r="J51" s="574">
        <v>30.4</v>
      </c>
      <c r="L51" s="574">
        <v>4</v>
      </c>
      <c r="M51" s="13"/>
      <c r="N51" s="664">
        <f>L51*J51</f>
        <v>121.6</v>
      </c>
      <c r="O51" s="13"/>
      <c r="P51" s="335" t="s">
        <v>333</v>
      </c>
      <c r="Q51" s="335">
        <f>IF(R50="n.d.",0,IF(R50="nawiew",G52*20,VLOOKUP(E50,warunki2,3,0)))</f>
        <v>80</v>
      </c>
      <c r="R51" s="731">
        <f>IF(R50="n.d.",-1,IF(R50="nawiew",0,IF(R50="wywiew",1,IF(R50="naw.wyw.",0.5,2))))</f>
        <v>0</v>
      </c>
      <c r="S51" s="598">
        <v>80</v>
      </c>
      <c r="T51" s="335" t="s">
        <v>325</v>
      </c>
      <c r="U51" s="266"/>
      <c r="V51" s="265"/>
    </row>
    <row r="52" spans="1:22" ht="14.4" customHeight="1">
      <c r="A52" s="265"/>
      <c r="B52" s="13"/>
      <c r="C52" s="756"/>
      <c r="D52" s="13"/>
      <c r="E52" s="276" t="s">
        <v>41</v>
      </c>
      <c r="F52" s="625" t="str">
        <f>IF(R50&lt;&gt;"nawiew","n.d.","")</f>
        <v/>
      </c>
      <c r="G52" s="573">
        <f>H23</f>
        <v>4</v>
      </c>
      <c r="H52" s="343"/>
      <c r="I52" s="13"/>
      <c r="J52" s="342" t="s">
        <v>326</v>
      </c>
      <c r="K52" s="13"/>
      <c r="L52" s="342" t="s">
        <v>144</v>
      </c>
      <c r="M52" s="13"/>
      <c r="N52" s="342" t="s">
        <v>327</v>
      </c>
      <c r="O52" s="13"/>
      <c r="P52" s="335" t="s">
        <v>330</v>
      </c>
      <c r="Q52" s="347">
        <f>N51</f>
        <v>121.6</v>
      </c>
      <c r="R52" s="731"/>
      <c r="S52" s="13"/>
      <c r="T52" s="343"/>
      <c r="U52" s="266"/>
      <c r="V52" s="265"/>
    </row>
    <row r="53" spans="1:22" ht="13.2" customHeight="1">
      <c r="A53" s="265"/>
      <c r="B53" s="266"/>
      <c r="C53" s="338"/>
      <c r="D53" s="338"/>
      <c r="E53" s="338"/>
      <c r="F53" s="338"/>
      <c r="G53" s="338"/>
      <c r="H53" s="338"/>
      <c r="I53" s="338"/>
      <c r="J53" s="338"/>
      <c r="K53" s="338"/>
      <c r="L53" s="338"/>
      <c r="M53" s="338"/>
      <c r="N53" s="338"/>
      <c r="O53" s="338"/>
      <c r="P53" s="338"/>
      <c r="Q53" s="338"/>
      <c r="R53" s="338"/>
      <c r="S53" s="338"/>
      <c r="T53" s="338"/>
      <c r="U53" s="266"/>
      <c r="V53" s="265"/>
    </row>
    <row r="54" spans="1:22" ht="14.4" hidden="1" customHeight="1">
      <c r="A54" s="265"/>
      <c r="B54" s="266"/>
      <c r="C54" s="358"/>
      <c r="D54" s="358"/>
      <c r="E54" s="358"/>
      <c r="F54" s="358"/>
      <c r="G54" s="358"/>
      <c r="H54" s="358"/>
      <c r="I54" s="358"/>
      <c r="J54" s="265"/>
      <c r="K54" s="265"/>
      <c r="L54" s="265"/>
      <c r="M54" s="265"/>
      <c r="N54" s="265"/>
      <c r="O54" s="265"/>
      <c r="P54" s="265"/>
      <c r="Q54" s="265"/>
      <c r="R54" s="265"/>
      <c r="S54" s="265"/>
      <c r="T54" s="265"/>
      <c r="U54" s="266"/>
      <c r="V54" s="265"/>
    </row>
    <row r="55" spans="1:22" ht="14.4" customHeight="1">
      <c r="A55" s="265"/>
      <c r="B55" s="266"/>
      <c r="C55" s="336"/>
      <c r="D55" s="336"/>
      <c r="E55" s="336"/>
      <c r="F55" s="336"/>
      <c r="G55" s="336"/>
      <c r="H55" s="336"/>
      <c r="I55" s="336"/>
      <c r="J55" s="337"/>
      <c r="K55" s="337"/>
      <c r="L55" s="337"/>
      <c r="M55" s="337"/>
      <c r="N55" s="337"/>
      <c r="O55" s="337"/>
      <c r="P55" s="337"/>
      <c r="Q55" s="337"/>
      <c r="R55" s="337"/>
      <c r="S55" s="337"/>
      <c r="T55" s="337"/>
      <c r="U55" s="266"/>
      <c r="V55" s="265"/>
    </row>
    <row r="56" spans="1:22" ht="14.4" customHeight="1">
      <c r="A56" s="265"/>
      <c r="B56" s="13"/>
      <c r="C56" s="756" t="s">
        <v>93</v>
      </c>
      <c r="D56" s="341"/>
      <c r="E56" s="732" t="s">
        <v>22</v>
      </c>
      <c r="F56" s="732"/>
      <c r="G56" s="732"/>
      <c r="H56" s="732"/>
      <c r="I56" s="288"/>
      <c r="J56" s="282" t="s">
        <v>133</v>
      </c>
      <c r="K56" s="288"/>
      <c r="L56" s="282" t="s">
        <v>143</v>
      </c>
      <c r="M56" s="13"/>
      <c r="N56" s="340" t="s">
        <v>79</v>
      </c>
      <c r="O56" s="13"/>
      <c r="P56" s="733" t="s">
        <v>132</v>
      </c>
      <c r="Q56" s="733"/>
      <c r="R56" s="334" t="str">
        <f>IF(E56="","n.d.",VLOOKUP(E56,lista_pod_rodzaj_ruchu_powietrza,4,0))</f>
        <v>wywiew</v>
      </c>
      <c r="S56" s="273"/>
      <c r="T56" s="365">
        <f>IF(Q57&gt;S57,0,1)</f>
        <v>1</v>
      </c>
      <c r="U56" s="266"/>
      <c r="V56" s="265"/>
    </row>
    <row r="57" spans="1:22" ht="14.4" customHeight="1">
      <c r="A57" s="265"/>
      <c r="B57" s="13"/>
      <c r="C57" s="756"/>
      <c r="D57" s="287"/>
      <c r="E57" s="730"/>
      <c r="F57" s="730"/>
      <c r="G57" s="730"/>
      <c r="H57" s="730"/>
      <c r="J57" s="574">
        <v>2.2999999999999998</v>
      </c>
      <c r="L57" s="574">
        <v>4</v>
      </c>
      <c r="M57" s="13"/>
      <c r="N57" s="664">
        <f>L57*J57</f>
        <v>9.1999999999999993</v>
      </c>
      <c r="O57" s="13"/>
      <c r="P57" s="335" t="s">
        <v>333</v>
      </c>
      <c r="Q57" s="335">
        <f>IF(R56="n.d.",0,IF(R56="nawiew",G58*20,VLOOKUP(E56,warunki2,3,0)))</f>
        <v>30</v>
      </c>
      <c r="R57" s="731">
        <f>IF(R56="n.d.",-1,IF(R56="nawiew",0,IF(R56="wywiew",1,IF(R56="naw.wyw.",0.5,2))))</f>
        <v>1</v>
      </c>
      <c r="S57" s="575">
        <f>Q57</f>
        <v>30</v>
      </c>
      <c r="T57" s="335" t="s">
        <v>325</v>
      </c>
      <c r="U57" s="266"/>
      <c r="V57" s="265"/>
    </row>
    <row r="58" spans="1:22" ht="14.4" customHeight="1">
      <c r="A58" s="265"/>
      <c r="B58" s="13"/>
      <c r="C58" s="756"/>
      <c r="D58" s="13"/>
      <c r="E58" s="276" t="s">
        <v>41</v>
      </c>
      <c r="F58" s="625" t="str">
        <f>IF(R56&lt;&gt;"nawiew","n.d.","")</f>
        <v>n.d.</v>
      </c>
      <c r="G58" s="573">
        <f>H23</f>
        <v>4</v>
      </c>
      <c r="H58" s="343"/>
      <c r="I58" s="13"/>
      <c r="J58" s="342" t="s">
        <v>326</v>
      </c>
      <c r="K58" s="13"/>
      <c r="L58" s="342" t="s">
        <v>144</v>
      </c>
      <c r="M58" s="13"/>
      <c r="N58" s="342" t="s">
        <v>327</v>
      </c>
      <c r="O58" s="13"/>
      <c r="P58" s="335" t="s">
        <v>330</v>
      </c>
      <c r="Q58" s="347">
        <f>N57</f>
        <v>9.1999999999999993</v>
      </c>
      <c r="R58" s="731"/>
      <c r="S58" s="13"/>
      <c r="T58" s="343"/>
      <c r="U58" s="266"/>
      <c r="V58" s="265"/>
    </row>
    <row r="59" spans="1:22" ht="13.2" customHeight="1">
      <c r="A59" s="265"/>
      <c r="B59" s="266"/>
      <c r="C59" s="338"/>
      <c r="D59" s="338"/>
      <c r="E59" s="338"/>
      <c r="F59" s="338"/>
      <c r="G59" s="338"/>
      <c r="H59" s="338"/>
      <c r="I59" s="338"/>
      <c r="J59" s="338"/>
      <c r="K59" s="338"/>
      <c r="L59" s="338"/>
      <c r="M59" s="338"/>
      <c r="N59" s="338"/>
      <c r="O59" s="338"/>
      <c r="P59" s="338"/>
      <c r="Q59" s="338"/>
      <c r="R59" s="338"/>
      <c r="S59" s="338"/>
      <c r="T59" s="338"/>
      <c r="U59" s="266"/>
      <c r="V59" s="265"/>
    </row>
    <row r="60" spans="1:22" ht="14.4" hidden="1" customHeight="1">
      <c r="A60" s="265"/>
      <c r="B60" s="266"/>
      <c r="C60" s="358"/>
      <c r="D60" s="358"/>
      <c r="E60" s="358"/>
      <c r="F60" s="358"/>
      <c r="G60" s="358"/>
      <c r="H60" s="358"/>
      <c r="I60" s="358"/>
      <c r="J60" s="265"/>
      <c r="K60" s="265"/>
      <c r="L60" s="265"/>
      <c r="M60" s="265"/>
      <c r="N60" s="265"/>
      <c r="O60" s="265"/>
      <c r="P60" s="265"/>
      <c r="Q60" s="265"/>
      <c r="R60" s="265"/>
      <c r="S60" s="265"/>
      <c r="T60" s="265"/>
      <c r="U60" s="266"/>
      <c r="V60" s="265"/>
    </row>
    <row r="61" spans="1:22" ht="14.4" customHeight="1">
      <c r="A61" s="265"/>
      <c r="B61" s="266"/>
      <c r="C61" s="336"/>
      <c r="D61" s="336"/>
      <c r="E61" s="336"/>
      <c r="F61" s="336"/>
      <c r="G61" s="336"/>
      <c r="H61" s="336"/>
      <c r="I61" s="336"/>
      <c r="J61" s="337"/>
      <c r="K61" s="337"/>
      <c r="L61" s="337"/>
      <c r="M61" s="337"/>
      <c r="N61" s="337"/>
      <c r="O61" s="337"/>
      <c r="P61" s="337"/>
      <c r="Q61" s="337"/>
      <c r="R61" s="337"/>
      <c r="S61" s="337"/>
      <c r="T61" s="337"/>
      <c r="U61" s="266"/>
      <c r="V61" s="265"/>
    </row>
    <row r="62" spans="1:22" ht="14.4" customHeight="1">
      <c r="A62" s="265"/>
      <c r="B62" s="13"/>
      <c r="C62" s="756" t="s">
        <v>94</v>
      </c>
      <c r="D62" s="341"/>
      <c r="E62" s="732" t="s">
        <v>38</v>
      </c>
      <c r="F62" s="732"/>
      <c r="G62" s="732"/>
      <c r="H62" s="732"/>
      <c r="I62" s="288"/>
      <c r="J62" s="282" t="s">
        <v>133</v>
      </c>
      <c r="K62" s="288"/>
      <c r="L62" s="282" t="s">
        <v>143</v>
      </c>
      <c r="M62" s="13"/>
      <c r="N62" s="340" t="s">
        <v>79</v>
      </c>
      <c r="O62" s="13"/>
      <c r="P62" s="733" t="s">
        <v>132</v>
      </c>
      <c r="Q62" s="733"/>
      <c r="R62" s="334" t="str">
        <f>IF(E62="","n.d.",VLOOKUP(E62,lista_pod_rodzaj_ruchu_powietrza,4,0))</f>
        <v>nawiew</v>
      </c>
      <c r="S62" s="273"/>
      <c r="T62" s="365">
        <f>IF(Q63&gt;S63,0,1)</f>
        <v>1</v>
      </c>
      <c r="U62" s="266"/>
      <c r="V62" s="265"/>
    </row>
    <row r="63" spans="1:22" ht="14.4" customHeight="1">
      <c r="A63" s="265"/>
      <c r="B63" s="13"/>
      <c r="C63" s="756"/>
      <c r="D63" s="287"/>
      <c r="E63" s="730"/>
      <c r="F63" s="730"/>
      <c r="G63" s="730"/>
      <c r="H63" s="730"/>
      <c r="I63" s="342"/>
      <c r="J63" s="574">
        <v>9.1999999999999993</v>
      </c>
      <c r="L63" s="574">
        <v>2.8</v>
      </c>
      <c r="M63" s="13"/>
      <c r="N63" s="664">
        <f>L63*J63</f>
        <v>25.759999999999998</v>
      </c>
      <c r="O63" s="13"/>
      <c r="P63" s="335" t="s">
        <v>333</v>
      </c>
      <c r="Q63" s="335">
        <f>IF(R62="n.d.",0,IF(R62="nawiew",G64*20,VLOOKUP(E62,warunki2,3,0)))</f>
        <v>20</v>
      </c>
      <c r="R63" s="731">
        <f>IF(R62="n.d.",-1,IF(R62="nawiew",0,IF(R62="wywiew",1,IF(R62="naw.wyw.",0.5,2))))</f>
        <v>0</v>
      </c>
      <c r="S63" s="598">
        <v>30</v>
      </c>
      <c r="T63" s="335" t="s">
        <v>325</v>
      </c>
      <c r="U63" s="266"/>
      <c r="V63" s="265"/>
    </row>
    <row r="64" spans="1:22" ht="14.4" customHeight="1">
      <c r="A64" s="265"/>
      <c r="B64" s="13"/>
      <c r="C64" s="756"/>
      <c r="D64" s="13"/>
      <c r="E64" s="276" t="s">
        <v>41</v>
      </c>
      <c r="F64" s="625" t="str">
        <f>IF(R62&lt;&gt;"nawiew","n.d.","")</f>
        <v/>
      </c>
      <c r="G64" s="573">
        <v>1</v>
      </c>
      <c r="H64" s="343"/>
      <c r="I64" s="13"/>
      <c r="J64" s="342" t="s">
        <v>326</v>
      </c>
      <c r="K64" s="13"/>
      <c r="L64" s="342" t="s">
        <v>144</v>
      </c>
      <c r="M64" s="13"/>
      <c r="N64" s="342" t="s">
        <v>327</v>
      </c>
      <c r="O64" s="13"/>
      <c r="P64" s="335" t="s">
        <v>330</v>
      </c>
      <c r="Q64" s="347">
        <f>N63</f>
        <v>25.759999999999998</v>
      </c>
      <c r="R64" s="731"/>
      <c r="S64" s="13"/>
      <c r="T64" s="343"/>
      <c r="U64" s="266"/>
      <c r="V64" s="265"/>
    </row>
    <row r="65" spans="1:22" ht="13.2" customHeight="1">
      <c r="A65" s="265"/>
      <c r="B65" s="266"/>
      <c r="C65" s="338"/>
      <c r="D65" s="338"/>
      <c r="E65" s="338"/>
      <c r="F65" s="338"/>
      <c r="G65" s="338"/>
      <c r="H65" s="338"/>
      <c r="I65" s="338"/>
      <c r="J65" s="338"/>
      <c r="K65" s="338"/>
      <c r="L65" s="338"/>
      <c r="M65" s="338"/>
      <c r="N65" s="338"/>
      <c r="O65" s="338"/>
      <c r="P65" s="338"/>
      <c r="Q65" s="338"/>
      <c r="R65" s="338"/>
      <c r="S65" s="338"/>
      <c r="T65" s="338"/>
      <c r="U65" s="266"/>
      <c r="V65" s="265"/>
    </row>
    <row r="66" spans="1:22" ht="14.4" hidden="1" customHeight="1">
      <c r="A66" s="265"/>
      <c r="B66" s="266"/>
      <c r="C66" s="358"/>
      <c r="D66" s="358"/>
      <c r="E66" s="358"/>
      <c r="F66" s="358"/>
      <c r="G66" s="358"/>
      <c r="H66" s="358"/>
      <c r="I66" s="358"/>
      <c r="J66" s="265"/>
      <c r="K66" s="265"/>
      <c r="L66" s="265"/>
      <c r="M66" s="265"/>
      <c r="N66" s="265"/>
      <c r="O66" s="265"/>
      <c r="P66" s="265"/>
      <c r="Q66" s="265"/>
      <c r="R66" s="265"/>
      <c r="S66" s="265"/>
      <c r="T66" s="265"/>
      <c r="U66" s="266"/>
      <c r="V66" s="265"/>
    </row>
    <row r="67" spans="1:22" ht="14.4" customHeight="1">
      <c r="A67" s="265"/>
      <c r="B67" s="266"/>
      <c r="C67" s="336"/>
      <c r="D67" s="336"/>
      <c r="E67" s="683"/>
      <c r="F67" s="336"/>
      <c r="G67" s="336"/>
      <c r="H67" s="336"/>
      <c r="I67" s="336"/>
      <c r="J67" s="337"/>
      <c r="K67" s="337"/>
      <c r="L67" s="337"/>
      <c r="M67" s="337"/>
      <c r="N67" s="337"/>
      <c r="O67" s="337"/>
      <c r="P67" s="337"/>
      <c r="Q67" s="337"/>
      <c r="R67" s="337"/>
      <c r="S67" s="337"/>
      <c r="T67" s="337"/>
      <c r="U67" s="266"/>
      <c r="V67" s="265"/>
    </row>
    <row r="68" spans="1:22" ht="14.4" customHeight="1">
      <c r="A68" s="265"/>
      <c r="B68" s="13"/>
      <c r="C68" s="756" t="s">
        <v>95</v>
      </c>
      <c r="D68" s="341"/>
      <c r="E68" s="732" t="s">
        <v>26</v>
      </c>
      <c r="F68" s="732"/>
      <c r="G68" s="732"/>
      <c r="H68" s="732"/>
      <c r="I68" s="288"/>
      <c r="J68" s="282" t="s">
        <v>133</v>
      </c>
      <c r="K68" s="288"/>
      <c r="L68" s="282" t="s">
        <v>143</v>
      </c>
      <c r="M68" s="13"/>
      <c r="N68" s="340" t="s">
        <v>79</v>
      </c>
      <c r="O68" s="13"/>
      <c r="P68" s="733" t="s">
        <v>132</v>
      </c>
      <c r="Q68" s="733"/>
      <c r="R68" s="334" t="str">
        <f>IF(E68="","n.d.",VLOOKUP(E68,lista_pod_rodzaj_ruchu_powietrza,4,0))</f>
        <v>wywiew</v>
      </c>
      <c r="S68" s="273"/>
      <c r="T68" s="365">
        <f>IF(Q69&gt;S69,0,1)</f>
        <v>1</v>
      </c>
      <c r="U68" s="266"/>
      <c r="V68" s="265"/>
    </row>
    <row r="69" spans="1:22" ht="14.4" customHeight="1">
      <c r="A69" s="265"/>
      <c r="B69" s="13"/>
      <c r="C69" s="756"/>
      <c r="D69" s="287"/>
      <c r="E69" s="730"/>
      <c r="F69" s="730"/>
      <c r="G69" s="730"/>
      <c r="H69" s="730"/>
      <c r="I69" s="342"/>
      <c r="J69" s="574">
        <v>7.6</v>
      </c>
      <c r="L69" s="574">
        <v>2.7</v>
      </c>
      <c r="M69" s="13"/>
      <c r="N69" s="664">
        <f>L69*J69</f>
        <v>20.52</v>
      </c>
      <c r="O69" s="13"/>
      <c r="P69" s="335" t="s">
        <v>333</v>
      </c>
      <c r="Q69" s="335">
        <f>IF(R68="n.d.",0,IF(R68="nawiew",G70*20,VLOOKUP(E68,warunki2,3,0)))</f>
        <v>15</v>
      </c>
      <c r="R69" s="731">
        <f>IF(R68="n.d.",-1,IF(R68="nawiew",0,IF(R68="wywiew",1,IF(R68="naw.wyw.",0.5,2))))</f>
        <v>1</v>
      </c>
      <c r="S69" s="598">
        <f>Q69</f>
        <v>15</v>
      </c>
      <c r="T69" s="335" t="s">
        <v>325</v>
      </c>
      <c r="U69" s="266"/>
      <c r="V69" s="265"/>
    </row>
    <row r="70" spans="1:22" ht="14.4" customHeight="1">
      <c r="A70" s="265"/>
      <c r="B70" s="13"/>
      <c r="C70" s="756"/>
      <c r="D70" s="13"/>
      <c r="E70" s="276" t="s">
        <v>41</v>
      </c>
      <c r="F70" s="625" t="str">
        <f>IF(R68&lt;&gt;"nawiew","n.d.","")</f>
        <v>n.d.</v>
      </c>
      <c r="G70" s="573">
        <f>H23</f>
        <v>4</v>
      </c>
      <c r="H70" s="343"/>
      <c r="I70" s="13"/>
      <c r="J70" s="342" t="s">
        <v>326</v>
      </c>
      <c r="K70" s="13"/>
      <c r="L70" s="342" t="s">
        <v>144</v>
      </c>
      <c r="M70" s="13"/>
      <c r="N70" s="342" t="s">
        <v>327</v>
      </c>
      <c r="O70" s="13"/>
      <c r="P70" s="335" t="s">
        <v>330</v>
      </c>
      <c r="Q70" s="347">
        <f>N69</f>
        <v>20.52</v>
      </c>
      <c r="R70" s="731"/>
      <c r="S70" s="13"/>
      <c r="T70" s="343"/>
      <c r="U70" s="266"/>
      <c r="V70" s="265"/>
    </row>
    <row r="71" spans="1:22" ht="14.4" customHeight="1">
      <c r="A71" s="265"/>
      <c r="B71" s="266"/>
      <c r="C71" s="338"/>
      <c r="D71" s="338"/>
      <c r="E71" s="338"/>
      <c r="F71" s="338"/>
      <c r="G71" s="338"/>
      <c r="H71" s="338"/>
      <c r="I71" s="338"/>
      <c r="J71" s="338"/>
      <c r="K71" s="338"/>
      <c r="L71" s="338"/>
      <c r="M71" s="338"/>
      <c r="N71" s="338"/>
      <c r="O71" s="338"/>
      <c r="P71" s="338"/>
      <c r="Q71" s="338"/>
      <c r="R71" s="338"/>
      <c r="S71" s="338"/>
      <c r="T71" s="338"/>
      <c r="U71" s="266"/>
      <c r="V71" s="265"/>
    </row>
    <row r="72" spans="1:22" ht="14.4" hidden="1" customHeight="1">
      <c r="A72" s="265"/>
      <c r="B72" s="266"/>
      <c r="C72" s="358"/>
      <c r="D72" s="358"/>
      <c r="E72" s="358"/>
      <c r="F72" s="358"/>
      <c r="G72" s="358"/>
      <c r="H72" s="358"/>
      <c r="I72" s="358"/>
      <c r="J72" s="265"/>
      <c r="K72" s="265"/>
      <c r="L72" s="265"/>
      <c r="M72" s="265"/>
      <c r="N72" s="265"/>
      <c r="O72" s="265"/>
      <c r="P72" s="265"/>
      <c r="Q72" s="265"/>
      <c r="R72" s="265"/>
      <c r="S72" s="265"/>
      <c r="T72" s="265"/>
      <c r="U72" s="266"/>
      <c r="V72" s="265"/>
    </row>
    <row r="73" spans="1:22" ht="14.4" customHeight="1">
      <c r="A73" s="265"/>
      <c r="B73" s="266"/>
      <c r="C73" s="336"/>
      <c r="D73" s="336"/>
      <c r="E73" s="336"/>
      <c r="F73" s="336"/>
      <c r="G73" s="336"/>
      <c r="H73" s="336"/>
      <c r="I73" s="336"/>
      <c r="J73" s="337"/>
      <c r="K73" s="337"/>
      <c r="L73" s="337"/>
      <c r="M73" s="337"/>
      <c r="N73" s="337"/>
      <c r="O73" s="337"/>
      <c r="P73" s="337"/>
      <c r="Q73" s="337"/>
      <c r="R73" s="337"/>
      <c r="S73" s="337"/>
      <c r="T73" s="337"/>
      <c r="U73" s="266"/>
      <c r="V73" s="265"/>
    </row>
    <row r="74" spans="1:22" ht="14.4" customHeight="1">
      <c r="A74" s="265"/>
      <c r="B74" s="13"/>
      <c r="C74" s="756" t="s">
        <v>96</v>
      </c>
      <c r="D74" s="341"/>
      <c r="E74" s="732" t="s">
        <v>629</v>
      </c>
      <c r="F74" s="732"/>
      <c r="G74" s="732"/>
      <c r="H74" s="732"/>
      <c r="I74" s="288"/>
      <c r="J74" s="282" t="s">
        <v>133</v>
      </c>
      <c r="K74" s="288"/>
      <c r="L74" s="282" t="s">
        <v>143</v>
      </c>
      <c r="M74" s="13"/>
      <c r="N74" s="340" t="s">
        <v>79</v>
      </c>
      <c r="O74" s="13"/>
      <c r="P74" s="733" t="s">
        <v>132</v>
      </c>
      <c r="Q74" s="733"/>
      <c r="R74" s="334" t="str">
        <f>IF(E74="","n.d.",VLOOKUP(E74,lista_pod_rodzaj_ruchu_powietrza,4,0))</f>
        <v>nawiew</v>
      </c>
      <c r="S74" s="273"/>
      <c r="T74" s="365">
        <f>IF(Q75&gt;S75,0,1)</f>
        <v>1</v>
      </c>
      <c r="U74" s="266"/>
      <c r="V74" s="265"/>
    </row>
    <row r="75" spans="1:22" ht="14.4" customHeight="1">
      <c r="A75" s="265"/>
      <c r="B75" s="13"/>
      <c r="C75" s="756"/>
      <c r="D75" s="287"/>
      <c r="E75" s="730"/>
      <c r="F75" s="730"/>
      <c r="G75" s="730"/>
      <c r="H75" s="730"/>
      <c r="I75" s="342"/>
      <c r="J75" s="574">
        <v>7.6</v>
      </c>
      <c r="L75" s="574">
        <v>2.7</v>
      </c>
      <c r="M75" s="13"/>
      <c r="N75" s="664">
        <f>L75*J75</f>
        <v>20.52</v>
      </c>
      <c r="O75" s="13"/>
      <c r="P75" s="335" t="s">
        <v>333</v>
      </c>
      <c r="Q75" s="335">
        <f>IF(R74="n.d.",0,IF(R74="nawiew",G76*20,VLOOKUP(E74,warunki2,3,0)))</f>
        <v>20</v>
      </c>
      <c r="R75" s="731">
        <f>IF(R74="n.d.",-1,IF(R74="nawiew",0,IF(R74="wywiew",1,IF(R74="naw.wyw.",0.5,2))))</f>
        <v>0</v>
      </c>
      <c r="S75" s="598">
        <f>Q75</f>
        <v>20</v>
      </c>
      <c r="T75" s="335" t="s">
        <v>325</v>
      </c>
      <c r="U75" s="266"/>
      <c r="V75" s="265"/>
    </row>
    <row r="76" spans="1:22" ht="14.4" customHeight="1">
      <c r="A76" s="265"/>
      <c r="B76" s="13"/>
      <c r="C76" s="756"/>
      <c r="D76" s="13"/>
      <c r="E76" s="276" t="s">
        <v>41</v>
      </c>
      <c r="F76" s="625" t="str">
        <f>IF(R74&lt;&gt;"nawiew","n.d.","")</f>
        <v/>
      </c>
      <c r="G76" s="573">
        <v>1</v>
      </c>
      <c r="H76" s="343"/>
      <c r="I76" s="13"/>
      <c r="J76" s="342" t="s">
        <v>326</v>
      </c>
      <c r="K76" s="13"/>
      <c r="L76" s="342" t="s">
        <v>144</v>
      </c>
      <c r="M76" s="13"/>
      <c r="N76" s="342" t="s">
        <v>327</v>
      </c>
      <c r="O76" s="13"/>
      <c r="P76" s="335" t="s">
        <v>330</v>
      </c>
      <c r="Q76" s="347">
        <f>N75</f>
        <v>20.52</v>
      </c>
      <c r="R76" s="731"/>
      <c r="S76" s="13"/>
      <c r="T76" s="343"/>
      <c r="U76" s="266"/>
      <c r="V76" s="265"/>
    </row>
    <row r="77" spans="1:22" ht="14.4" customHeight="1">
      <c r="A77" s="265"/>
      <c r="B77" s="266"/>
      <c r="C77" s="338"/>
      <c r="D77" s="338"/>
      <c r="E77" s="338"/>
      <c r="F77" s="338"/>
      <c r="G77" s="338"/>
      <c r="H77" s="338"/>
      <c r="I77" s="338"/>
      <c r="J77" s="338"/>
      <c r="K77" s="338"/>
      <c r="L77" s="338"/>
      <c r="M77" s="338"/>
      <c r="N77" s="338"/>
      <c r="O77" s="338"/>
      <c r="P77" s="338"/>
      <c r="Q77" s="338"/>
      <c r="R77" s="338"/>
      <c r="S77" s="338"/>
      <c r="T77" s="338"/>
      <c r="U77" s="266"/>
      <c r="V77" s="265"/>
    </row>
    <row r="78" spans="1:22" ht="14.4" hidden="1" customHeight="1">
      <c r="A78" s="265"/>
      <c r="B78" s="266"/>
      <c r="C78" s="358"/>
      <c r="D78" s="358"/>
      <c r="E78" s="358"/>
      <c r="F78" s="358"/>
      <c r="G78" s="358"/>
      <c r="H78" s="358"/>
      <c r="I78" s="358"/>
      <c r="J78" s="265"/>
      <c r="K78" s="265"/>
      <c r="L78" s="265"/>
      <c r="M78" s="265"/>
      <c r="N78" s="265"/>
      <c r="O78" s="265"/>
      <c r="P78" s="265"/>
      <c r="Q78" s="265"/>
      <c r="R78" s="265"/>
      <c r="S78" s="265"/>
      <c r="T78" s="265"/>
      <c r="U78" s="266"/>
      <c r="V78" s="265"/>
    </row>
    <row r="79" spans="1:22" ht="14.4" customHeight="1">
      <c r="A79" s="265"/>
      <c r="B79" s="266"/>
      <c r="C79" s="336"/>
      <c r="D79" s="336"/>
      <c r="E79" s="336"/>
      <c r="F79" s="336"/>
      <c r="G79" s="336"/>
      <c r="H79" s="336"/>
      <c r="I79" s="336"/>
      <c r="J79" s="337"/>
      <c r="K79" s="337"/>
      <c r="L79" s="337"/>
      <c r="M79" s="337"/>
      <c r="N79" s="337"/>
      <c r="O79" s="337"/>
      <c r="P79" s="337"/>
      <c r="Q79" s="337"/>
      <c r="R79" s="337"/>
      <c r="S79" s="337"/>
      <c r="T79" s="337"/>
      <c r="U79" s="266"/>
      <c r="V79" s="265"/>
    </row>
    <row r="80" spans="1:22" ht="14.4" customHeight="1">
      <c r="A80" s="265"/>
      <c r="B80" s="13"/>
      <c r="C80" s="756" t="s">
        <v>97</v>
      </c>
      <c r="D80" s="341"/>
      <c r="E80" s="732" t="s">
        <v>39</v>
      </c>
      <c r="F80" s="732"/>
      <c r="G80" s="732"/>
      <c r="H80" s="732"/>
      <c r="I80" s="288"/>
      <c r="J80" s="282" t="s">
        <v>133</v>
      </c>
      <c r="K80" s="288"/>
      <c r="L80" s="282" t="s">
        <v>143</v>
      </c>
      <c r="M80" s="13"/>
      <c r="N80" s="340" t="s">
        <v>79</v>
      </c>
      <c r="O80" s="13"/>
      <c r="P80" s="733" t="s">
        <v>132</v>
      </c>
      <c r="Q80" s="733"/>
      <c r="R80" s="334" t="str">
        <f>IF(E80="","n.d.",VLOOKUP(E80,lista_pod_rodzaj_ruchu_powietrza,4,0))</f>
        <v>nawiew</v>
      </c>
      <c r="S80" s="273"/>
      <c r="T80" s="365">
        <f>IF(Q81&gt;S81,0,1)</f>
        <v>1</v>
      </c>
      <c r="U80" s="266"/>
      <c r="V80" s="265"/>
    </row>
    <row r="81" spans="1:22" ht="14.4" customHeight="1">
      <c r="A81" s="265"/>
      <c r="B81" s="13"/>
      <c r="C81" s="756"/>
      <c r="D81" s="287"/>
      <c r="E81" s="730"/>
      <c r="F81" s="730"/>
      <c r="G81" s="730"/>
      <c r="H81" s="730"/>
      <c r="I81" s="342"/>
      <c r="J81" s="574">
        <v>16.7</v>
      </c>
      <c r="L81" s="574">
        <v>2.7</v>
      </c>
      <c r="M81" s="13"/>
      <c r="N81" s="664">
        <f>L81*J81</f>
        <v>45.09</v>
      </c>
      <c r="O81" s="13"/>
      <c r="P81" s="335" t="s">
        <v>333</v>
      </c>
      <c r="Q81" s="335">
        <f>IF(R80="n.d.",0,IF(R80="nawiew",G82*20,VLOOKUP(E80,warunki2,3,0)))</f>
        <v>40</v>
      </c>
      <c r="R81" s="731">
        <f>IF(R80="n.d.",-1,IF(R80="nawiew",0,IF(R80="wywiew",1,IF(R80="naw.wyw.",0.5,2))))</f>
        <v>0</v>
      </c>
      <c r="S81" s="598">
        <v>60</v>
      </c>
      <c r="T81" s="335" t="s">
        <v>325</v>
      </c>
      <c r="U81" s="266"/>
      <c r="V81" s="265"/>
    </row>
    <row r="82" spans="1:22" ht="14.4" customHeight="1">
      <c r="A82" s="265"/>
      <c r="B82" s="13"/>
      <c r="C82" s="756"/>
      <c r="D82" s="13"/>
      <c r="E82" s="276" t="s">
        <v>41</v>
      </c>
      <c r="F82" s="625" t="str">
        <f>IF(R80&lt;&gt;"nawiew","n.d.","")</f>
        <v/>
      </c>
      <c r="G82" s="573">
        <v>2</v>
      </c>
      <c r="H82" s="343"/>
      <c r="I82" s="13"/>
      <c r="J82" s="342" t="s">
        <v>326</v>
      </c>
      <c r="K82" s="13"/>
      <c r="L82" s="342" t="s">
        <v>144</v>
      </c>
      <c r="M82" s="13"/>
      <c r="N82" s="342" t="s">
        <v>327</v>
      </c>
      <c r="O82" s="13"/>
      <c r="P82" s="335" t="s">
        <v>330</v>
      </c>
      <c r="Q82" s="347">
        <f>N81</f>
        <v>45.09</v>
      </c>
      <c r="R82" s="731"/>
      <c r="S82" s="13"/>
      <c r="T82" s="343"/>
      <c r="U82" s="266"/>
      <c r="V82" s="265"/>
    </row>
    <row r="83" spans="1:22" ht="13.95" customHeight="1">
      <c r="A83" s="265"/>
      <c r="B83" s="266"/>
      <c r="C83" s="338"/>
      <c r="D83" s="338"/>
      <c r="E83" s="338"/>
      <c r="F83" s="338"/>
      <c r="G83" s="338"/>
      <c r="H83" s="338"/>
      <c r="I83" s="338"/>
      <c r="J83" s="338"/>
      <c r="K83" s="338"/>
      <c r="L83" s="338"/>
      <c r="M83" s="338"/>
      <c r="N83" s="338"/>
      <c r="O83" s="338"/>
      <c r="P83" s="338"/>
      <c r="Q83" s="338"/>
      <c r="R83" s="338"/>
      <c r="S83" s="338"/>
      <c r="T83" s="338"/>
      <c r="U83" s="266"/>
      <c r="V83" s="265"/>
    </row>
    <row r="84" spans="1:22" ht="14.4" hidden="1" customHeight="1">
      <c r="A84" s="265"/>
      <c r="B84" s="266"/>
      <c r="C84" s="358"/>
      <c r="D84" s="358"/>
      <c r="E84" s="358"/>
      <c r="F84" s="358"/>
      <c r="G84" s="358"/>
      <c r="H84" s="358"/>
      <c r="I84" s="358"/>
      <c r="J84" s="265"/>
      <c r="K84" s="265"/>
      <c r="L84" s="265"/>
      <c r="M84" s="265"/>
      <c r="N84" s="265"/>
      <c r="O84" s="265"/>
      <c r="P84" s="265"/>
      <c r="Q84" s="265"/>
      <c r="R84" s="265"/>
      <c r="S84" s="265"/>
      <c r="T84" s="265"/>
      <c r="U84" s="266"/>
      <c r="V84" s="265"/>
    </row>
    <row r="85" spans="1:22" ht="14.4" customHeight="1">
      <c r="A85" s="265"/>
      <c r="B85" s="266"/>
      <c r="C85" s="336"/>
      <c r="D85" s="336"/>
      <c r="E85" s="336"/>
      <c r="F85" s="336"/>
      <c r="G85" s="336"/>
      <c r="H85" s="336"/>
      <c r="I85" s="336"/>
      <c r="J85" s="337"/>
      <c r="K85" s="337"/>
      <c r="L85" s="337"/>
      <c r="M85" s="337"/>
      <c r="N85" s="337"/>
      <c r="O85" s="337"/>
      <c r="P85" s="337"/>
      <c r="Q85" s="337"/>
      <c r="R85" s="337"/>
      <c r="S85" s="337"/>
      <c r="T85" s="337"/>
      <c r="U85" s="266"/>
      <c r="V85" s="265"/>
    </row>
    <row r="86" spans="1:22" ht="14.4" customHeight="1">
      <c r="A86" s="265"/>
      <c r="B86" s="13"/>
      <c r="C86" s="756" t="s">
        <v>98</v>
      </c>
      <c r="D86" s="341"/>
      <c r="E86" s="732" t="s">
        <v>122</v>
      </c>
      <c r="F86" s="732"/>
      <c r="G86" s="732"/>
      <c r="H86" s="732"/>
      <c r="I86" s="288"/>
      <c r="J86" s="282" t="s">
        <v>133</v>
      </c>
      <c r="K86" s="288"/>
      <c r="L86" s="282" t="s">
        <v>143</v>
      </c>
      <c r="M86" s="13"/>
      <c r="N86" s="340" t="s">
        <v>79</v>
      </c>
      <c r="O86" s="13"/>
      <c r="P86" s="733" t="s">
        <v>132</v>
      </c>
      <c r="Q86" s="733"/>
      <c r="R86" s="334" t="str">
        <f>IF(E86="","n.d.",VLOOKUP(E86,lista_pod_rodzaj_ruchu_powietrza,4,0))</f>
        <v>wywiew</v>
      </c>
      <c r="S86" s="273"/>
      <c r="T86" s="365">
        <f>IF(Q87&gt;S87,0,1)</f>
        <v>1</v>
      </c>
      <c r="U86" s="266"/>
      <c r="V86" s="265"/>
    </row>
    <row r="87" spans="1:22" ht="14.4" customHeight="1">
      <c r="A87" s="265"/>
      <c r="B87" s="13"/>
      <c r="C87" s="756"/>
      <c r="D87" s="287"/>
      <c r="E87" s="730"/>
      <c r="F87" s="730"/>
      <c r="G87" s="730"/>
      <c r="H87" s="730"/>
      <c r="I87" s="342"/>
      <c r="J87" s="574">
        <v>8.6</v>
      </c>
      <c r="L87" s="574">
        <v>2.7</v>
      </c>
      <c r="M87" s="13"/>
      <c r="N87" s="664">
        <f>L87*J87</f>
        <v>23.22</v>
      </c>
      <c r="O87" s="13"/>
      <c r="P87" s="335" t="s">
        <v>333</v>
      </c>
      <c r="Q87" s="335">
        <f>IF(R86="n.d.",0,IF(R86="nawiew",G88*20,VLOOKUP(E86,warunki2,3,0)))</f>
        <v>15</v>
      </c>
      <c r="R87" s="731">
        <f>IF(R86="n.d.",-1,IF(R86="nawiew",0,IF(R86="wywiew",1,IF(R86="naw.wyw.",0.5,2))))</f>
        <v>1</v>
      </c>
      <c r="S87" s="598">
        <v>30</v>
      </c>
      <c r="T87" s="335" t="s">
        <v>325</v>
      </c>
      <c r="U87" s="266"/>
      <c r="V87" s="265"/>
    </row>
    <row r="88" spans="1:22" ht="14.4" customHeight="1">
      <c r="A88" s="265"/>
      <c r="B88" s="13"/>
      <c r="C88" s="756"/>
      <c r="D88" s="13"/>
      <c r="E88" s="276" t="s">
        <v>41</v>
      </c>
      <c r="F88" s="625" t="str">
        <f>IF(R86&lt;&gt;"nawiew","n.d.","")</f>
        <v>n.d.</v>
      </c>
      <c r="G88" s="573">
        <v>2</v>
      </c>
      <c r="H88" s="343"/>
      <c r="I88" s="13"/>
      <c r="J88" s="342" t="s">
        <v>326</v>
      </c>
      <c r="K88" s="13"/>
      <c r="L88" s="342" t="s">
        <v>144</v>
      </c>
      <c r="M88" s="13"/>
      <c r="N88" s="342" t="s">
        <v>327</v>
      </c>
      <c r="O88" s="13"/>
      <c r="P88" s="335" t="s">
        <v>330</v>
      </c>
      <c r="Q88" s="347">
        <f>N87</f>
        <v>23.22</v>
      </c>
      <c r="R88" s="731"/>
      <c r="S88" s="13"/>
      <c r="T88" s="343"/>
      <c r="U88" s="266"/>
      <c r="V88" s="265"/>
    </row>
    <row r="89" spans="1:22" ht="14.4" customHeight="1">
      <c r="A89" s="265"/>
      <c r="B89" s="266"/>
      <c r="C89" s="338"/>
      <c r="D89" s="338"/>
      <c r="E89" s="338"/>
      <c r="F89" s="338"/>
      <c r="G89" s="338"/>
      <c r="H89" s="338"/>
      <c r="I89" s="338"/>
      <c r="J89" s="338"/>
      <c r="K89" s="338"/>
      <c r="L89" s="338"/>
      <c r="M89" s="338"/>
      <c r="N89" s="338"/>
      <c r="O89" s="338"/>
      <c r="P89" s="338"/>
      <c r="Q89" s="338"/>
      <c r="R89" s="338"/>
      <c r="S89" s="338"/>
      <c r="T89" s="338"/>
      <c r="U89" s="266"/>
      <c r="V89" s="265"/>
    </row>
    <row r="90" spans="1:22" ht="14.4" hidden="1" customHeight="1">
      <c r="A90" s="265"/>
      <c r="B90" s="266"/>
      <c r="C90" s="290"/>
      <c r="D90" s="290"/>
      <c r="E90" s="290"/>
      <c r="F90" s="290"/>
      <c r="G90" s="290"/>
      <c r="H90" s="290"/>
      <c r="I90" s="290"/>
      <c r="J90" s="266"/>
      <c r="K90" s="266"/>
      <c r="L90" s="266"/>
      <c r="M90" s="266"/>
      <c r="N90" s="266"/>
      <c r="O90" s="266"/>
      <c r="P90" s="266"/>
      <c r="Q90" s="266"/>
      <c r="R90" s="266"/>
      <c r="S90" s="266"/>
      <c r="T90" s="266"/>
      <c r="U90" s="266"/>
      <c r="V90" s="265"/>
    </row>
    <row r="91" spans="1:22" ht="14.4" customHeight="1">
      <c r="A91" s="265"/>
      <c r="B91" s="266"/>
      <c r="C91" s="336"/>
      <c r="D91" s="336"/>
      <c r="E91" s="336"/>
      <c r="F91" s="336"/>
      <c r="G91" s="336"/>
      <c r="H91" s="336"/>
      <c r="I91" s="336"/>
      <c r="J91" s="337"/>
      <c r="K91" s="337"/>
      <c r="L91" s="337"/>
      <c r="M91" s="337"/>
      <c r="N91" s="337"/>
      <c r="O91" s="337"/>
      <c r="P91" s="337"/>
      <c r="Q91" s="337"/>
      <c r="R91" s="337"/>
      <c r="S91" s="337"/>
      <c r="T91" s="337"/>
      <c r="U91" s="266"/>
      <c r="V91" s="265"/>
    </row>
    <row r="92" spans="1:22" ht="14.4" customHeight="1">
      <c r="A92" s="265"/>
      <c r="B92" s="13"/>
      <c r="C92" s="756" t="s">
        <v>99</v>
      </c>
      <c r="D92" s="341"/>
      <c r="E92" s="732" t="s">
        <v>21</v>
      </c>
      <c r="F92" s="732"/>
      <c r="G92" s="732"/>
      <c r="H92" s="732"/>
      <c r="I92" s="288"/>
      <c r="J92" s="282" t="s">
        <v>133</v>
      </c>
      <c r="K92" s="288"/>
      <c r="L92" s="282" t="s">
        <v>143</v>
      </c>
      <c r="M92" s="13"/>
      <c r="N92" s="340" t="s">
        <v>79</v>
      </c>
      <c r="O92" s="13"/>
      <c r="P92" s="733" t="s">
        <v>132</v>
      </c>
      <c r="Q92" s="733"/>
      <c r="R92" s="334" t="str">
        <f>IF(E92="","n.d.",VLOOKUP(E92,lista_pod_rodzaj_ruchu_powietrza,4,0))</f>
        <v>wywiew</v>
      </c>
      <c r="S92" s="273"/>
      <c r="T92" s="365">
        <f>IF(Q93&gt;S93,0,1)</f>
        <v>1</v>
      </c>
      <c r="U92" s="266"/>
      <c r="V92" s="265"/>
    </row>
    <row r="93" spans="1:22" ht="14.4" customHeight="1">
      <c r="A93" s="265"/>
      <c r="B93" s="13"/>
      <c r="C93" s="756"/>
      <c r="D93" s="287"/>
      <c r="E93" s="730"/>
      <c r="F93" s="730"/>
      <c r="G93" s="730"/>
      <c r="H93" s="730"/>
      <c r="I93" s="342"/>
      <c r="J93" s="574">
        <v>6.4</v>
      </c>
      <c r="L93" s="574">
        <v>2.7</v>
      </c>
      <c r="M93" s="13"/>
      <c r="N93" s="664">
        <f>L93*J93</f>
        <v>17.28</v>
      </c>
      <c r="O93" s="13"/>
      <c r="P93" s="335" t="s">
        <v>333</v>
      </c>
      <c r="Q93" s="335">
        <f>IF(R92="n.d.",0,IF(R92="nawiew",G94*20,VLOOKUP(E92,warunki2,3,0)))</f>
        <v>50</v>
      </c>
      <c r="R93" s="731">
        <f>IF(R92="n.d.",-1,IF(R92="nawiew",0,IF(R92="wywiew",1,IF(R92="naw.wyw.",0.5,2))))</f>
        <v>1</v>
      </c>
      <c r="S93" s="598">
        <v>55</v>
      </c>
      <c r="T93" s="335" t="s">
        <v>325</v>
      </c>
      <c r="U93" s="266"/>
      <c r="V93" s="265"/>
    </row>
    <row r="94" spans="1:22" ht="14.4" customHeight="1">
      <c r="A94" s="265"/>
      <c r="B94" s="13"/>
      <c r="C94" s="756"/>
      <c r="D94" s="13"/>
      <c r="E94" s="276" t="s">
        <v>41</v>
      </c>
      <c r="F94" s="625" t="str">
        <f>IF(R92&lt;&gt;"nawiew","n.d.","")</f>
        <v>n.d.</v>
      </c>
      <c r="G94" s="573">
        <f>H23</f>
        <v>4</v>
      </c>
      <c r="H94" s="343"/>
      <c r="I94" s="13"/>
      <c r="J94" s="342" t="s">
        <v>326</v>
      </c>
      <c r="K94" s="13"/>
      <c r="L94" s="342" t="s">
        <v>144</v>
      </c>
      <c r="M94" s="13"/>
      <c r="N94" s="342" t="s">
        <v>327</v>
      </c>
      <c r="O94" s="13"/>
      <c r="P94" s="335" t="s">
        <v>330</v>
      </c>
      <c r="Q94" s="347">
        <f>N93</f>
        <v>17.28</v>
      </c>
      <c r="R94" s="731"/>
      <c r="S94" s="13"/>
      <c r="T94" s="343"/>
      <c r="U94" s="266"/>
      <c r="V94" s="265"/>
    </row>
    <row r="95" spans="1:22" ht="13.95" customHeight="1">
      <c r="A95" s="265"/>
      <c r="B95" s="266"/>
      <c r="C95" s="338"/>
      <c r="D95" s="338"/>
      <c r="E95" s="338"/>
      <c r="F95" s="338"/>
      <c r="G95" s="338"/>
      <c r="H95" s="338"/>
      <c r="I95" s="338"/>
      <c r="J95" s="338"/>
      <c r="K95" s="338"/>
      <c r="L95" s="338"/>
      <c r="M95" s="338"/>
      <c r="N95" s="338"/>
      <c r="O95" s="338"/>
      <c r="P95" s="338"/>
      <c r="Q95" s="338"/>
      <c r="R95" s="338"/>
      <c r="S95" s="338"/>
      <c r="T95" s="338"/>
      <c r="U95" s="266"/>
      <c r="V95" s="265"/>
    </row>
    <row r="96" spans="1:22" ht="14.4" hidden="1" customHeight="1">
      <c r="A96" s="265"/>
      <c r="B96" s="266"/>
      <c r="C96" s="290"/>
      <c r="D96" s="290"/>
      <c r="E96" s="290"/>
      <c r="F96" s="290"/>
      <c r="G96" s="290"/>
      <c r="H96" s="290"/>
      <c r="I96" s="290"/>
      <c r="J96" s="266"/>
      <c r="K96" s="266"/>
      <c r="L96" s="266"/>
      <c r="M96" s="266"/>
      <c r="N96" s="266"/>
      <c r="O96" s="266"/>
      <c r="P96" s="266"/>
      <c r="Q96" s="266"/>
      <c r="R96" s="266"/>
      <c r="S96" s="266"/>
      <c r="T96" s="266"/>
      <c r="U96" s="266"/>
      <c r="V96" s="265"/>
    </row>
    <row r="97" spans="1:22" ht="14.4" customHeight="1">
      <c r="A97" s="265"/>
      <c r="B97" s="266"/>
      <c r="C97" s="336"/>
      <c r="D97" s="336"/>
      <c r="E97" s="336"/>
      <c r="F97" s="336"/>
      <c r="G97" s="336"/>
      <c r="H97" s="336"/>
      <c r="I97" s="336"/>
      <c r="J97" s="337"/>
      <c r="K97" s="337"/>
      <c r="L97" s="337"/>
      <c r="M97" s="337"/>
      <c r="N97" s="337"/>
      <c r="O97" s="337"/>
      <c r="P97" s="337"/>
      <c r="Q97" s="337"/>
      <c r="R97" s="337"/>
      <c r="S97" s="337"/>
      <c r="T97" s="337"/>
      <c r="U97" s="266"/>
      <c r="V97" s="265"/>
    </row>
    <row r="98" spans="1:22" ht="14.4" customHeight="1">
      <c r="A98" s="265"/>
      <c r="B98" s="13"/>
      <c r="C98" s="756" t="s">
        <v>362</v>
      </c>
      <c r="D98" s="341"/>
      <c r="E98" s="732" t="s">
        <v>39</v>
      </c>
      <c r="F98" s="732"/>
      <c r="G98" s="732"/>
      <c r="H98" s="732"/>
      <c r="I98" s="288"/>
      <c r="J98" s="282" t="s">
        <v>133</v>
      </c>
      <c r="K98" s="288"/>
      <c r="L98" s="282" t="s">
        <v>143</v>
      </c>
      <c r="M98" s="13"/>
      <c r="N98" s="340" t="s">
        <v>79</v>
      </c>
      <c r="O98" s="13"/>
      <c r="P98" s="733" t="s">
        <v>132</v>
      </c>
      <c r="Q98" s="733"/>
      <c r="R98" s="334" t="str">
        <f>IF(E98="","n.d.",VLOOKUP(E98,lista_pod_rodzaj_ruchu_powietrza,4,0))</f>
        <v>nawiew</v>
      </c>
      <c r="S98" s="273"/>
      <c r="T98" s="365">
        <f>IF(Q99&gt;S99,0,1)</f>
        <v>1</v>
      </c>
      <c r="U98" s="266"/>
      <c r="V98" s="265"/>
    </row>
    <row r="99" spans="1:22" ht="14.4" customHeight="1">
      <c r="A99" s="265"/>
      <c r="B99" s="13"/>
      <c r="C99" s="756"/>
      <c r="D99" s="287"/>
      <c r="E99" s="730"/>
      <c r="F99" s="730"/>
      <c r="G99" s="730"/>
      <c r="H99" s="730"/>
      <c r="I99" s="342"/>
      <c r="J99" s="574">
        <v>9.9</v>
      </c>
      <c r="L99" s="574">
        <v>2.7</v>
      </c>
      <c r="M99" s="13"/>
      <c r="N99" s="664">
        <f>L99*J99</f>
        <v>26.730000000000004</v>
      </c>
      <c r="O99" s="13"/>
      <c r="P99" s="335" t="s">
        <v>333</v>
      </c>
      <c r="Q99" s="335">
        <f>IF(R98="n.d.",0,IF(R98="nawiew",G100*20,VLOOKUP(E98,warunki2,3,0)))</f>
        <v>20</v>
      </c>
      <c r="R99" s="731">
        <f>IF(R98="n.d.",-1,IF(R98="nawiew",0,IF(R98="wywiew",1,IF(R98="naw.wyw.",0.5,2))))</f>
        <v>0</v>
      </c>
      <c r="S99" s="598">
        <v>30</v>
      </c>
      <c r="T99" s="335" t="s">
        <v>325</v>
      </c>
      <c r="U99" s="266"/>
      <c r="V99" s="265"/>
    </row>
    <row r="100" spans="1:22" ht="14.4" customHeight="1">
      <c r="A100" s="265"/>
      <c r="B100" s="13"/>
      <c r="C100" s="756"/>
      <c r="D100" s="13"/>
      <c r="E100" s="276" t="s">
        <v>41</v>
      </c>
      <c r="F100" s="625" t="str">
        <f>IF(R98&lt;&gt;"nawiew","n.d.","")</f>
        <v/>
      </c>
      <c r="G100" s="573">
        <v>1</v>
      </c>
      <c r="H100" s="343"/>
      <c r="I100" s="13"/>
      <c r="J100" s="342" t="s">
        <v>326</v>
      </c>
      <c r="K100" s="13"/>
      <c r="L100" s="342" t="s">
        <v>144</v>
      </c>
      <c r="M100" s="13"/>
      <c r="N100" s="342" t="s">
        <v>327</v>
      </c>
      <c r="O100" s="13"/>
      <c r="P100" s="335" t="s">
        <v>330</v>
      </c>
      <c r="Q100" s="347">
        <f>N99</f>
        <v>26.730000000000004</v>
      </c>
      <c r="R100" s="731"/>
      <c r="S100" s="13"/>
      <c r="T100" s="343"/>
      <c r="U100" s="266"/>
      <c r="V100" s="265"/>
    </row>
    <row r="101" spans="1:22" ht="14.4" customHeight="1">
      <c r="A101" s="265"/>
      <c r="B101" s="266"/>
      <c r="C101" s="338"/>
      <c r="D101" s="338"/>
      <c r="E101" s="338"/>
      <c r="F101" s="338"/>
      <c r="G101" s="338"/>
      <c r="H101" s="338"/>
      <c r="I101" s="338"/>
      <c r="J101" s="338"/>
      <c r="K101" s="338"/>
      <c r="L101" s="338"/>
      <c r="M101" s="338"/>
      <c r="N101" s="338"/>
      <c r="O101" s="338"/>
      <c r="P101" s="338"/>
      <c r="Q101" s="338"/>
      <c r="R101" s="338"/>
      <c r="S101" s="338"/>
      <c r="T101" s="338"/>
      <c r="U101" s="266"/>
      <c r="V101" s="265"/>
    </row>
    <row r="102" spans="1:22" ht="13.95" hidden="1" customHeight="1">
      <c r="A102" s="265"/>
      <c r="B102" s="266"/>
      <c r="C102" s="290"/>
      <c r="D102" s="290"/>
      <c r="E102" s="290"/>
      <c r="F102" s="290"/>
      <c r="G102" s="290"/>
      <c r="H102" s="290"/>
      <c r="I102" s="290"/>
      <c r="J102" s="266"/>
      <c r="K102" s="266"/>
      <c r="L102" s="266"/>
      <c r="M102" s="266"/>
      <c r="N102" s="266"/>
      <c r="O102" s="266"/>
      <c r="P102" s="266"/>
      <c r="Q102" s="266"/>
      <c r="R102" s="266"/>
      <c r="S102" s="266"/>
      <c r="T102" s="266"/>
      <c r="U102" s="266"/>
      <c r="V102" s="265"/>
    </row>
    <row r="103" spans="1:22" ht="13.95" hidden="1" customHeight="1">
      <c r="A103" s="265"/>
      <c r="B103" s="266"/>
      <c r="C103" s="290"/>
      <c r="D103" s="290"/>
      <c r="E103" s="290"/>
      <c r="F103" s="290"/>
      <c r="G103" s="290"/>
      <c r="H103" s="290"/>
      <c r="I103" s="290"/>
      <c r="J103" s="266"/>
      <c r="K103" s="266"/>
      <c r="L103" s="266"/>
      <c r="M103" s="266"/>
      <c r="N103" s="266"/>
      <c r="O103" s="266"/>
      <c r="P103" s="266"/>
      <c r="Q103" s="266"/>
      <c r="R103" s="266"/>
      <c r="S103" s="266"/>
      <c r="T103" s="266"/>
      <c r="U103" s="266"/>
      <c r="V103" s="265"/>
    </row>
    <row r="104" spans="1:22" ht="14.4" hidden="1" customHeight="1">
      <c r="A104" s="265"/>
      <c r="B104" s="266"/>
      <c r="C104" s="290"/>
      <c r="D104" s="290"/>
      <c r="E104" s="290"/>
      <c r="F104" s="290"/>
      <c r="G104" s="290"/>
      <c r="H104" s="290"/>
      <c r="I104" s="290"/>
      <c r="J104" s="266"/>
      <c r="K104" s="266"/>
      <c r="L104" s="266"/>
      <c r="M104" s="266"/>
      <c r="N104" s="266"/>
      <c r="O104" s="266"/>
      <c r="P104" s="266"/>
      <c r="Q104" s="266"/>
      <c r="R104" s="266"/>
      <c r="S104" s="266"/>
      <c r="T104" s="266"/>
      <c r="U104" s="266"/>
      <c r="V104" s="265"/>
    </row>
    <row r="105" spans="1:22" ht="14.4" hidden="1" customHeight="1">
      <c r="A105" s="265"/>
      <c r="B105" s="13"/>
      <c r="V105" s="265"/>
    </row>
    <row r="106" spans="1:22" ht="14.4" hidden="1" customHeight="1">
      <c r="A106" s="265"/>
      <c r="B106" s="422"/>
      <c r="D106" s="427"/>
      <c r="E106" s="427"/>
      <c r="F106" s="427"/>
      <c r="G106" s="427"/>
      <c r="H106" s="426"/>
      <c r="I106" s="426"/>
      <c r="J106" s="422"/>
      <c r="K106" s="422"/>
      <c r="L106" s="422"/>
      <c r="M106" s="422"/>
      <c r="N106" s="422"/>
      <c r="O106" s="422"/>
      <c r="P106" s="422"/>
      <c r="Q106" s="422"/>
      <c r="R106" s="422"/>
      <c r="S106" s="422"/>
      <c r="T106" s="422"/>
      <c r="U106" s="422"/>
      <c r="V106" s="265"/>
    </row>
    <row r="107" spans="1:22" ht="14.4" hidden="1" customHeight="1">
      <c r="A107" s="265"/>
      <c r="B107" s="422"/>
      <c r="C107" s="427"/>
      <c r="D107" s="427"/>
      <c r="E107" s="427"/>
      <c r="F107" s="427"/>
      <c r="G107" s="427"/>
      <c r="H107" s="277"/>
      <c r="I107" s="426"/>
      <c r="J107" s="422"/>
      <c r="K107" s="422"/>
      <c r="L107" s="422"/>
      <c r="M107" s="422"/>
      <c r="N107" s="422"/>
      <c r="O107" s="422"/>
      <c r="P107" s="422"/>
      <c r="Q107" s="422"/>
      <c r="R107" s="422"/>
      <c r="S107" s="422"/>
      <c r="T107" s="422"/>
      <c r="U107" s="422"/>
      <c r="V107" s="265"/>
    </row>
    <row r="108" spans="1:22" ht="14.4" hidden="1" customHeight="1">
      <c r="A108" s="265"/>
      <c r="B108" s="266"/>
      <c r="S108" s="424"/>
      <c r="T108" s="424"/>
      <c r="U108" s="423"/>
      <c r="V108" s="265"/>
    </row>
    <row r="109" spans="1:22" ht="14.4" hidden="1" customHeight="1">
      <c r="A109" s="265"/>
      <c r="B109" s="266"/>
      <c r="C109" s="366"/>
      <c r="D109" s="366"/>
      <c r="E109" s="366"/>
      <c r="F109" s="366"/>
      <c r="H109" s="429"/>
      <c r="I109" s="428"/>
      <c r="J109" s="422"/>
      <c r="K109" s="422"/>
      <c r="L109" s="422"/>
      <c r="M109" s="422"/>
      <c r="N109" s="422"/>
      <c r="O109" s="422"/>
      <c r="P109" s="422"/>
      <c r="Q109" s="422"/>
      <c r="R109" s="422"/>
      <c r="S109" s="422"/>
      <c r="T109" s="422"/>
      <c r="U109" s="266"/>
      <c r="V109" s="265"/>
    </row>
    <row r="110" spans="1:22" ht="14.4" hidden="1" customHeight="1">
      <c r="A110" s="265"/>
      <c r="B110" s="266"/>
      <c r="C110" s="366"/>
      <c r="D110" s="366"/>
      <c r="E110" s="366"/>
      <c r="F110" s="366"/>
      <c r="H110" s="429"/>
      <c r="I110" s="428"/>
      <c r="R110" s="422"/>
      <c r="S110" s="422"/>
      <c r="T110" s="422"/>
      <c r="U110" s="266"/>
      <c r="V110" s="265"/>
    </row>
    <row r="111" spans="1:22" ht="14.4" hidden="1" customHeight="1">
      <c r="A111" s="265"/>
      <c r="B111" s="266"/>
      <c r="C111" s="366"/>
      <c r="D111" s="366"/>
      <c r="E111" s="366"/>
      <c r="F111" s="366"/>
      <c r="H111" s="432"/>
      <c r="I111" s="428"/>
      <c r="R111" s="422"/>
      <c r="S111" s="422"/>
      <c r="T111" s="422"/>
      <c r="U111" s="266"/>
      <c r="V111" s="265"/>
    </row>
    <row r="112" spans="1:22" ht="14.4" hidden="1" customHeight="1">
      <c r="A112" s="265"/>
      <c r="B112" s="266"/>
      <c r="C112" s="366"/>
      <c r="D112" s="366"/>
      <c r="E112" s="366"/>
      <c r="F112" s="366"/>
      <c r="H112" s="432"/>
      <c r="I112" s="428"/>
      <c r="J112" s="422"/>
      <c r="K112" s="422"/>
      <c r="L112" s="422"/>
      <c r="M112" s="422"/>
      <c r="N112" s="422"/>
      <c r="O112" s="422"/>
      <c r="P112" s="422"/>
      <c r="Q112" s="422"/>
      <c r="R112" s="422"/>
      <c r="S112" s="266"/>
      <c r="T112" s="266"/>
      <c r="U112" s="266"/>
      <c r="V112" s="265"/>
    </row>
    <row r="113" spans="1:22" ht="14.4" hidden="1" customHeight="1">
      <c r="A113" s="265"/>
      <c r="B113" s="266"/>
      <c r="C113" s="366"/>
      <c r="D113" s="366"/>
      <c r="E113" s="366"/>
      <c r="F113" s="366"/>
      <c r="H113" s="432"/>
      <c r="I113" s="428"/>
      <c r="J113" s="266"/>
      <c r="K113" s="266"/>
      <c r="L113" s="266"/>
      <c r="M113" s="266"/>
      <c r="N113" s="266"/>
      <c r="O113" s="266"/>
      <c r="P113" s="266"/>
      <c r="Q113" s="266"/>
      <c r="R113" s="266"/>
      <c r="S113" s="266"/>
      <c r="T113" s="266"/>
      <c r="U113" s="266"/>
      <c r="V113" s="265"/>
    </row>
    <row r="114" spans="1:22" ht="14.4" hidden="1" customHeight="1">
      <c r="A114" s="265"/>
      <c r="B114" s="266"/>
      <c r="C114" s="366"/>
      <c r="D114" s="366"/>
      <c r="E114" s="366"/>
      <c r="F114" s="366"/>
      <c r="G114" s="370"/>
      <c r="H114" s="369"/>
      <c r="I114" s="366"/>
      <c r="J114" s="266"/>
      <c r="K114" s="266"/>
      <c r="L114" s="266"/>
      <c r="M114" s="266"/>
      <c r="N114" s="266"/>
      <c r="O114" s="266"/>
      <c r="P114" s="266"/>
      <c r="Q114" s="266"/>
      <c r="R114" s="266"/>
      <c r="S114" s="266"/>
      <c r="T114" s="266"/>
      <c r="U114" s="266"/>
      <c r="V114" s="265"/>
    </row>
    <row r="115" spans="1:22" ht="41.4" hidden="1" customHeight="1">
      <c r="A115" s="265"/>
      <c r="B115" s="266"/>
      <c r="C115" s="290"/>
      <c r="D115" s="290"/>
      <c r="E115" s="290"/>
      <c r="F115" s="290"/>
      <c r="G115" s="290"/>
      <c r="H115" s="290"/>
      <c r="I115" s="290"/>
      <c r="J115" s="266"/>
      <c r="K115" s="266"/>
      <c r="L115" s="266"/>
      <c r="M115" s="266"/>
      <c r="N115" s="266"/>
      <c r="O115" s="266"/>
      <c r="P115" s="266"/>
      <c r="Q115" s="266"/>
      <c r="R115" s="266"/>
      <c r="S115" s="266"/>
      <c r="T115" s="266"/>
      <c r="U115" s="266"/>
      <c r="V115" s="265"/>
    </row>
    <row r="116" spans="1:22" hidden="1">
      <c r="A116" s="261"/>
      <c r="B116" s="262"/>
      <c r="C116" s="263"/>
      <c r="D116" s="263"/>
      <c r="E116" s="263"/>
      <c r="F116" s="263"/>
      <c r="G116" s="263"/>
      <c r="H116" s="263"/>
      <c r="I116" s="263"/>
      <c r="J116" s="263"/>
      <c r="K116" s="263"/>
      <c r="L116" s="263"/>
      <c r="M116" s="263"/>
      <c r="N116" s="263"/>
      <c r="O116" s="263"/>
      <c r="P116" s="263"/>
      <c r="Q116" s="263"/>
      <c r="R116" s="263"/>
      <c r="S116" s="263"/>
      <c r="T116" s="263"/>
      <c r="U116" s="263"/>
      <c r="V116" s="261"/>
    </row>
    <row r="117" spans="1:22" ht="21" hidden="1">
      <c r="A117" s="261"/>
      <c r="B117" s="262"/>
      <c r="C117" s="264" t="s">
        <v>324</v>
      </c>
      <c r="D117" s="263"/>
      <c r="E117" s="263"/>
      <c r="F117" s="263"/>
      <c r="G117" s="263"/>
      <c r="H117" s="263"/>
      <c r="I117" s="263"/>
      <c r="J117" s="263"/>
      <c r="K117" s="263"/>
      <c r="L117" s="263"/>
      <c r="M117" s="263"/>
      <c r="N117" s="263"/>
      <c r="O117" s="263"/>
      <c r="P117" s="263"/>
      <c r="Q117" s="263"/>
      <c r="R117" s="263"/>
      <c r="S117" s="736"/>
      <c r="T117" s="736"/>
      <c r="U117" s="263"/>
      <c r="V117" s="261"/>
    </row>
    <row r="118" spans="1:22" hidden="1">
      <c r="A118" s="261"/>
      <c r="B118" s="262"/>
      <c r="C118" s="263"/>
      <c r="D118" s="263"/>
      <c r="E118" s="263"/>
      <c r="F118" s="263"/>
      <c r="G118" s="263"/>
      <c r="H118" s="263"/>
      <c r="I118" s="263"/>
      <c r="J118" s="263"/>
      <c r="K118" s="263"/>
      <c r="L118" s="263"/>
      <c r="M118" s="263"/>
      <c r="N118" s="263"/>
      <c r="O118" s="263"/>
      <c r="P118" s="263"/>
      <c r="Q118" s="263"/>
      <c r="R118" s="263"/>
      <c r="S118" s="263"/>
      <c r="T118" s="263"/>
      <c r="U118" s="263"/>
      <c r="V118" s="261"/>
    </row>
    <row r="119" spans="1:22" ht="14.4" hidden="1" customHeight="1">
      <c r="A119" s="265"/>
      <c r="B119" s="266"/>
      <c r="C119" s="290"/>
      <c r="D119" s="290"/>
      <c r="E119" s="290"/>
      <c r="F119" s="290"/>
      <c r="G119" s="290"/>
      <c r="H119" s="290"/>
      <c r="I119" s="290"/>
      <c r="J119" s="266"/>
      <c r="K119" s="266"/>
      <c r="L119" s="266"/>
      <c r="M119" s="266"/>
      <c r="N119" s="266"/>
      <c r="O119" s="266"/>
      <c r="P119" s="266"/>
      <c r="Q119" s="266"/>
      <c r="R119" s="266"/>
      <c r="S119" s="266"/>
      <c r="T119" s="266"/>
      <c r="U119" s="266"/>
      <c r="V119" s="265"/>
    </row>
    <row r="120" spans="1:22" ht="14.4" customHeight="1">
      <c r="A120" s="265"/>
      <c r="B120" s="266"/>
      <c r="C120" s="336"/>
      <c r="D120" s="336"/>
      <c r="E120" s="336"/>
      <c r="F120" s="336"/>
      <c r="G120" s="336"/>
      <c r="H120" s="336"/>
      <c r="I120" s="336"/>
      <c r="J120" s="337"/>
      <c r="K120" s="337"/>
      <c r="L120" s="337"/>
      <c r="M120" s="337"/>
      <c r="N120" s="337"/>
      <c r="O120" s="337"/>
      <c r="P120" s="337"/>
      <c r="Q120" s="337"/>
      <c r="R120" s="337"/>
      <c r="S120" s="337"/>
      <c r="T120" s="337"/>
      <c r="U120" s="266"/>
      <c r="V120" s="265"/>
    </row>
    <row r="121" spans="1:22" ht="14.4" customHeight="1">
      <c r="A121" s="265"/>
      <c r="B121" s="13"/>
      <c r="C121" s="756" t="s">
        <v>100</v>
      </c>
      <c r="D121" s="341"/>
      <c r="E121" s="732" t="s">
        <v>39</v>
      </c>
      <c r="F121" s="732"/>
      <c r="G121" s="732"/>
      <c r="H121" s="732"/>
      <c r="I121" s="288"/>
      <c r="J121" s="282" t="s">
        <v>133</v>
      </c>
      <c r="K121" s="13"/>
      <c r="L121" s="282" t="s">
        <v>143</v>
      </c>
      <c r="M121" s="13"/>
      <c r="N121" s="340" t="s">
        <v>79</v>
      </c>
      <c r="O121" s="13"/>
      <c r="P121" s="733" t="s">
        <v>132</v>
      </c>
      <c r="Q121" s="733"/>
      <c r="R121" s="334" t="str">
        <f>IF(E121="","n.d.",VLOOKUP(E121,lista_pod_rodzaj_ruchu_powietrza,4,0))</f>
        <v>nawiew</v>
      </c>
      <c r="S121" s="667">
        <v>0</v>
      </c>
      <c r="T121" s="365">
        <f>IF(Q122&gt;S122,0,1)</f>
        <v>1</v>
      </c>
      <c r="U121" s="266"/>
      <c r="V121" s="265"/>
    </row>
    <row r="122" spans="1:22" ht="14.4" customHeight="1">
      <c r="A122" s="265"/>
      <c r="B122" s="13"/>
      <c r="C122" s="756"/>
      <c r="D122" s="287"/>
      <c r="E122" s="730"/>
      <c r="F122" s="730"/>
      <c r="G122" s="730"/>
      <c r="H122" s="730"/>
      <c r="I122" s="13"/>
      <c r="J122" s="574">
        <v>11.5</v>
      </c>
      <c r="K122" s="13"/>
      <c r="L122" s="574">
        <v>2.7</v>
      </c>
      <c r="M122" s="13"/>
      <c r="N122" s="664">
        <f>L122*J122</f>
        <v>31.05</v>
      </c>
      <c r="O122" s="13"/>
      <c r="P122" s="335" t="s">
        <v>333</v>
      </c>
      <c r="Q122" s="335">
        <f>IF(R121="n.d.",0,IF(R121="nawiew",G123*20,VLOOKUP(E121,warunki2,3,0)))</f>
        <v>20</v>
      </c>
      <c r="R122" s="731">
        <f>IF(R121="n.d.",-1,IF(R121="nawiew",0,IF(R121="wywiew",1,IF(R121="naw.wyw.",0.5,2))))</f>
        <v>0</v>
      </c>
      <c r="S122" s="598">
        <v>40</v>
      </c>
      <c r="T122" s="335" t="s">
        <v>325</v>
      </c>
      <c r="U122" s="266"/>
      <c r="V122" s="265"/>
    </row>
    <row r="123" spans="1:22" ht="14.4" customHeight="1">
      <c r="A123" s="265"/>
      <c r="B123" s="13"/>
      <c r="C123" s="756"/>
      <c r="D123" s="13"/>
      <c r="E123" s="276" t="s">
        <v>41</v>
      </c>
      <c r="F123" s="625" t="str">
        <f>IF(R121&lt;&gt;"nawiew","n.d.","")</f>
        <v/>
      </c>
      <c r="G123" s="573">
        <v>1</v>
      </c>
      <c r="H123" s="343"/>
      <c r="I123" s="13"/>
      <c r="J123" s="342" t="s">
        <v>326</v>
      </c>
      <c r="K123" s="13"/>
      <c r="L123" s="342" t="s">
        <v>144</v>
      </c>
      <c r="M123" s="13"/>
      <c r="N123" s="342" t="s">
        <v>327</v>
      </c>
      <c r="O123" s="13"/>
      <c r="P123" s="335" t="s">
        <v>330</v>
      </c>
      <c r="Q123" s="347">
        <f>N122</f>
        <v>31.05</v>
      </c>
      <c r="R123" s="731"/>
      <c r="S123" s="13"/>
      <c r="T123" s="343"/>
      <c r="U123" s="266"/>
      <c r="V123" s="265"/>
    </row>
    <row r="124" spans="1:22" ht="13.95" customHeight="1">
      <c r="A124" s="265"/>
      <c r="B124" s="266"/>
      <c r="C124" s="338"/>
      <c r="D124" s="338"/>
      <c r="E124" s="13"/>
      <c r="F124" s="13"/>
      <c r="G124" s="346"/>
      <c r="H124" s="13"/>
      <c r="I124" s="338"/>
      <c r="J124" s="338"/>
      <c r="K124" s="338"/>
      <c r="L124" s="338"/>
      <c r="M124" s="338"/>
      <c r="N124" s="338"/>
      <c r="O124" s="338"/>
      <c r="P124" s="338"/>
      <c r="Q124" s="338"/>
      <c r="R124" s="338"/>
      <c r="S124" s="338"/>
      <c r="T124" s="338"/>
      <c r="U124" s="266"/>
      <c r="V124" s="265"/>
    </row>
    <row r="125" spans="1:22" ht="14.4" customHeight="1">
      <c r="A125" s="265"/>
      <c r="B125" s="266"/>
      <c r="C125" s="336"/>
      <c r="D125" s="336"/>
      <c r="E125" s="336"/>
      <c r="F125" s="336"/>
      <c r="G125" s="336"/>
      <c r="H125" s="336"/>
      <c r="I125" s="336"/>
      <c r="J125" s="337"/>
      <c r="K125" s="337"/>
      <c r="L125" s="337"/>
      <c r="M125" s="337"/>
      <c r="N125" s="337"/>
      <c r="O125" s="337"/>
      <c r="P125" s="337"/>
      <c r="Q125" s="337"/>
      <c r="R125" s="337"/>
      <c r="S125" s="337"/>
      <c r="T125" s="337"/>
      <c r="U125" s="266"/>
      <c r="V125" s="265"/>
    </row>
    <row r="126" spans="1:22" ht="14.4" customHeight="1">
      <c r="A126" s="265"/>
      <c r="B126" s="13"/>
      <c r="C126" s="756" t="s">
        <v>101</v>
      </c>
      <c r="D126" s="341"/>
      <c r="E126" s="732" t="s">
        <v>21</v>
      </c>
      <c r="F126" s="732"/>
      <c r="G126" s="732"/>
      <c r="H126" s="732"/>
      <c r="I126" s="13"/>
      <c r="J126" s="282" t="s">
        <v>133</v>
      </c>
      <c r="K126" s="288"/>
      <c r="L126" s="282" t="s">
        <v>143</v>
      </c>
      <c r="M126" s="13"/>
      <c r="N126" s="340" t="s">
        <v>79</v>
      </c>
      <c r="O126" s="13"/>
      <c r="P126" s="733" t="s">
        <v>132</v>
      </c>
      <c r="Q126" s="733"/>
      <c r="R126" s="334" t="str">
        <f>IF(E126="","n.d.",VLOOKUP(E126,lista_pod_rodzaj_ruchu_powietrza,4,0))</f>
        <v>wywiew</v>
      </c>
      <c r="S126" s="273"/>
      <c r="T126" s="365">
        <f>IF(Q127&gt;S127,0,1)</f>
        <v>1</v>
      </c>
      <c r="U126" s="266"/>
      <c r="V126" s="265"/>
    </row>
    <row r="127" spans="1:22" ht="14.4" customHeight="1">
      <c r="A127" s="265"/>
      <c r="B127" s="13"/>
      <c r="C127" s="756"/>
      <c r="D127" s="287"/>
      <c r="E127" s="730"/>
      <c r="F127" s="730"/>
      <c r="G127" s="730"/>
      <c r="H127" s="730"/>
      <c r="I127" s="13"/>
      <c r="J127" s="574">
        <v>7.6</v>
      </c>
      <c r="L127" s="574">
        <v>2.5</v>
      </c>
      <c r="M127" s="13"/>
      <c r="N127" s="664">
        <f>L127*J127</f>
        <v>19</v>
      </c>
      <c r="O127" s="13"/>
      <c r="P127" s="335" t="s">
        <v>333</v>
      </c>
      <c r="Q127" s="335">
        <f>IF(R126="n.d.",0,IF(R126="nawiew",G128*20,VLOOKUP(E126,warunki2,3,0)))</f>
        <v>50</v>
      </c>
      <c r="R127" s="731">
        <f>IF(R126="n.d.",-1,IF(R126="nawiew",0,IF(R126="wywiew",1,IF(R126="naw.wyw.",0.5,2))))</f>
        <v>1</v>
      </c>
      <c r="S127" s="598">
        <f>Q127</f>
        <v>50</v>
      </c>
      <c r="T127" s="335" t="s">
        <v>325</v>
      </c>
      <c r="U127" s="266"/>
      <c r="V127" s="265"/>
    </row>
    <row r="128" spans="1:22" ht="14.4" customHeight="1">
      <c r="A128" s="265"/>
      <c r="B128" s="13"/>
      <c r="C128" s="756"/>
      <c r="D128" s="13"/>
      <c r="E128" s="276" t="s">
        <v>41</v>
      </c>
      <c r="F128" s="625" t="str">
        <f>IF(R126&lt;&gt;"nawiew","n.d.","")</f>
        <v>n.d.</v>
      </c>
      <c r="G128" s="573">
        <v>2</v>
      </c>
      <c r="H128" s="343"/>
      <c r="I128" s="13"/>
      <c r="J128" s="342" t="s">
        <v>326</v>
      </c>
      <c r="K128" s="13"/>
      <c r="L128" s="342" t="s">
        <v>144</v>
      </c>
      <c r="M128" s="13"/>
      <c r="N128" s="342" t="s">
        <v>327</v>
      </c>
      <c r="O128" s="13"/>
      <c r="P128" s="335" t="s">
        <v>330</v>
      </c>
      <c r="Q128" s="347">
        <f>N127</f>
        <v>19</v>
      </c>
      <c r="R128" s="731"/>
      <c r="S128" s="13"/>
      <c r="T128" s="343"/>
      <c r="U128" s="266"/>
      <c r="V128" s="265"/>
    </row>
    <row r="129" spans="1:22" ht="13.2" customHeight="1">
      <c r="A129" s="265"/>
      <c r="B129" s="266"/>
      <c r="C129" s="338"/>
      <c r="D129" s="338"/>
      <c r="E129" s="338"/>
      <c r="F129" s="338"/>
      <c r="G129" s="338"/>
      <c r="H129" s="338"/>
      <c r="I129" s="338"/>
      <c r="J129" s="338"/>
      <c r="K129" s="338"/>
      <c r="L129" s="338"/>
      <c r="M129" s="338"/>
      <c r="N129" s="338"/>
      <c r="O129" s="338"/>
      <c r="P129" s="338"/>
      <c r="Q129" s="338"/>
      <c r="R129" s="338"/>
      <c r="S129" s="338"/>
      <c r="T129" s="338"/>
      <c r="U129" s="266"/>
      <c r="V129" s="265"/>
    </row>
    <row r="130" spans="1:22" ht="14.4" hidden="1" customHeight="1">
      <c r="A130" s="265"/>
      <c r="B130" s="266"/>
      <c r="C130" s="358"/>
      <c r="D130" s="358"/>
      <c r="E130" s="358"/>
      <c r="F130" s="358"/>
      <c r="G130" s="358"/>
      <c r="H130" s="358"/>
      <c r="I130" s="358"/>
      <c r="J130" s="265"/>
      <c r="K130" s="265"/>
      <c r="L130" s="265"/>
      <c r="M130" s="265"/>
      <c r="N130" s="265"/>
      <c r="O130" s="265"/>
      <c r="P130" s="265"/>
      <c r="Q130" s="265"/>
      <c r="R130" s="265"/>
      <c r="S130" s="265"/>
      <c r="T130" s="265"/>
      <c r="U130" s="266"/>
      <c r="V130" s="265"/>
    </row>
    <row r="131" spans="1:22" ht="14.4" customHeight="1">
      <c r="A131" s="265"/>
      <c r="B131" s="266"/>
      <c r="C131" s="336"/>
      <c r="D131" s="336"/>
      <c r="E131" s="336"/>
      <c r="F131" s="336"/>
      <c r="G131" s="336"/>
      <c r="H131" s="336"/>
      <c r="I131" s="336"/>
      <c r="J131" s="337"/>
      <c r="K131" s="337"/>
      <c r="L131" s="337"/>
      <c r="M131" s="337"/>
      <c r="N131" s="337"/>
      <c r="O131" s="337"/>
      <c r="P131" s="337"/>
      <c r="Q131" s="337"/>
      <c r="R131" s="337"/>
      <c r="S131" s="337"/>
      <c r="T131" s="337"/>
      <c r="U131" s="266"/>
      <c r="V131" s="265"/>
    </row>
    <row r="132" spans="1:22" ht="14.4" customHeight="1">
      <c r="A132" s="265"/>
      <c r="B132" s="13"/>
      <c r="C132" s="756" t="s">
        <v>102</v>
      </c>
      <c r="D132" s="341"/>
      <c r="E132" s="732"/>
      <c r="F132" s="732"/>
      <c r="G132" s="732"/>
      <c r="H132" s="732"/>
      <c r="I132" s="288"/>
      <c r="J132" s="282" t="s">
        <v>133</v>
      </c>
      <c r="K132" s="288"/>
      <c r="L132" s="282" t="s">
        <v>143</v>
      </c>
      <c r="M132" s="13"/>
      <c r="N132" s="340" t="s">
        <v>79</v>
      </c>
      <c r="O132" s="13"/>
      <c r="P132" s="733" t="s">
        <v>132</v>
      </c>
      <c r="Q132" s="733"/>
      <c r="R132" s="334" t="str">
        <f>IF(E132="","n.d.",VLOOKUP(E132,lista_pod_rodzaj_ruchu_powietrza,4,0))</f>
        <v>n.d.</v>
      </c>
      <c r="S132" s="273"/>
      <c r="T132" s="365">
        <f>IF(Q133&gt;S133,0,1)</f>
        <v>1</v>
      </c>
      <c r="U132" s="266"/>
      <c r="V132" s="265"/>
    </row>
    <row r="133" spans="1:22" ht="14.4" customHeight="1">
      <c r="A133" s="265"/>
      <c r="B133" s="13"/>
      <c r="C133" s="756"/>
      <c r="D133" s="287"/>
      <c r="E133" s="730"/>
      <c r="F133" s="730"/>
      <c r="G133" s="730"/>
      <c r="H133" s="730"/>
      <c r="J133" s="574"/>
      <c r="L133" s="574">
        <v>2.5</v>
      </c>
      <c r="M133" s="13"/>
      <c r="N133" s="664">
        <f>L133*J133</f>
        <v>0</v>
      </c>
      <c r="O133" s="13"/>
      <c r="P133" s="335" t="s">
        <v>333</v>
      </c>
      <c r="Q133" s="335">
        <f>IF(R132="n.d.",0,IF(R132="nawiew",G134*20,VLOOKUP(E132,warunki2,3,0)))</f>
        <v>0</v>
      </c>
      <c r="R133" s="731">
        <f>IF(R132="n.d.",-1,IF(R132="nawiew",0,IF(R132="wywiew",1,IF(R132="naw.wyw.",0.5,2))))</f>
        <v>-1</v>
      </c>
      <c r="S133" s="598">
        <f>Q133</f>
        <v>0</v>
      </c>
      <c r="T133" s="335" t="s">
        <v>325</v>
      </c>
      <c r="U133" s="266"/>
      <c r="V133" s="265"/>
    </row>
    <row r="134" spans="1:22" ht="14.4" customHeight="1">
      <c r="A134" s="265"/>
      <c r="B134" s="13"/>
      <c r="C134" s="756"/>
      <c r="D134" s="13"/>
      <c r="E134" s="276" t="s">
        <v>41</v>
      </c>
      <c r="F134" s="625" t="str">
        <f>IF(R132&lt;&gt;"nawiew","n.d.","")</f>
        <v>n.d.</v>
      </c>
      <c r="G134" s="573">
        <v>1</v>
      </c>
      <c r="H134" s="343"/>
      <c r="I134" s="13"/>
      <c r="J134" s="342" t="s">
        <v>326</v>
      </c>
      <c r="K134" s="13"/>
      <c r="L134" s="342" t="s">
        <v>144</v>
      </c>
      <c r="M134" s="13"/>
      <c r="N134" s="342" t="s">
        <v>327</v>
      </c>
      <c r="O134" s="13"/>
      <c r="P134" s="335" t="s">
        <v>330</v>
      </c>
      <c r="Q134" s="347">
        <f>N133</f>
        <v>0</v>
      </c>
      <c r="R134" s="731"/>
      <c r="S134" s="13"/>
      <c r="T134" s="343"/>
      <c r="U134" s="266"/>
      <c r="V134" s="265"/>
    </row>
    <row r="135" spans="1:22" ht="14.4" customHeight="1">
      <c r="A135" s="265"/>
      <c r="B135" s="266"/>
      <c r="C135" s="338"/>
      <c r="D135" s="338"/>
      <c r="E135" s="338"/>
      <c r="F135" s="338"/>
      <c r="G135" s="338"/>
      <c r="H135" s="338"/>
      <c r="I135" s="338"/>
      <c r="J135" s="338"/>
      <c r="K135" s="338"/>
      <c r="L135" s="338"/>
      <c r="M135" s="338"/>
      <c r="N135" s="338"/>
      <c r="O135" s="338"/>
      <c r="P135" s="338"/>
      <c r="Q135" s="338"/>
      <c r="R135" s="338"/>
      <c r="S135" s="338"/>
      <c r="T135" s="338"/>
      <c r="U135" s="266"/>
      <c r="V135" s="265"/>
    </row>
    <row r="136" spans="1:22" ht="14.4" hidden="1" customHeight="1">
      <c r="A136" s="265"/>
      <c r="B136" s="266"/>
      <c r="C136" s="358"/>
      <c r="D136" s="358"/>
      <c r="E136" s="358"/>
      <c r="F136" s="358"/>
      <c r="G136" s="358"/>
      <c r="H136" s="358"/>
      <c r="I136" s="358"/>
      <c r="J136" s="265"/>
      <c r="K136" s="265"/>
      <c r="L136" s="265"/>
      <c r="M136" s="265"/>
      <c r="N136" s="265"/>
      <c r="O136" s="265"/>
      <c r="P136" s="265"/>
      <c r="Q136" s="265"/>
      <c r="R136" s="265"/>
      <c r="S136" s="265"/>
      <c r="T136" s="265"/>
      <c r="U136" s="266"/>
      <c r="V136" s="265"/>
    </row>
    <row r="137" spans="1:22" ht="14.4" customHeight="1">
      <c r="A137" s="265"/>
      <c r="B137" s="266"/>
      <c r="C137" s="336"/>
      <c r="D137" s="336"/>
      <c r="E137" s="336"/>
      <c r="F137" s="336"/>
      <c r="G137" s="336"/>
      <c r="H137" s="336"/>
      <c r="I137" s="336"/>
      <c r="J137" s="337"/>
      <c r="K137" s="337"/>
      <c r="L137" s="337"/>
      <c r="M137" s="337"/>
      <c r="N137" s="337"/>
      <c r="O137" s="337"/>
      <c r="P137" s="337"/>
      <c r="Q137" s="337"/>
      <c r="R137" s="337"/>
      <c r="S137" s="337"/>
      <c r="T137" s="337"/>
      <c r="U137" s="266"/>
      <c r="V137" s="265"/>
    </row>
    <row r="138" spans="1:22" ht="14.4" customHeight="1">
      <c r="A138" s="265"/>
      <c r="B138" s="13"/>
      <c r="C138" s="756" t="s">
        <v>103</v>
      </c>
      <c r="D138" s="341"/>
      <c r="E138" s="732"/>
      <c r="F138" s="732"/>
      <c r="G138" s="732"/>
      <c r="H138" s="732"/>
      <c r="I138" s="288"/>
      <c r="J138" s="282" t="s">
        <v>133</v>
      </c>
      <c r="K138" s="288"/>
      <c r="L138" s="282" t="s">
        <v>143</v>
      </c>
      <c r="M138" s="13"/>
      <c r="N138" s="340" t="s">
        <v>79</v>
      </c>
      <c r="O138" s="13"/>
      <c r="P138" s="733" t="s">
        <v>132</v>
      </c>
      <c r="Q138" s="733"/>
      <c r="R138" s="334" t="str">
        <f>IF(E138="","n.d.",VLOOKUP(E138,lista_pod_rodzaj_ruchu_powietrza,4,0))</f>
        <v>n.d.</v>
      </c>
      <c r="S138" s="273"/>
      <c r="T138" s="365">
        <f>IF(Q139&gt;S139,0,1)</f>
        <v>1</v>
      </c>
      <c r="U138" s="266"/>
      <c r="V138" s="265"/>
    </row>
    <row r="139" spans="1:22" ht="14.4" customHeight="1">
      <c r="A139" s="265"/>
      <c r="B139" s="13"/>
      <c r="C139" s="756"/>
      <c r="D139" s="287"/>
      <c r="E139" s="742"/>
      <c r="F139" s="742"/>
      <c r="G139" s="742"/>
      <c r="H139" s="742"/>
      <c r="J139" s="574"/>
      <c r="L139" s="574">
        <v>2.5</v>
      </c>
      <c r="M139" s="13"/>
      <c r="N139" s="664">
        <f>L139*J139</f>
        <v>0</v>
      </c>
      <c r="O139" s="13"/>
      <c r="P139" s="335" t="s">
        <v>333</v>
      </c>
      <c r="Q139" s="335">
        <f>IF(R138="n.d.",0,IF(R138="nawiew",G140*20,VLOOKUP(E138,warunki2,3,0)))</f>
        <v>0</v>
      </c>
      <c r="R139" s="731">
        <f>IF(R138="n.d.",-1,IF(R138="nawiew",0,IF(R138="wywiew",1,IF(R138="naw.wyw.",0.5,2))))</f>
        <v>-1</v>
      </c>
      <c r="S139" s="598">
        <v>50</v>
      </c>
      <c r="T139" s="335" t="s">
        <v>325</v>
      </c>
      <c r="U139" s="266"/>
      <c r="V139" s="265"/>
    </row>
    <row r="140" spans="1:22" ht="14.4" customHeight="1">
      <c r="A140" s="265"/>
      <c r="B140" s="13"/>
      <c r="C140" s="756"/>
      <c r="D140" s="13"/>
      <c r="E140" s="276" t="s">
        <v>41</v>
      </c>
      <c r="F140" s="625" t="str">
        <f>IF(R138&lt;&gt;"nawiew","n.d.","")</f>
        <v>n.d.</v>
      </c>
      <c r="G140" s="573">
        <v>1</v>
      </c>
      <c r="H140" s="343"/>
      <c r="I140" s="13"/>
      <c r="J140" s="342" t="s">
        <v>326</v>
      </c>
      <c r="K140" s="13"/>
      <c r="L140" s="342" t="s">
        <v>144</v>
      </c>
      <c r="M140" s="13"/>
      <c r="N140" s="342" t="s">
        <v>327</v>
      </c>
      <c r="O140" s="13"/>
      <c r="P140" s="335" t="s">
        <v>330</v>
      </c>
      <c r="Q140" s="347">
        <f>N139</f>
        <v>0</v>
      </c>
      <c r="R140" s="731"/>
      <c r="S140" s="13"/>
      <c r="T140" s="343"/>
      <c r="U140" s="266"/>
      <c r="V140" s="265"/>
    </row>
    <row r="141" spans="1:22" ht="13.2" customHeight="1">
      <c r="A141" s="265"/>
      <c r="B141" s="266"/>
      <c r="C141" s="338"/>
      <c r="D141" s="338"/>
      <c r="E141" s="338"/>
      <c r="F141" s="338"/>
      <c r="G141" s="338"/>
      <c r="H141" s="338"/>
      <c r="I141" s="338"/>
      <c r="J141" s="338"/>
      <c r="K141" s="338"/>
      <c r="L141" s="338"/>
      <c r="M141" s="338"/>
      <c r="N141" s="338"/>
      <c r="O141" s="338"/>
      <c r="P141" s="338"/>
      <c r="Q141" s="338"/>
      <c r="R141" s="338"/>
      <c r="S141" s="338"/>
      <c r="T141" s="338"/>
      <c r="U141" s="266"/>
      <c r="V141" s="265"/>
    </row>
    <row r="142" spans="1:22" ht="14.4" hidden="1" customHeight="1">
      <c r="A142" s="265"/>
      <c r="B142" s="266"/>
      <c r="C142" s="358"/>
      <c r="D142" s="358"/>
      <c r="E142" s="358"/>
      <c r="F142" s="358"/>
      <c r="G142" s="358"/>
      <c r="H142" s="358"/>
      <c r="I142" s="358"/>
      <c r="J142" s="265"/>
      <c r="K142" s="265"/>
      <c r="L142" s="265"/>
      <c r="M142" s="265"/>
      <c r="N142" s="265"/>
      <c r="O142" s="265"/>
      <c r="P142" s="265"/>
      <c r="Q142" s="265"/>
      <c r="R142" s="265"/>
      <c r="S142" s="265"/>
      <c r="T142" s="265"/>
      <c r="U142" s="266"/>
      <c r="V142" s="265"/>
    </row>
    <row r="143" spans="1:22" ht="14.4" customHeight="1">
      <c r="A143" s="265"/>
      <c r="B143" s="266"/>
      <c r="C143" s="336"/>
      <c r="D143" s="336"/>
      <c r="E143" s="336"/>
      <c r="F143" s="336"/>
      <c r="G143" s="336"/>
      <c r="H143" s="336"/>
      <c r="I143" s="336"/>
      <c r="J143" s="337"/>
      <c r="K143" s="337"/>
      <c r="L143" s="337"/>
      <c r="M143" s="337"/>
      <c r="N143" s="337"/>
      <c r="O143" s="337"/>
      <c r="P143" s="337"/>
      <c r="Q143" s="337"/>
      <c r="R143" s="337"/>
      <c r="S143" s="337"/>
      <c r="T143" s="337"/>
      <c r="U143" s="266"/>
      <c r="V143" s="265"/>
    </row>
    <row r="144" spans="1:22" ht="14.4" customHeight="1">
      <c r="A144" s="265"/>
      <c r="B144" s="13"/>
      <c r="C144" s="756" t="s">
        <v>104</v>
      </c>
      <c r="D144" s="341"/>
      <c r="E144" s="732"/>
      <c r="F144" s="732"/>
      <c r="G144" s="732"/>
      <c r="H144" s="732"/>
      <c r="I144" s="288"/>
      <c r="J144" s="282" t="s">
        <v>133</v>
      </c>
      <c r="K144" s="288"/>
      <c r="L144" s="282" t="s">
        <v>143</v>
      </c>
      <c r="M144" s="13"/>
      <c r="N144" s="340" t="s">
        <v>79</v>
      </c>
      <c r="O144" s="13"/>
      <c r="P144" s="733" t="s">
        <v>132</v>
      </c>
      <c r="Q144" s="733"/>
      <c r="R144" s="334" t="str">
        <f>IF(E144="","n.d.",VLOOKUP(E144,lista_pod_rodzaj_ruchu_powietrza,4,0))</f>
        <v>n.d.</v>
      </c>
      <c r="S144" s="273"/>
      <c r="T144" s="365">
        <f>IF(Q145&gt;S145,0,1)</f>
        <v>1</v>
      </c>
      <c r="U144" s="266"/>
      <c r="V144" s="265"/>
    </row>
    <row r="145" spans="1:22" ht="14.4" customHeight="1">
      <c r="A145" s="265"/>
      <c r="B145" s="13"/>
      <c r="C145" s="756"/>
      <c r="D145" s="287"/>
      <c r="E145" s="730"/>
      <c r="F145" s="730"/>
      <c r="G145" s="730"/>
      <c r="H145" s="730"/>
      <c r="J145" s="574"/>
      <c r="L145" s="574">
        <v>2.5</v>
      </c>
      <c r="M145" s="13"/>
      <c r="N145" s="664">
        <f>L145*J145</f>
        <v>0</v>
      </c>
      <c r="O145" s="13"/>
      <c r="P145" s="335" t="s">
        <v>333</v>
      </c>
      <c r="Q145" s="335">
        <f>IF(R144="n.d.",0,IF(R144="nawiew",G146*20,VLOOKUP(E144,warunki2,3,0)))</f>
        <v>0</v>
      </c>
      <c r="R145" s="731">
        <f>IF(R144="n.d.",-1,IF(R144="nawiew",0,IF(R144="wywiew",1,IF(R144="naw.wyw.",0.5,2))))</f>
        <v>-1</v>
      </c>
      <c r="S145" s="575">
        <f>Q145</f>
        <v>0</v>
      </c>
      <c r="T145" s="335" t="s">
        <v>325</v>
      </c>
      <c r="U145" s="266"/>
      <c r="V145" s="265"/>
    </row>
    <row r="146" spans="1:22" ht="14.4" customHeight="1">
      <c r="A146" s="265"/>
      <c r="B146" s="13"/>
      <c r="C146" s="756"/>
      <c r="D146" s="13"/>
      <c r="E146" s="276" t="s">
        <v>41</v>
      </c>
      <c r="F146" s="625" t="str">
        <f>IF(R144&lt;&gt;"nawiew","n.d.","")</f>
        <v>n.d.</v>
      </c>
      <c r="G146" s="573">
        <v>1</v>
      </c>
      <c r="H146" s="343"/>
      <c r="I146" s="13"/>
      <c r="J146" s="342" t="s">
        <v>326</v>
      </c>
      <c r="K146" s="13"/>
      <c r="L146" s="342" t="s">
        <v>144</v>
      </c>
      <c r="M146" s="13"/>
      <c r="N146" s="342" t="s">
        <v>327</v>
      </c>
      <c r="O146" s="13"/>
      <c r="P146" s="335" t="s">
        <v>330</v>
      </c>
      <c r="Q146" s="347">
        <f>N145</f>
        <v>0</v>
      </c>
      <c r="R146" s="731"/>
      <c r="S146" s="13"/>
      <c r="T146" s="343"/>
      <c r="U146" s="266"/>
      <c r="V146" s="265"/>
    </row>
    <row r="147" spans="1:22" ht="13.2" customHeight="1">
      <c r="A147" s="265"/>
      <c r="B147" s="266"/>
      <c r="C147" s="338"/>
      <c r="D147" s="338"/>
      <c r="E147" s="338"/>
      <c r="F147" s="338"/>
      <c r="G147" s="338"/>
      <c r="H147" s="338"/>
      <c r="I147" s="338"/>
      <c r="J147" s="338"/>
      <c r="K147" s="338"/>
      <c r="L147" s="338"/>
      <c r="M147" s="338"/>
      <c r="N147" s="338"/>
      <c r="O147" s="338"/>
      <c r="P147" s="338"/>
      <c r="Q147" s="338"/>
      <c r="R147" s="338"/>
      <c r="S147" s="338"/>
      <c r="T147" s="338"/>
      <c r="U147" s="266"/>
      <c r="V147" s="265"/>
    </row>
    <row r="148" spans="1:22" ht="14.4" hidden="1" customHeight="1">
      <c r="A148" s="265"/>
      <c r="B148" s="266"/>
      <c r="C148" s="358"/>
      <c r="D148" s="358"/>
      <c r="E148" s="358"/>
      <c r="F148" s="358"/>
      <c r="G148" s="358"/>
      <c r="H148" s="358"/>
      <c r="I148" s="358"/>
      <c r="J148" s="265"/>
      <c r="K148" s="265"/>
      <c r="L148" s="265"/>
      <c r="M148" s="265"/>
      <c r="N148" s="265"/>
      <c r="O148" s="265"/>
      <c r="P148" s="265"/>
      <c r="Q148" s="265"/>
      <c r="R148" s="265"/>
      <c r="S148" s="265"/>
      <c r="T148" s="265"/>
      <c r="U148" s="266"/>
      <c r="V148" s="265"/>
    </row>
    <row r="149" spans="1:22" ht="14.4" customHeight="1">
      <c r="A149" s="265"/>
      <c r="B149" s="266"/>
      <c r="C149" s="336"/>
      <c r="D149" s="336"/>
      <c r="E149" s="336"/>
      <c r="F149" s="336"/>
      <c r="G149" s="336"/>
      <c r="H149" s="336"/>
      <c r="I149" s="336"/>
      <c r="J149" s="337"/>
      <c r="K149" s="337"/>
      <c r="L149" s="337"/>
      <c r="M149" s="337"/>
      <c r="N149" s="337"/>
      <c r="O149" s="337"/>
      <c r="P149" s="337"/>
      <c r="Q149" s="337"/>
      <c r="R149" s="337"/>
      <c r="S149" s="337"/>
      <c r="T149" s="337"/>
      <c r="U149" s="266"/>
      <c r="V149" s="265"/>
    </row>
    <row r="150" spans="1:22" ht="14.4" customHeight="1">
      <c r="A150" s="265"/>
      <c r="B150" s="13"/>
      <c r="C150" s="756" t="s">
        <v>105</v>
      </c>
      <c r="D150" s="341"/>
      <c r="E150" s="732"/>
      <c r="F150" s="732"/>
      <c r="G150" s="732"/>
      <c r="H150" s="732"/>
      <c r="I150" s="288"/>
      <c r="J150" s="282" t="s">
        <v>133</v>
      </c>
      <c r="K150" s="288"/>
      <c r="L150" s="282" t="s">
        <v>143</v>
      </c>
      <c r="M150" s="13"/>
      <c r="N150" s="340" t="s">
        <v>79</v>
      </c>
      <c r="O150" s="13"/>
      <c r="P150" s="733" t="s">
        <v>132</v>
      </c>
      <c r="Q150" s="733"/>
      <c r="R150" s="334" t="str">
        <f>IF(E150="","n.d.",VLOOKUP(E150,lista_pod_rodzaj_ruchu_powietrza,4,0))</f>
        <v>n.d.</v>
      </c>
      <c r="S150" s="273"/>
      <c r="T150" s="365">
        <f>IF(Q151&gt;S151,0,1)</f>
        <v>1</v>
      </c>
      <c r="U150" s="266"/>
      <c r="V150" s="265"/>
    </row>
    <row r="151" spans="1:22" ht="14.4" customHeight="1">
      <c r="A151" s="265"/>
      <c r="B151" s="13"/>
      <c r="C151" s="756"/>
      <c r="D151" s="287"/>
      <c r="E151" s="730"/>
      <c r="F151" s="730"/>
      <c r="G151" s="730"/>
      <c r="H151" s="730"/>
      <c r="I151" s="342"/>
      <c r="J151" s="574"/>
      <c r="L151" s="574">
        <v>2.7</v>
      </c>
      <c r="M151" s="13"/>
      <c r="N151" s="664">
        <f>L151*J151</f>
        <v>0</v>
      </c>
      <c r="O151" s="13"/>
      <c r="P151" s="335" t="s">
        <v>333</v>
      </c>
      <c r="Q151" s="335">
        <f>IF(R150="n.d.",0,IF(R150="nawiew",G152*20,VLOOKUP(E150,warunki2,3,0)))</f>
        <v>0</v>
      </c>
      <c r="R151" s="731">
        <f>IF(R150="n.d.",-1,IF(R150="nawiew",0,IF(R150="wywiew",1,IF(R150="naw.wyw.",0.5,2))))</f>
        <v>-1</v>
      </c>
      <c r="S151" s="598">
        <v>50</v>
      </c>
      <c r="T151" s="335" t="s">
        <v>325</v>
      </c>
      <c r="U151" s="266"/>
      <c r="V151" s="265"/>
    </row>
    <row r="152" spans="1:22" ht="14.4" customHeight="1">
      <c r="A152" s="265"/>
      <c r="B152" s="13"/>
      <c r="C152" s="756"/>
      <c r="D152" s="13"/>
      <c r="E152" s="276" t="s">
        <v>41</v>
      </c>
      <c r="F152" s="625" t="str">
        <f>IF(R150&lt;&gt;"nawiew","n.d.","")</f>
        <v>n.d.</v>
      </c>
      <c r="G152" s="573">
        <f>H23</f>
        <v>4</v>
      </c>
      <c r="H152" s="343"/>
      <c r="I152" s="13"/>
      <c r="J152" s="342" t="s">
        <v>326</v>
      </c>
      <c r="K152" s="13"/>
      <c r="L152" s="342" t="s">
        <v>144</v>
      </c>
      <c r="M152" s="13"/>
      <c r="N152" s="342" t="s">
        <v>327</v>
      </c>
      <c r="O152" s="13"/>
      <c r="P152" s="335" t="s">
        <v>330</v>
      </c>
      <c r="Q152" s="347">
        <f>N151</f>
        <v>0</v>
      </c>
      <c r="R152" s="731"/>
      <c r="S152" s="13"/>
      <c r="T152" s="343"/>
      <c r="U152" s="266"/>
      <c r="V152" s="265"/>
    </row>
    <row r="153" spans="1:22" ht="13.2" customHeight="1">
      <c r="A153" s="265"/>
      <c r="B153" s="266"/>
      <c r="C153" s="338"/>
      <c r="D153" s="338"/>
      <c r="E153" s="338"/>
      <c r="F153" s="338"/>
      <c r="G153" s="338"/>
      <c r="H153" s="338"/>
      <c r="I153" s="338"/>
      <c r="J153" s="338"/>
      <c r="K153" s="338"/>
      <c r="L153" s="338"/>
      <c r="M153" s="338"/>
      <c r="N153" s="338"/>
      <c r="O153" s="338"/>
      <c r="P153" s="338"/>
      <c r="Q153" s="338"/>
      <c r="R153" s="338"/>
      <c r="S153" s="338"/>
      <c r="T153" s="338"/>
      <c r="U153" s="266"/>
      <c r="V153" s="265"/>
    </row>
    <row r="154" spans="1:22" ht="14.4" hidden="1" customHeight="1">
      <c r="A154" s="265"/>
      <c r="B154" s="266"/>
      <c r="C154" s="358"/>
      <c r="D154" s="358"/>
      <c r="E154" s="358"/>
      <c r="F154" s="358"/>
      <c r="G154" s="358"/>
      <c r="H154" s="358"/>
      <c r="I154" s="358"/>
      <c r="J154" s="265"/>
      <c r="K154" s="265"/>
      <c r="L154" s="265"/>
      <c r="M154" s="265"/>
      <c r="N154" s="265"/>
      <c r="O154" s="265"/>
      <c r="P154" s="265"/>
      <c r="Q154" s="265"/>
      <c r="R154" s="265"/>
      <c r="S154" s="265"/>
      <c r="T154" s="265"/>
      <c r="U154" s="266"/>
      <c r="V154" s="265"/>
    </row>
    <row r="155" spans="1:22" ht="14.4" customHeight="1">
      <c r="A155" s="265"/>
      <c r="B155" s="266"/>
      <c r="C155" s="336"/>
      <c r="D155" s="336"/>
      <c r="E155" s="336"/>
      <c r="F155" s="336"/>
      <c r="G155" s="336"/>
      <c r="H155" s="336"/>
      <c r="I155" s="336"/>
      <c r="J155" s="337"/>
      <c r="K155" s="337"/>
      <c r="L155" s="337"/>
      <c r="M155" s="337"/>
      <c r="N155" s="337"/>
      <c r="O155" s="337"/>
      <c r="P155" s="337"/>
      <c r="Q155" s="337"/>
      <c r="R155" s="337"/>
      <c r="S155" s="337"/>
      <c r="T155" s="337"/>
      <c r="U155" s="266"/>
      <c r="V155" s="265"/>
    </row>
    <row r="156" spans="1:22" ht="14.4" customHeight="1">
      <c r="A156" s="265"/>
      <c r="B156" s="13"/>
      <c r="C156" s="756" t="s">
        <v>106</v>
      </c>
      <c r="D156" s="341"/>
      <c r="E156" s="732"/>
      <c r="F156" s="732"/>
      <c r="G156" s="732"/>
      <c r="H156" s="732"/>
      <c r="I156" s="288"/>
      <c r="J156" s="282" t="s">
        <v>133</v>
      </c>
      <c r="K156" s="288"/>
      <c r="L156" s="282" t="s">
        <v>143</v>
      </c>
      <c r="M156" s="13"/>
      <c r="N156" s="340" t="s">
        <v>79</v>
      </c>
      <c r="O156" s="13"/>
      <c r="P156" s="733" t="s">
        <v>132</v>
      </c>
      <c r="Q156" s="733"/>
      <c r="R156" s="334" t="str">
        <f>IF(E156="","n.d.",VLOOKUP(E156,lista_pod_rodzaj_ruchu_powietrza,4,0))</f>
        <v>n.d.</v>
      </c>
      <c r="S156" s="273"/>
      <c r="T156" s="365">
        <f>IF(Q157&gt;S157,0,1)</f>
        <v>1</v>
      </c>
      <c r="U156" s="266"/>
      <c r="V156" s="265"/>
    </row>
    <row r="157" spans="1:22" ht="14.4" customHeight="1">
      <c r="A157" s="265"/>
      <c r="B157" s="13"/>
      <c r="C157" s="756"/>
      <c r="D157" s="287"/>
      <c r="E157" s="730"/>
      <c r="F157" s="730"/>
      <c r="G157" s="730"/>
      <c r="H157" s="730"/>
      <c r="I157" s="342"/>
      <c r="J157" s="574"/>
      <c r="L157" s="574">
        <v>2.75</v>
      </c>
      <c r="M157" s="13"/>
      <c r="N157" s="664">
        <f>L157*J157</f>
        <v>0</v>
      </c>
      <c r="O157" s="13"/>
      <c r="P157" s="335" t="s">
        <v>333</v>
      </c>
      <c r="Q157" s="335">
        <f>IF(R156="n.d.",0,IF(R156="nawiew",G158*20,VLOOKUP(E156,warunki2,3,0)))</f>
        <v>0</v>
      </c>
      <c r="R157" s="731">
        <f>IF(R156="n.d.",-1,IF(R156="nawiew",0,IF(R156="wywiew",1,IF(R156="naw.wyw.",0.5,2))))</f>
        <v>-1</v>
      </c>
      <c r="S157" s="598">
        <v>60</v>
      </c>
      <c r="T157" s="335" t="s">
        <v>325</v>
      </c>
      <c r="U157" s="266"/>
      <c r="V157" s="265"/>
    </row>
    <row r="158" spans="1:22" ht="14.4" customHeight="1">
      <c r="A158" s="265"/>
      <c r="B158" s="13"/>
      <c r="C158" s="756"/>
      <c r="D158" s="13"/>
      <c r="E158" s="276" t="s">
        <v>41</v>
      </c>
      <c r="F158" s="625" t="str">
        <f>IF(R156&lt;&gt;"nawiew","n.d.","")</f>
        <v>n.d.</v>
      </c>
      <c r="G158" s="573">
        <f>H23</f>
        <v>4</v>
      </c>
      <c r="H158" s="343"/>
      <c r="I158" s="13"/>
      <c r="J158" s="342" t="s">
        <v>326</v>
      </c>
      <c r="K158" s="13"/>
      <c r="L158" s="342" t="s">
        <v>144</v>
      </c>
      <c r="M158" s="13"/>
      <c r="N158" s="342" t="s">
        <v>327</v>
      </c>
      <c r="O158" s="13"/>
      <c r="P158" s="335" t="s">
        <v>330</v>
      </c>
      <c r="Q158" s="347">
        <f>N157</f>
        <v>0</v>
      </c>
      <c r="R158" s="731"/>
      <c r="S158" s="13"/>
      <c r="T158" s="343"/>
      <c r="U158" s="266"/>
      <c r="V158" s="265"/>
    </row>
    <row r="159" spans="1:22" ht="14.4" customHeight="1">
      <c r="A159" s="265"/>
      <c r="B159" s="266"/>
      <c r="C159" s="338"/>
      <c r="D159" s="338"/>
      <c r="E159" s="338"/>
      <c r="F159" s="338"/>
      <c r="G159" s="338"/>
      <c r="H159" s="338"/>
      <c r="I159" s="338"/>
      <c r="J159" s="338"/>
      <c r="K159" s="338"/>
      <c r="L159" s="338"/>
      <c r="M159" s="338"/>
      <c r="N159" s="338"/>
      <c r="O159" s="338"/>
      <c r="P159" s="338"/>
      <c r="Q159" s="338"/>
      <c r="R159" s="338"/>
      <c r="S159" s="338"/>
      <c r="T159" s="338"/>
      <c r="U159" s="266"/>
      <c r="V159" s="265"/>
    </row>
    <row r="160" spans="1:22" ht="14.4" hidden="1" customHeight="1">
      <c r="A160" s="265"/>
      <c r="B160" s="266"/>
      <c r="C160" s="358"/>
      <c r="D160" s="358"/>
      <c r="E160" s="358"/>
      <c r="F160" s="358"/>
      <c r="G160" s="358"/>
      <c r="H160" s="358"/>
      <c r="I160" s="358"/>
      <c r="J160" s="265"/>
      <c r="K160" s="265"/>
      <c r="L160" s="265"/>
      <c r="M160" s="265"/>
      <c r="N160" s="265"/>
      <c r="O160" s="265"/>
      <c r="P160" s="265"/>
      <c r="Q160" s="265"/>
      <c r="R160" s="265"/>
      <c r="S160" s="265"/>
      <c r="T160" s="265"/>
      <c r="U160" s="266"/>
      <c r="V160" s="265"/>
    </row>
    <row r="161" spans="1:22" ht="14.4" customHeight="1">
      <c r="A161" s="265"/>
      <c r="B161" s="266"/>
      <c r="C161" s="336"/>
      <c r="D161" s="336"/>
      <c r="E161" s="336"/>
      <c r="F161" s="336"/>
      <c r="G161" s="336"/>
      <c r="H161" s="336"/>
      <c r="I161" s="336"/>
      <c r="J161" s="337"/>
      <c r="K161" s="337"/>
      <c r="L161" s="337"/>
      <c r="M161" s="337"/>
      <c r="N161" s="337"/>
      <c r="O161" s="337"/>
      <c r="P161" s="337"/>
      <c r="Q161" s="337"/>
      <c r="R161" s="337"/>
      <c r="S161" s="337"/>
      <c r="T161" s="337"/>
      <c r="U161" s="266"/>
      <c r="V161" s="265"/>
    </row>
    <row r="162" spans="1:22" ht="14.4" customHeight="1">
      <c r="A162" s="265"/>
      <c r="B162" s="13"/>
      <c r="C162" s="756" t="s">
        <v>107</v>
      </c>
      <c r="D162" s="341"/>
      <c r="E162" s="732"/>
      <c r="F162" s="732"/>
      <c r="G162" s="732"/>
      <c r="H162" s="732"/>
      <c r="I162" s="288"/>
      <c r="J162" s="282" t="s">
        <v>133</v>
      </c>
      <c r="K162" s="288"/>
      <c r="L162" s="282" t="s">
        <v>143</v>
      </c>
      <c r="M162" s="13"/>
      <c r="N162" s="340" t="s">
        <v>79</v>
      </c>
      <c r="O162" s="13"/>
      <c r="P162" s="733" t="s">
        <v>132</v>
      </c>
      <c r="Q162" s="733"/>
      <c r="R162" s="334" t="str">
        <f>IF(E162="","n.d.",VLOOKUP(E162,lista_pod_rodzaj_ruchu_powietrza,4,0))</f>
        <v>n.d.</v>
      </c>
      <c r="S162" s="273"/>
      <c r="T162" s="365">
        <f>IF(Q163&gt;S163,0,1)</f>
        <v>1</v>
      </c>
      <c r="U162" s="266"/>
      <c r="V162" s="265"/>
    </row>
    <row r="163" spans="1:22" ht="14.4" customHeight="1">
      <c r="A163" s="265"/>
      <c r="B163" s="13"/>
      <c r="C163" s="756"/>
      <c r="D163" s="287"/>
      <c r="E163" s="730"/>
      <c r="F163" s="730"/>
      <c r="G163" s="730"/>
      <c r="H163" s="730"/>
      <c r="I163" s="342"/>
      <c r="J163" s="574">
        <v>0</v>
      </c>
      <c r="L163" s="574">
        <v>2.7</v>
      </c>
      <c r="M163" s="13"/>
      <c r="N163" s="664">
        <f>L163*J163</f>
        <v>0</v>
      </c>
      <c r="O163" s="13"/>
      <c r="P163" s="335" t="s">
        <v>333</v>
      </c>
      <c r="Q163" s="335">
        <f>IF(R162="n.d.",0,IF(R162="nawiew",G164*20,VLOOKUP(E162,warunki2,3,0)))</f>
        <v>0</v>
      </c>
      <c r="R163" s="731">
        <f>IF(R162="n.d.",-1,IF(R162="nawiew",0,IF(R162="wywiew",1,IF(R162="naw.wyw.",0.5,2))))</f>
        <v>-1</v>
      </c>
      <c r="S163" s="598">
        <f>Q163</f>
        <v>0</v>
      </c>
      <c r="T163" s="335" t="s">
        <v>325</v>
      </c>
      <c r="U163" s="266"/>
      <c r="V163" s="265"/>
    </row>
    <row r="164" spans="1:22" ht="14.4" customHeight="1">
      <c r="A164" s="265"/>
      <c r="B164" s="13"/>
      <c r="C164" s="756"/>
      <c r="D164" s="13"/>
      <c r="E164" s="276" t="s">
        <v>41</v>
      </c>
      <c r="F164" s="625" t="str">
        <f>IF(R162&lt;&gt;"nawiew","n.d.","")</f>
        <v>n.d.</v>
      </c>
      <c r="G164" s="573">
        <v>3</v>
      </c>
      <c r="H164" s="343"/>
      <c r="I164" s="13"/>
      <c r="J164" s="342" t="s">
        <v>326</v>
      </c>
      <c r="K164" s="13"/>
      <c r="L164" s="342" t="s">
        <v>144</v>
      </c>
      <c r="M164" s="13"/>
      <c r="N164" s="342" t="s">
        <v>327</v>
      </c>
      <c r="O164" s="13"/>
      <c r="P164" s="335" t="s">
        <v>330</v>
      </c>
      <c r="Q164" s="347">
        <f>N163</f>
        <v>0</v>
      </c>
      <c r="R164" s="731"/>
      <c r="S164" s="13"/>
      <c r="T164" s="343"/>
      <c r="U164" s="266"/>
      <c r="V164" s="265"/>
    </row>
    <row r="165" spans="1:22" ht="14.4" customHeight="1">
      <c r="A165" s="265"/>
      <c r="B165" s="266"/>
      <c r="C165" s="338"/>
      <c r="D165" s="338"/>
      <c r="E165" s="338"/>
      <c r="F165" s="338"/>
      <c r="G165" s="338"/>
      <c r="H165" s="338"/>
      <c r="I165" s="338"/>
      <c r="J165" s="338"/>
      <c r="K165" s="338"/>
      <c r="L165" s="338"/>
      <c r="M165" s="338"/>
      <c r="N165" s="338"/>
      <c r="O165" s="338"/>
      <c r="P165" s="338"/>
      <c r="Q165" s="338"/>
      <c r="R165" s="338"/>
      <c r="S165" s="338"/>
      <c r="T165" s="338"/>
      <c r="U165" s="266"/>
      <c r="V165" s="265"/>
    </row>
    <row r="166" spans="1:22" ht="14.4" customHeight="1">
      <c r="A166" s="265"/>
      <c r="B166" s="266"/>
      <c r="C166" s="13"/>
      <c r="D166" s="13"/>
      <c r="E166" s="13"/>
      <c r="F166" s="13"/>
      <c r="G166" s="13"/>
      <c r="H166" s="13"/>
      <c r="I166" s="13"/>
      <c r="J166" s="13"/>
      <c r="K166" s="13"/>
      <c r="L166" s="13"/>
      <c r="M166" s="13"/>
      <c r="N166" s="13"/>
      <c r="O166" s="13"/>
      <c r="P166" s="13"/>
      <c r="Q166" s="13"/>
      <c r="R166" s="13"/>
      <c r="S166" s="13"/>
      <c r="T166" s="13"/>
      <c r="U166" s="266"/>
      <c r="V166" s="265"/>
    </row>
    <row r="167" spans="1:22" ht="14.4" customHeight="1">
      <c r="A167" s="265"/>
      <c r="B167" s="266"/>
      <c r="C167" s="290"/>
      <c r="D167" s="290"/>
      <c r="E167" s="290"/>
      <c r="F167" s="290"/>
      <c r="G167" s="290"/>
      <c r="H167" s="290"/>
      <c r="I167" s="290"/>
      <c r="J167" s="266"/>
      <c r="K167" s="266"/>
      <c r="L167" s="266"/>
      <c r="M167" s="266"/>
      <c r="N167" s="266"/>
      <c r="O167" s="266"/>
      <c r="P167" s="266"/>
      <c r="Q167" s="266"/>
      <c r="R167" s="266"/>
      <c r="S167" s="266"/>
      <c r="T167" s="266"/>
      <c r="U167" s="266"/>
      <c r="V167" s="265"/>
    </row>
    <row r="168" spans="1:22" ht="14.4" customHeight="1">
      <c r="A168" s="265"/>
      <c r="B168" s="266"/>
      <c r="C168" s="290"/>
      <c r="D168" s="290"/>
      <c r="E168" s="290"/>
      <c r="F168" s="290"/>
      <c r="G168" s="290"/>
      <c r="H168" s="290"/>
      <c r="I168" s="290"/>
      <c r="J168" s="266"/>
      <c r="K168" s="266"/>
      <c r="L168" s="266"/>
      <c r="M168" s="266"/>
      <c r="N168" s="266"/>
      <c r="O168" s="266"/>
      <c r="P168" s="266"/>
      <c r="Q168" s="266"/>
      <c r="R168" s="266"/>
      <c r="S168" s="266"/>
      <c r="T168" s="266"/>
      <c r="U168" s="266"/>
      <c r="V168" s="265"/>
    </row>
    <row r="169" spans="1:22">
      <c r="A169" s="261"/>
      <c r="B169" s="263"/>
      <c r="C169" s="263"/>
      <c r="D169" s="263"/>
      <c r="E169" s="263"/>
      <c r="F169" s="263"/>
      <c r="G169" s="263"/>
      <c r="H169" s="263"/>
      <c r="I169" s="263"/>
      <c r="J169" s="263"/>
      <c r="K169" s="263"/>
      <c r="L169" s="263"/>
      <c r="M169" s="263"/>
      <c r="N169" s="263"/>
      <c r="O169" s="263"/>
      <c r="P169" s="263"/>
      <c r="Q169" s="263"/>
      <c r="R169" s="263"/>
      <c r="S169" s="263"/>
      <c r="T169" s="263"/>
      <c r="U169" s="263"/>
      <c r="V169" s="261"/>
    </row>
    <row r="170" spans="1:22" ht="21">
      <c r="A170" s="261"/>
      <c r="B170" s="263"/>
      <c r="C170" s="264" t="s">
        <v>516</v>
      </c>
      <c r="D170" s="263"/>
      <c r="E170" s="263"/>
      <c r="F170" s="263"/>
      <c r="G170" s="263"/>
      <c r="H170" s="263"/>
      <c r="I170" s="263"/>
      <c r="J170" s="263"/>
      <c r="K170" s="263"/>
      <c r="L170" s="263"/>
      <c r="M170" s="263"/>
      <c r="N170" s="263"/>
      <c r="O170" s="263"/>
      <c r="P170" s="263"/>
      <c r="Q170" s="263"/>
      <c r="R170" s="263"/>
      <c r="S170" s="736"/>
      <c r="T170" s="736"/>
      <c r="U170" s="263"/>
      <c r="V170" s="261"/>
    </row>
    <row r="171" spans="1:22">
      <c r="A171" s="261"/>
      <c r="B171" s="263"/>
      <c r="C171" s="263"/>
      <c r="D171" s="263"/>
      <c r="E171" s="263"/>
      <c r="F171" s="263"/>
      <c r="G171" s="263"/>
      <c r="H171" s="263"/>
      <c r="I171" s="263"/>
      <c r="J171" s="263"/>
      <c r="K171" s="263"/>
      <c r="L171" s="263"/>
      <c r="M171" s="263"/>
      <c r="N171" s="263"/>
      <c r="O171" s="263"/>
      <c r="P171" s="263"/>
      <c r="Q171" s="263"/>
      <c r="R171" s="263"/>
      <c r="S171" s="263"/>
      <c r="T171" s="263"/>
      <c r="U171" s="263"/>
      <c r="V171" s="261"/>
    </row>
    <row r="172" spans="1:22" ht="14.4" customHeight="1">
      <c r="A172" s="265"/>
      <c r="B172" s="266"/>
      <c r="C172" s="290"/>
      <c r="D172" s="290"/>
      <c r="E172" s="290"/>
      <c r="F172" s="290"/>
      <c r="G172" s="290"/>
      <c r="H172" s="290"/>
      <c r="I172" s="290"/>
      <c r="J172" s="266"/>
      <c r="K172" s="266"/>
      <c r="L172" s="266"/>
      <c r="M172" s="266"/>
      <c r="N172" s="266"/>
      <c r="O172" s="266"/>
      <c r="P172" s="266"/>
      <c r="Q172" s="266"/>
      <c r="R172" s="266"/>
      <c r="S172" s="266"/>
      <c r="T172" s="266"/>
      <c r="U172" s="266"/>
      <c r="V172" s="265"/>
    </row>
    <row r="173" spans="1:22" ht="14.4" customHeight="1">
      <c r="A173" s="265"/>
      <c r="B173" s="266"/>
      <c r="C173" s="290"/>
      <c r="D173" s="290"/>
      <c r="E173" s="290"/>
      <c r="F173" s="290"/>
      <c r="G173" s="290"/>
      <c r="H173" s="290"/>
      <c r="I173" s="290"/>
      <c r="J173" s="266"/>
      <c r="K173" s="266"/>
      <c r="L173" s="266"/>
      <c r="M173" s="266"/>
      <c r="N173" s="266"/>
      <c r="O173" s="266"/>
      <c r="P173" s="266"/>
      <c r="Q173" s="266"/>
      <c r="R173" s="266"/>
      <c r="S173" s="266"/>
      <c r="T173" s="266"/>
      <c r="U173" s="266"/>
      <c r="V173" s="265"/>
    </row>
    <row r="174" spans="1:22" ht="14.4" customHeight="1">
      <c r="A174" s="265"/>
      <c r="B174" s="422"/>
      <c r="C174" s="13"/>
      <c r="D174" s="746" t="s">
        <v>381</v>
      </c>
      <c r="E174" s="746"/>
      <c r="F174" s="746"/>
      <c r="G174" s="746"/>
      <c r="H174" s="426"/>
      <c r="I174" s="290"/>
      <c r="J174" s="266"/>
      <c r="K174" s="266"/>
      <c r="M174" s="746" t="s">
        <v>132</v>
      </c>
      <c r="N174" s="746"/>
      <c r="O174" s="746"/>
      <c r="P174" s="746"/>
      <c r="Q174" s="13"/>
      <c r="R174" s="13"/>
      <c r="S174" s="266"/>
      <c r="T174" s="266"/>
      <c r="U174" s="266"/>
      <c r="V174" s="265"/>
    </row>
    <row r="175" spans="1:22" ht="14.4" customHeight="1">
      <c r="A175" s="265"/>
      <c r="B175" s="422"/>
      <c r="C175" s="13"/>
      <c r="D175" s="747"/>
      <c r="E175" s="747"/>
      <c r="F175" s="747"/>
      <c r="G175" s="747"/>
      <c r="H175" s="440"/>
      <c r="I175" s="441"/>
      <c r="J175" s="290"/>
      <c r="K175" s="290"/>
      <c r="L175" s="427"/>
      <c r="M175" s="747"/>
      <c r="N175" s="747"/>
      <c r="O175" s="747"/>
      <c r="P175" s="747"/>
      <c r="Q175" s="441"/>
      <c r="R175" s="441"/>
      <c r="S175" s="441"/>
      <c r="T175" s="441"/>
      <c r="U175" s="266"/>
      <c r="V175" s="265"/>
    </row>
    <row r="176" spans="1:22" ht="14.4" customHeight="1">
      <c r="A176" s="265"/>
      <c r="B176" s="266"/>
      <c r="C176" s="290"/>
      <c r="D176" s="290"/>
      <c r="E176" s="290"/>
      <c r="F176" s="290"/>
      <c r="G176" s="290"/>
      <c r="H176" s="290"/>
      <c r="I176" s="290"/>
      <c r="J176" s="266"/>
      <c r="K176" s="266"/>
      <c r="L176" s="266"/>
      <c r="M176" s="266"/>
      <c r="N176" s="13"/>
      <c r="O176" s="13"/>
      <c r="P176" s="13"/>
      <c r="Q176" s="13"/>
      <c r="R176" s="13"/>
      <c r="S176" s="266"/>
      <c r="T176" s="266"/>
      <c r="U176" s="266"/>
      <c r="V176" s="265"/>
    </row>
    <row r="177" spans="1:22" ht="14.4" customHeight="1">
      <c r="A177" s="265"/>
      <c r="B177" s="266"/>
      <c r="C177" s="366" t="s">
        <v>335</v>
      </c>
      <c r="D177" s="366"/>
      <c r="E177" s="366"/>
      <c r="F177" s="366"/>
      <c r="G177" s="13"/>
      <c r="H177" s="429">
        <f>Obliczenia!G30</f>
        <v>133.4</v>
      </c>
      <c r="I177" s="428" t="s">
        <v>341</v>
      </c>
      <c r="J177" s="266"/>
      <c r="K177" s="266"/>
      <c r="L177" s="366" t="s">
        <v>379</v>
      </c>
      <c r="M177" s="266"/>
      <c r="N177" s="266"/>
      <c r="O177" s="266"/>
      <c r="P177" s="266"/>
      <c r="R177" s="434">
        <f>Obliczenia!N30</f>
        <v>260</v>
      </c>
      <c r="S177" s="428" t="s">
        <v>343</v>
      </c>
      <c r="T177" s="266"/>
      <c r="U177" s="266"/>
      <c r="V177" s="265"/>
    </row>
    <row r="178" spans="1:22" ht="14.4" customHeight="1">
      <c r="A178" s="265"/>
      <c r="B178" s="266"/>
      <c r="C178" s="13"/>
      <c r="D178" s="13"/>
      <c r="E178" s="13"/>
      <c r="F178" s="13"/>
      <c r="G178" s="13"/>
      <c r="H178" s="587"/>
      <c r="I178" s="588"/>
      <c r="J178" s="266"/>
      <c r="K178" s="13"/>
      <c r="L178" s="13"/>
      <c r="M178" s="13"/>
      <c r="N178" s="13"/>
      <c r="O178" s="13"/>
      <c r="P178" s="13"/>
      <c r="Q178" s="13"/>
      <c r="R178" s="13"/>
      <c r="S178" s="291"/>
      <c r="T178" s="266"/>
      <c r="U178" s="266"/>
      <c r="V178" s="265"/>
    </row>
    <row r="179" spans="1:22" ht="13.95" customHeight="1">
      <c r="A179" s="265"/>
      <c r="B179" s="266"/>
      <c r="C179" s="366" t="s">
        <v>382</v>
      </c>
      <c r="D179" s="13"/>
      <c r="E179" s="13"/>
      <c r="F179" s="13"/>
      <c r="G179" s="13"/>
      <c r="H179" s="429">
        <f>H17</f>
        <v>165</v>
      </c>
      <c r="I179" s="428" t="s">
        <v>341</v>
      </c>
      <c r="J179" s="266"/>
      <c r="K179" s="13"/>
      <c r="L179" s="366" t="s">
        <v>380</v>
      </c>
      <c r="M179" s="266"/>
      <c r="N179" s="266"/>
      <c r="O179" s="266"/>
      <c r="P179" s="266"/>
      <c r="R179" s="435">
        <f>Obliczenia!P30</f>
        <v>260</v>
      </c>
      <c r="S179" s="428" t="s">
        <v>343</v>
      </c>
      <c r="T179" s="266"/>
      <c r="U179" s="266"/>
      <c r="V179" s="265"/>
    </row>
    <row r="180" spans="1:22" ht="5.4" hidden="1" customHeight="1">
      <c r="A180" s="265"/>
      <c r="B180" s="266"/>
      <c r="C180" s="13"/>
      <c r="D180" s="13"/>
      <c r="E180" s="13"/>
      <c r="F180" s="13"/>
      <c r="G180" s="13"/>
      <c r="H180" s="587"/>
      <c r="I180" s="438"/>
      <c r="J180" s="266"/>
      <c r="K180" s="13"/>
      <c r="L180" s="266"/>
      <c r="M180" s="266"/>
      <c r="N180" s="13"/>
      <c r="O180" s="13"/>
      <c r="P180" s="13"/>
      <c r="Q180" s="13"/>
      <c r="R180" s="13"/>
      <c r="S180" s="266"/>
      <c r="T180" s="266"/>
      <c r="U180" s="266"/>
      <c r="V180" s="265"/>
    </row>
    <row r="181" spans="1:22" ht="14.4" customHeight="1">
      <c r="A181" s="265"/>
      <c r="B181" s="13"/>
      <c r="C181" s="13"/>
      <c r="D181" s="13"/>
      <c r="E181" s="13"/>
      <c r="F181" s="13"/>
      <c r="G181" s="13"/>
      <c r="H181" s="13"/>
      <c r="I181" s="13"/>
      <c r="J181" s="266"/>
      <c r="K181" s="266"/>
      <c r="L181" s="266"/>
      <c r="M181" s="266"/>
      <c r="N181" s="13"/>
      <c r="O181" s="13"/>
      <c r="P181" s="13"/>
      <c r="Q181" s="13"/>
      <c r="R181" s="13"/>
      <c r="S181" s="266"/>
      <c r="T181" s="266"/>
      <c r="U181" s="266"/>
      <c r="V181" s="265"/>
    </row>
    <row r="182" spans="1:22" ht="14.4" customHeight="1">
      <c r="A182" s="265"/>
      <c r="B182" s="13"/>
      <c r="C182" s="366" t="s">
        <v>383</v>
      </c>
      <c r="D182" s="13"/>
      <c r="E182" s="13"/>
      <c r="F182" s="13"/>
      <c r="G182" s="13"/>
      <c r="H182" s="431">
        <f>H177-H179</f>
        <v>-31.599999999999994</v>
      </c>
      <c r="I182" s="428" t="s">
        <v>341</v>
      </c>
      <c r="J182" s="266"/>
      <c r="K182" s="266"/>
      <c r="L182" s="366" t="s">
        <v>384</v>
      </c>
      <c r="M182" s="266"/>
      <c r="N182" s="266"/>
      <c r="O182" s="266"/>
      <c r="P182" s="13"/>
      <c r="R182" s="437">
        <f>IF(H186=0,"",R177/H184)</f>
        <v>0.64412238325281801</v>
      </c>
      <c r="S182" s="428" t="s">
        <v>20</v>
      </c>
      <c r="T182" s="266"/>
      <c r="U182" s="266"/>
      <c r="V182" s="265"/>
    </row>
    <row r="183" spans="1:22" ht="14.4" customHeight="1">
      <c r="A183" s="265"/>
      <c r="B183" s="266"/>
      <c r="C183" s="13"/>
      <c r="D183" s="13"/>
      <c r="E183" s="13"/>
      <c r="F183" s="13"/>
      <c r="G183" s="13"/>
      <c r="H183" s="587"/>
      <c r="I183" s="588"/>
      <c r="J183" s="266"/>
      <c r="K183" s="266"/>
      <c r="L183" s="13"/>
      <c r="M183" s="13"/>
      <c r="N183" s="13"/>
      <c r="O183" s="13"/>
      <c r="P183" s="13"/>
      <c r="Q183" s="13"/>
      <c r="R183" s="13"/>
      <c r="S183" s="13"/>
      <c r="T183" s="266"/>
      <c r="U183" s="266"/>
      <c r="V183" s="265"/>
    </row>
    <row r="184" spans="1:22" ht="14.4" customHeight="1">
      <c r="A184" s="265"/>
      <c r="B184" s="266"/>
      <c r="C184" s="366" t="s">
        <v>336</v>
      </c>
      <c r="D184" s="366"/>
      <c r="E184" s="366"/>
      <c r="F184" s="366"/>
      <c r="G184" s="13"/>
      <c r="H184" s="432">
        <f>Obliczenia!I30</f>
        <v>403.65000000000003</v>
      </c>
      <c r="I184" s="428" t="s">
        <v>342</v>
      </c>
      <c r="J184" s="266"/>
      <c r="K184" s="266"/>
      <c r="L184" s="13"/>
      <c r="M184" s="13"/>
      <c r="N184" s="13"/>
      <c r="O184" s="13"/>
      <c r="P184" s="13"/>
      <c r="Q184" s="13"/>
      <c r="R184" s="13"/>
      <c r="S184" s="13"/>
      <c r="T184" s="266"/>
      <c r="U184" s="266"/>
      <c r="V184" s="265"/>
    </row>
    <row r="185" spans="1:22" ht="14.4" customHeight="1">
      <c r="A185" s="265"/>
      <c r="B185" s="266"/>
      <c r="C185" s="290"/>
      <c r="D185" s="290"/>
      <c r="E185" s="290"/>
      <c r="F185" s="290"/>
      <c r="G185" s="290"/>
      <c r="H185" s="433"/>
      <c r="I185" s="383"/>
      <c r="J185" s="266"/>
      <c r="K185" s="266"/>
      <c r="L185" s="266"/>
      <c r="M185" s="266"/>
      <c r="N185" s="13"/>
      <c r="O185" s="13"/>
      <c r="P185" s="13"/>
      <c r="Q185" s="13"/>
      <c r="R185" s="13"/>
      <c r="S185" s="594"/>
      <c r="T185" s="594"/>
      <c r="U185" s="266"/>
      <c r="V185" s="265"/>
    </row>
    <row r="186" spans="1:22" ht="14.4" customHeight="1">
      <c r="A186" s="265"/>
      <c r="B186" s="266"/>
      <c r="C186" s="366" t="s">
        <v>361</v>
      </c>
      <c r="D186" s="366"/>
      <c r="E186" s="366"/>
      <c r="F186" s="366"/>
      <c r="G186" s="13"/>
      <c r="H186" s="429">
        <f>Obliczenia!D20+Obliczenia!D29</f>
        <v>18</v>
      </c>
      <c r="I186" s="13"/>
      <c r="J186" s="266"/>
      <c r="K186" s="13"/>
      <c r="L186" s="13"/>
      <c r="M186" s="13"/>
      <c r="N186" s="13"/>
      <c r="O186" s="13"/>
      <c r="P186" s="13"/>
      <c r="Q186" s="13"/>
      <c r="R186" s="13"/>
      <c r="S186" s="594"/>
      <c r="T186" s="594"/>
      <c r="U186" s="266"/>
      <c r="V186" s="265"/>
    </row>
    <row r="187" spans="1:22" ht="14.4" customHeight="1">
      <c r="A187" s="265"/>
      <c r="B187" s="266"/>
      <c r="C187" s="13"/>
      <c r="D187" s="13"/>
      <c r="E187" s="13"/>
      <c r="F187" s="13"/>
      <c r="G187" s="13"/>
      <c r="H187" s="13"/>
      <c r="I187" s="13"/>
      <c r="J187" s="266"/>
      <c r="K187" s="266"/>
      <c r="L187" s="266"/>
      <c r="M187" s="266"/>
      <c r="N187" s="13"/>
      <c r="O187" s="13"/>
      <c r="P187" s="13"/>
      <c r="Q187" s="13"/>
      <c r="R187" s="13"/>
      <c r="S187" s="594"/>
      <c r="T187" s="594"/>
      <c r="U187" s="266"/>
      <c r="V187" s="265"/>
    </row>
    <row r="188" spans="1:22" ht="14.4" customHeight="1">
      <c r="A188" s="265"/>
      <c r="B188" s="266"/>
      <c r="C188" s="266"/>
      <c r="D188" s="266"/>
      <c r="E188" s="266"/>
      <c r="F188" s="266"/>
      <c r="G188" s="266"/>
      <c r="H188" s="436"/>
      <c r="I188" s="439"/>
      <c r="J188" s="266"/>
      <c r="K188" s="266"/>
      <c r="L188" s="266"/>
      <c r="M188" s="266"/>
      <c r="N188" s="13"/>
      <c r="O188" s="13"/>
      <c r="P188" s="13"/>
      <c r="Q188" s="13"/>
      <c r="R188" s="13"/>
      <c r="S188" s="594"/>
      <c r="T188" s="594"/>
      <c r="U188" s="266"/>
      <c r="V188" s="265"/>
    </row>
    <row r="189" spans="1:22" ht="14.4" customHeight="1">
      <c r="A189" s="265"/>
      <c r="B189" s="266"/>
      <c r="C189" s="13"/>
      <c r="D189" s="13"/>
      <c r="E189" s="13"/>
      <c r="F189" s="13"/>
      <c r="G189" s="13"/>
      <c r="H189" s="13"/>
      <c r="I189" s="13"/>
      <c r="J189" s="266"/>
      <c r="K189" s="266"/>
      <c r="L189" s="266"/>
      <c r="M189" s="266"/>
      <c r="N189" s="750"/>
      <c r="O189" s="750"/>
      <c r="P189" s="750"/>
      <c r="Q189" s="750"/>
      <c r="R189" s="750"/>
      <c r="S189" s="594"/>
      <c r="T189" s="594"/>
      <c r="U189" s="266"/>
      <c r="V189" s="265"/>
    </row>
    <row r="190" spans="1:22" ht="14.4" customHeight="1">
      <c r="A190" s="265"/>
      <c r="B190" s="266"/>
      <c r="C190" s="366"/>
      <c r="D190" s="266"/>
      <c r="E190" s="266"/>
      <c r="F190" s="266"/>
      <c r="G190" s="13"/>
      <c r="H190" s="437"/>
      <c r="I190" s="428"/>
      <c r="J190" s="266"/>
      <c r="K190" s="266"/>
      <c r="L190" s="266"/>
      <c r="M190" s="266"/>
      <c r="N190" s="750"/>
      <c r="O190" s="750"/>
      <c r="P190" s="750"/>
      <c r="Q190" s="750"/>
      <c r="R190" s="750"/>
      <c r="S190" s="594"/>
      <c r="T190" s="594"/>
      <c r="U190" s="266"/>
      <c r="V190" s="265"/>
    </row>
    <row r="191" spans="1:22" ht="14.4" customHeight="1">
      <c r="A191" s="265"/>
      <c r="B191" s="266"/>
      <c r="C191" s="366"/>
      <c r="D191" s="266"/>
      <c r="E191" s="266"/>
      <c r="F191" s="266"/>
      <c r="G191" s="13"/>
      <c r="H191" s="437"/>
      <c r="I191" s="428"/>
      <c r="J191" s="266"/>
      <c r="K191" s="266"/>
      <c r="L191" s="266"/>
      <c r="M191" s="266"/>
      <c r="N191" s="740"/>
      <c r="O191" s="740"/>
      <c r="P191" s="740"/>
      <c r="Q191" s="740"/>
      <c r="R191" s="740"/>
      <c r="S191" s="594"/>
      <c r="T191" s="594"/>
      <c r="U191" s="266"/>
      <c r="V191" s="265"/>
    </row>
    <row r="192" spans="1:22">
      <c r="A192" s="261"/>
      <c r="B192" s="263"/>
      <c r="C192" s="263"/>
      <c r="D192" s="263"/>
      <c r="E192" s="263"/>
      <c r="F192" s="263"/>
      <c r="G192" s="263"/>
      <c r="H192" s="263"/>
      <c r="I192" s="263"/>
      <c r="J192" s="263"/>
      <c r="K192" s="263"/>
      <c r="L192" s="263"/>
      <c r="M192" s="263"/>
      <c r="N192" s="263"/>
      <c r="O192" s="263"/>
      <c r="P192" s="263"/>
      <c r="Q192" s="263"/>
      <c r="R192" s="263"/>
      <c r="S192" s="263"/>
      <c r="T192" s="263"/>
      <c r="U192" s="263"/>
      <c r="V192" s="261"/>
    </row>
    <row r="193" spans="1:51" ht="21">
      <c r="A193" s="261"/>
      <c r="B193" s="263"/>
      <c r="C193" s="264" t="s">
        <v>517</v>
      </c>
      <c r="D193" s="263"/>
      <c r="E193" s="263"/>
      <c r="F193" s="263"/>
      <c r="G193" s="263"/>
      <c r="H193" s="263"/>
      <c r="I193" s="263"/>
      <c r="J193" s="263"/>
      <c r="K193" s="263"/>
      <c r="L193" s="263"/>
      <c r="M193" s="263"/>
      <c r="N193" s="263"/>
      <c r="O193" s="263"/>
      <c r="P193" s="263"/>
      <c r="Q193" s="263"/>
      <c r="R193" s="263"/>
      <c r="S193" s="736"/>
      <c r="T193" s="736"/>
      <c r="U193" s="263"/>
      <c r="V193" s="261"/>
    </row>
    <row r="194" spans="1:51">
      <c r="A194" s="261"/>
      <c r="B194" s="263"/>
      <c r="C194" s="263"/>
      <c r="D194" s="263"/>
      <c r="E194" s="263"/>
      <c r="F194" s="263"/>
      <c r="G194" s="263"/>
      <c r="H194" s="263"/>
      <c r="I194" s="263"/>
      <c r="J194" s="263"/>
      <c r="K194" s="263"/>
      <c r="L194" s="263"/>
      <c r="M194" s="263"/>
      <c r="N194" s="263"/>
      <c r="O194" s="263"/>
      <c r="P194" s="263"/>
      <c r="Q194" s="263"/>
      <c r="R194" s="263"/>
      <c r="S194" s="263"/>
      <c r="T194" s="263"/>
      <c r="U194" s="263"/>
      <c r="V194" s="261"/>
    </row>
    <row r="195" spans="1:51" ht="14.4" customHeight="1">
      <c r="A195" s="265"/>
      <c r="B195" s="266"/>
      <c r="C195" s="366"/>
      <c r="D195" s="266"/>
      <c r="E195" s="266"/>
      <c r="F195" s="266"/>
      <c r="G195" s="13"/>
      <c r="H195" s="437"/>
      <c r="I195" s="428"/>
      <c r="J195" s="266"/>
      <c r="K195" s="266"/>
      <c r="L195" s="266"/>
      <c r="M195" s="266"/>
      <c r="N195" s="590"/>
      <c r="O195" s="590"/>
      <c r="P195" s="590"/>
      <c r="Q195" s="590"/>
      <c r="R195" s="590"/>
      <c r="S195" s="580"/>
      <c r="T195" s="580"/>
      <c r="U195" s="266"/>
      <c r="V195" s="265"/>
    </row>
    <row r="196" spans="1:51" ht="14.4" customHeight="1">
      <c r="A196" s="265"/>
      <c r="B196" s="266"/>
      <c r="C196" s="366"/>
      <c r="D196" s="266"/>
      <c r="E196" s="266"/>
      <c r="F196" s="266"/>
      <c r="G196" s="13"/>
      <c r="H196" s="437"/>
      <c r="I196" s="428"/>
      <c r="J196" s="266"/>
      <c r="K196" s="266"/>
      <c r="L196" s="266"/>
      <c r="M196" s="266"/>
      <c r="N196" s="266"/>
      <c r="O196" s="266"/>
      <c r="P196" s="266"/>
      <c r="Q196" s="266"/>
      <c r="R196" s="266"/>
      <c r="S196" s="266"/>
      <c r="T196" s="266"/>
      <c r="U196" s="266"/>
      <c r="V196" s="265"/>
    </row>
    <row r="197" spans="1:51" ht="14.4" customHeight="1">
      <c r="A197" s="265"/>
      <c r="B197" s="422"/>
      <c r="C197" s="13"/>
      <c r="D197" s="746" t="s">
        <v>393</v>
      </c>
      <c r="E197" s="746"/>
      <c r="F197" s="746"/>
      <c r="G197" s="746"/>
      <c r="H197" s="426"/>
      <c r="I197" s="290"/>
      <c r="J197" s="266"/>
      <c r="K197" s="266"/>
      <c r="L197" s="266"/>
      <c r="M197" s="266"/>
      <c r="N197" s="266"/>
      <c r="O197" s="266"/>
      <c r="P197" s="266"/>
      <c r="Q197" s="266"/>
      <c r="R197" s="266"/>
      <c r="S197" s="266"/>
      <c r="T197" s="266"/>
      <c r="U197" s="266"/>
      <c r="V197" s="265"/>
    </row>
    <row r="198" spans="1:51" ht="14.4" customHeight="1">
      <c r="A198" s="265"/>
      <c r="B198" s="422"/>
      <c r="C198" s="13"/>
      <c r="D198" s="747"/>
      <c r="E198" s="747"/>
      <c r="F198" s="747"/>
      <c r="G198" s="747"/>
      <c r="H198" s="440"/>
      <c r="I198" s="441"/>
      <c r="J198" s="450"/>
      <c r="K198" s="450"/>
      <c r="L198" s="450"/>
      <c r="M198" s="450"/>
      <c r="N198" s="450"/>
      <c r="O198" s="450"/>
      <c r="P198" s="450"/>
      <c r="Q198" s="450"/>
      <c r="R198" s="450"/>
      <c r="S198" s="450"/>
      <c r="T198" s="450"/>
      <c r="U198" s="266"/>
      <c r="V198" s="265"/>
    </row>
    <row r="199" spans="1:51" ht="14.4" customHeight="1">
      <c r="A199" s="265"/>
      <c r="B199" s="266"/>
      <c r="C199" s="290"/>
      <c r="D199" s="290"/>
      <c r="E199" s="290"/>
      <c r="F199" s="290"/>
      <c r="G199" s="290"/>
      <c r="H199" s="290"/>
      <c r="I199" s="290"/>
      <c r="J199" s="266"/>
      <c r="K199" s="266"/>
      <c r="L199" s="266"/>
      <c r="M199" s="266"/>
      <c r="N199" s="266"/>
      <c r="O199" s="266"/>
      <c r="P199" s="266"/>
      <c r="Q199" s="266"/>
      <c r="R199" s="266"/>
      <c r="S199" s="266"/>
      <c r="T199" s="266"/>
      <c r="U199" s="266"/>
      <c r="V199" s="265"/>
    </row>
    <row r="200" spans="1:51" ht="14.4" customHeight="1">
      <c r="A200" s="265"/>
      <c r="B200" s="266"/>
      <c r="C200" s="751" t="s">
        <v>634</v>
      </c>
      <c r="D200" s="752"/>
      <c r="E200" s="752"/>
      <c r="F200" s="752"/>
      <c r="G200" s="752"/>
      <c r="H200" s="753">
        <f>INT(Obliczenia!C99)</f>
        <v>5991</v>
      </c>
      <c r="I200" s="754" t="s">
        <v>391</v>
      </c>
      <c r="J200" s="266"/>
      <c r="K200" s="751" t="s">
        <v>633</v>
      </c>
      <c r="L200" s="751"/>
      <c r="M200" s="751"/>
      <c r="N200" s="751"/>
      <c r="O200" s="751"/>
      <c r="P200" s="751"/>
      <c r="Q200" s="647">
        <f>INT(Obliczenia!B110)</f>
        <v>397</v>
      </c>
      <c r="R200" s="648" t="s">
        <v>391</v>
      </c>
      <c r="U200" s="266"/>
      <c r="V200" s="265"/>
    </row>
    <row r="201" spans="1:51" ht="14.4" customHeight="1">
      <c r="A201" s="265"/>
      <c r="B201" s="266"/>
      <c r="C201" s="752"/>
      <c r="D201" s="752"/>
      <c r="E201" s="752"/>
      <c r="F201" s="752"/>
      <c r="G201" s="752"/>
      <c r="H201" s="753"/>
      <c r="I201" s="754"/>
      <c r="J201" s="266"/>
      <c r="K201" s="751"/>
      <c r="L201" s="751"/>
      <c r="M201" s="751"/>
      <c r="N201" s="751"/>
      <c r="O201" s="751"/>
      <c r="P201" s="751"/>
      <c r="Q201" s="647">
        <f>INT(Obliczenia!G123)+INT(Obliczenia!G116)</f>
        <v>961</v>
      </c>
      <c r="R201" s="649" t="s">
        <v>392</v>
      </c>
      <c r="U201" s="266"/>
      <c r="V201" s="265"/>
    </row>
    <row r="202" spans="1:51" s="444" customFormat="1" ht="15" customHeight="1">
      <c r="A202" s="265"/>
      <c r="B202" s="364"/>
      <c r="E202" s="472"/>
      <c r="F202" s="472"/>
      <c r="G202" s="472"/>
      <c r="I202" s="473"/>
      <c r="J202" s="473"/>
      <c r="K202" s="473"/>
      <c r="L202" s="473"/>
      <c r="M202" s="473"/>
      <c r="N202" s="473"/>
      <c r="O202" s="473"/>
      <c r="P202" s="473"/>
      <c r="Q202" s="473"/>
      <c r="R202" s="473"/>
      <c r="S202" s="473"/>
      <c r="T202" s="364"/>
      <c r="U202" s="442"/>
      <c r="V202" s="265"/>
      <c r="W202" s="442"/>
      <c r="X202" s="442"/>
      <c r="Y202" s="443"/>
      <c r="Z202" s="443"/>
      <c r="AA202" s="443"/>
      <c r="AB202" s="443"/>
      <c r="AC202" s="443"/>
      <c r="AD202" s="443"/>
      <c r="AE202" s="443"/>
      <c r="AF202" s="443"/>
      <c r="AG202" s="443"/>
      <c r="AH202" s="443"/>
      <c r="AI202" s="443"/>
      <c r="AJ202" s="443"/>
      <c r="AK202" s="443"/>
      <c r="AL202" s="443"/>
      <c r="AM202" s="443"/>
      <c r="AN202" s="443"/>
      <c r="AO202" s="364"/>
      <c r="AP202" s="364"/>
      <c r="AQ202" s="364"/>
      <c r="AY202" s="474"/>
    </row>
    <row r="203" spans="1:51" s="444" customFormat="1">
      <c r="A203" s="265"/>
      <c r="B203" s="364"/>
      <c r="D203" s="472"/>
      <c r="E203" s="472"/>
      <c r="F203" s="472"/>
      <c r="G203" s="472"/>
      <c r="H203" s="473"/>
      <c r="I203" s="473"/>
      <c r="J203" s="473"/>
      <c r="K203" s="473"/>
      <c r="L203" s="473"/>
      <c r="N203" s="473"/>
      <c r="O203" s="473"/>
      <c r="P203" s="473"/>
      <c r="Q203" s="473"/>
      <c r="R203" s="473"/>
      <c r="S203" s="473"/>
      <c r="T203" s="364"/>
      <c r="U203" s="442"/>
      <c r="V203" s="265"/>
      <c r="W203" s="442"/>
      <c r="X203" s="442"/>
      <c r="Y203" s="443"/>
      <c r="Z203" s="443"/>
      <c r="AA203" s="443"/>
      <c r="AB203" s="443"/>
      <c r="AC203" s="443"/>
      <c r="AD203" s="443"/>
      <c r="AE203" s="443"/>
      <c r="AF203" s="443"/>
      <c r="AG203" s="443"/>
      <c r="AH203" s="443"/>
      <c r="AI203" s="443"/>
      <c r="AJ203" s="443"/>
      <c r="AK203" s="443"/>
      <c r="AL203" s="443"/>
      <c r="AM203" s="443"/>
      <c r="AN203" s="443"/>
      <c r="AO203" s="364"/>
      <c r="AP203" s="364"/>
      <c r="AQ203" s="364"/>
      <c r="AY203" s="474"/>
    </row>
    <row r="204" spans="1:51" s="444" customFormat="1" ht="14.4" customHeight="1">
      <c r="A204" s="265"/>
      <c r="B204" s="364"/>
      <c r="C204" s="364"/>
      <c r="D204" s="743" t="s">
        <v>389</v>
      </c>
      <c r="E204" s="743"/>
      <c r="F204" s="743"/>
      <c r="G204" s="364"/>
      <c r="H204" s="364"/>
      <c r="K204" s="475"/>
      <c r="L204" s="743" t="s">
        <v>387</v>
      </c>
      <c r="M204" s="743"/>
      <c r="N204" s="364"/>
      <c r="O204" s="364"/>
      <c r="P204" s="364"/>
      <c r="Q204" s="364"/>
      <c r="R204" s="364"/>
      <c r="S204" s="364"/>
      <c r="U204" s="442"/>
      <c r="V204" s="265"/>
      <c r="W204" s="442"/>
      <c r="X204" s="442"/>
      <c r="Y204" s="443"/>
      <c r="Z204" s="443"/>
      <c r="AA204" s="443"/>
      <c r="AB204" s="443"/>
      <c r="AC204" s="443"/>
      <c r="AD204" s="443"/>
      <c r="AE204" s="443"/>
      <c r="AF204" s="443"/>
      <c r="AG204" s="443"/>
      <c r="AH204" s="443"/>
      <c r="AI204" s="443"/>
      <c r="AJ204" s="443"/>
      <c r="AK204" s="443"/>
      <c r="AL204" s="443"/>
      <c r="AM204" s="443"/>
      <c r="AN204" s="443"/>
      <c r="AO204" s="364"/>
      <c r="AP204" s="364"/>
      <c r="AQ204" s="364"/>
      <c r="AY204" s="474"/>
    </row>
    <row r="205" spans="1:51" s="444" customFormat="1" ht="14.4" customHeight="1">
      <c r="A205" s="265"/>
      <c r="D205" s="743"/>
      <c r="E205" s="743"/>
      <c r="F205" s="743"/>
      <c r="G205" s="476"/>
      <c r="H205" s="477"/>
      <c r="K205" s="475"/>
      <c r="L205" s="743"/>
      <c r="M205" s="743"/>
      <c r="N205" s="478"/>
      <c r="O205" s="478"/>
      <c r="P205" s="478"/>
      <c r="Q205" s="478"/>
      <c r="R205" s="478"/>
      <c r="S205" s="478"/>
      <c r="T205" s="479"/>
      <c r="U205" s="472"/>
      <c r="V205" s="265"/>
      <c r="W205" s="442"/>
      <c r="X205" s="442"/>
      <c r="Y205" s="443"/>
      <c r="Z205" s="443"/>
      <c r="AA205" s="443"/>
      <c r="AB205" s="443"/>
      <c r="AC205" s="443"/>
      <c r="AD205" s="443"/>
      <c r="AE205" s="443"/>
      <c r="AF205" s="443"/>
      <c r="AG205" s="443"/>
      <c r="AH205" s="443"/>
      <c r="AI205" s="443"/>
      <c r="AJ205" s="443"/>
      <c r="AK205" s="443"/>
      <c r="AL205" s="443"/>
      <c r="AM205" s="443"/>
      <c r="AN205" s="443"/>
      <c r="AO205" s="364"/>
      <c r="AP205" s="364"/>
      <c r="AQ205" s="364"/>
      <c r="AY205" s="474"/>
    </row>
    <row r="206" spans="1:51" s="444" customFormat="1">
      <c r="A206" s="265"/>
      <c r="E206" s="480" t="str">
        <f>INT(Obliczenia!C99)&amp;" [kWh]"</f>
        <v>5991 [kWh]</v>
      </c>
      <c r="F206" s="479"/>
      <c r="K206" s="475"/>
      <c r="L206" s="743"/>
      <c r="M206" s="743"/>
      <c r="T206" s="481"/>
      <c r="U206" s="442"/>
      <c r="V206" s="265"/>
      <c r="W206" s="442"/>
      <c r="X206" s="442"/>
      <c r="Y206" s="443"/>
      <c r="Z206" s="443"/>
      <c r="AA206" s="443"/>
      <c r="AB206" s="443"/>
      <c r="AC206" s="443"/>
      <c r="AD206" s="443"/>
      <c r="AE206" s="443"/>
      <c r="AF206" s="443"/>
      <c r="AG206" s="443"/>
      <c r="AH206" s="443"/>
      <c r="AI206" s="443"/>
      <c r="AJ206" s="443"/>
      <c r="AK206" s="443"/>
      <c r="AL206" s="443"/>
      <c r="AM206" s="443"/>
      <c r="AN206" s="443"/>
      <c r="AO206" s="364"/>
      <c r="AP206" s="364"/>
      <c r="AQ206" s="364"/>
      <c r="AY206" s="474"/>
    </row>
    <row r="207" spans="1:51" s="444" customFormat="1">
      <c r="A207" s="265"/>
      <c r="F207" s="578" t="s">
        <v>486</v>
      </c>
      <c r="G207" s="579"/>
      <c r="H207" s="579"/>
      <c r="L207" s="745" t="str">
        <f>INT(Obliczenia!G116)&amp;" [kWh]"</f>
        <v>413 [kWh]</v>
      </c>
      <c r="M207" s="745"/>
      <c r="P207" s="578" t="s">
        <v>487</v>
      </c>
      <c r="Q207" s="579"/>
      <c r="R207" s="579"/>
      <c r="U207" s="442"/>
      <c r="V207" s="265"/>
      <c r="W207" s="442"/>
      <c r="X207" s="442"/>
      <c r="Y207" s="443"/>
      <c r="Z207" s="443"/>
      <c r="AA207" s="443"/>
      <c r="AB207" s="443"/>
      <c r="AC207" s="443"/>
      <c r="AD207" s="443"/>
      <c r="AE207" s="443"/>
      <c r="AF207" s="443"/>
      <c r="AG207" s="443"/>
      <c r="AH207" s="443"/>
      <c r="AI207" s="443"/>
      <c r="AJ207" s="443"/>
      <c r="AK207" s="443"/>
      <c r="AL207" s="443"/>
      <c r="AM207" s="443"/>
      <c r="AN207" s="443"/>
      <c r="AO207" s="364"/>
      <c r="AP207" s="364"/>
      <c r="AQ207" s="364"/>
      <c r="AY207" s="474"/>
    </row>
    <row r="208" spans="1:51" s="444" customFormat="1">
      <c r="A208" s="265"/>
      <c r="F208" s="576" t="s">
        <v>264</v>
      </c>
      <c r="H208" s="577">
        <f>INT(Obliczenia!$C$99)*Warunki!C32</f>
        <v>2276.58</v>
      </c>
      <c r="I208" s="481"/>
      <c r="P208" s="576" t="s">
        <v>264</v>
      </c>
      <c r="R208" s="577">
        <f>(INT(Obliczenia!$G$123)+INT(Obliczenia!$G$116))*Warunki!$C$34+INT(Obliczenia!$B$110)*Warunki!C32</f>
        <v>1256.0099999999998</v>
      </c>
      <c r="U208" s="442"/>
      <c r="V208" s="265"/>
      <c r="W208" s="442"/>
      <c r="X208" s="442"/>
      <c r="Y208" s="443"/>
      <c r="Z208" s="443"/>
      <c r="AA208" s="443"/>
      <c r="AB208" s="443"/>
      <c r="AC208" s="443"/>
      <c r="AD208" s="443"/>
      <c r="AE208" s="443"/>
      <c r="AF208" s="443"/>
      <c r="AG208" s="443"/>
      <c r="AH208" s="443"/>
      <c r="AI208" s="443"/>
      <c r="AJ208" s="443"/>
      <c r="AK208" s="443"/>
      <c r="AL208" s="443"/>
      <c r="AM208" s="443"/>
      <c r="AN208" s="443"/>
      <c r="AO208" s="364"/>
      <c r="AP208" s="364"/>
      <c r="AQ208" s="364"/>
      <c r="AY208" s="474"/>
    </row>
    <row r="209" spans="1:54" s="444" customFormat="1" ht="15" customHeight="1">
      <c r="A209" s="265"/>
      <c r="F209" s="576" t="s">
        <v>544</v>
      </c>
      <c r="H209" s="577">
        <f>INT(Obliczenia!$C$99)*Warunki!C33</f>
        <v>3235.1400000000003</v>
      </c>
      <c r="I209" s="481"/>
      <c r="P209" s="576" t="s">
        <v>264</v>
      </c>
      <c r="R209" s="577">
        <f>(INT(Obliczenia!$G$123)+INT(Obliczenia!$G$116))*Warunki!$C$34+INT(Obliczenia!$B$110)*Warunki!C33</f>
        <v>1319.53</v>
      </c>
      <c r="T209" s="479"/>
      <c r="U209" s="479"/>
      <c r="V209" s="265"/>
      <c r="W209" s="442"/>
      <c r="X209" s="442"/>
      <c r="Y209" s="443"/>
      <c r="Z209" s="443"/>
      <c r="AA209" s="443"/>
      <c r="AB209" s="443"/>
      <c r="AC209" s="443"/>
      <c r="AD209" s="443"/>
      <c r="AE209" s="443"/>
      <c r="AF209" s="443"/>
      <c r="AG209" s="443"/>
      <c r="AH209" s="443"/>
      <c r="AI209" s="443"/>
      <c r="AJ209" s="443"/>
      <c r="AK209" s="443"/>
      <c r="AL209" s="443"/>
      <c r="AM209" s="443"/>
      <c r="AN209" s="443"/>
      <c r="AO209" s="364"/>
      <c r="AP209" s="364"/>
      <c r="AQ209" s="364"/>
      <c r="AY209" s="474"/>
    </row>
    <row r="210" spans="1:54" s="444" customFormat="1">
      <c r="A210" s="265"/>
      <c r="F210" s="576" t="s">
        <v>395</v>
      </c>
      <c r="H210" s="577">
        <f>INT(Obliczenia!$C$99)*Warunki!C34/3.7</f>
        <v>1862.0675675675673</v>
      </c>
      <c r="I210" s="481"/>
      <c r="P210" s="576" t="s">
        <v>395</v>
      </c>
      <c r="R210" s="577">
        <f>(INT(Obliczenia!$G$123)+INT(Obliczenia!$G$116))*Warunki!$C$34+INT(Obliczenia!$B$110)*Warunki!C34/3.7</f>
        <v>1228.5418918918917</v>
      </c>
      <c r="S210" s="479"/>
      <c r="T210" s="479"/>
      <c r="U210" s="479"/>
      <c r="V210" s="265"/>
      <c r="W210" s="442"/>
      <c r="X210" s="442"/>
      <c r="Y210" s="443"/>
      <c r="Z210" s="443"/>
      <c r="AA210" s="443"/>
      <c r="AB210" s="443"/>
      <c r="AC210" s="443"/>
      <c r="AD210" s="443"/>
      <c r="AE210" s="443"/>
      <c r="AF210" s="443"/>
      <c r="AG210" s="443"/>
      <c r="AH210" s="443"/>
      <c r="AI210" s="443"/>
      <c r="AJ210" s="443"/>
      <c r="AK210" s="443"/>
      <c r="AL210" s="443"/>
      <c r="AM210" s="443"/>
      <c r="AN210" s="443"/>
      <c r="AO210" s="364"/>
      <c r="AP210" s="364"/>
      <c r="AQ210" s="364"/>
      <c r="AY210" s="474"/>
    </row>
    <row r="211" spans="1:54" s="444" customFormat="1">
      <c r="A211" s="265"/>
      <c r="F211" s="576" t="s">
        <v>396</v>
      </c>
      <c r="H211" s="577">
        <f>INT(Obliczenia!$C$99)*Warunki!C34/4.4</f>
        <v>1565.8295454545453</v>
      </c>
      <c r="J211" s="744" t="str">
        <f>INT(Obliczenia!G123)&amp;" [kWh]"</f>
        <v>548 [kWh]</v>
      </c>
      <c r="K211" s="744"/>
      <c r="N211" s="757" t="str">
        <f>INT(Obliczenia!B110)&amp;" [kWh]"</f>
        <v>397 [kWh]</v>
      </c>
      <c r="P211" s="576" t="s">
        <v>396</v>
      </c>
      <c r="R211" s="577">
        <f>(INT(Obliczenia!$G$123)+INT(Obliczenia!$G$116))*Warunki!$C$34+INT(Obliczenia!$B$110)*Warunki!C35/4.4</f>
        <v>1105.1499999999999</v>
      </c>
      <c r="U211" s="442"/>
      <c r="V211" s="265"/>
      <c r="W211" s="442"/>
      <c r="X211" s="442"/>
      <c r="Y211" s="443"/>
      <c r="Z211" s="443"/>
      <c r="AA211" s="443"/>
      <c r="AB211" s="443"/>
      <c r="AC211" s="443"/>
      <c r="AD211" s="443"/>
      <c r="AE211" s="443"/>
      <c r="AF211" s="443"/>
      <c r="AG211" s="443"/>
      <c r="AH211" s="443"/>
      <c r="AI211" s="443"/>
      <c r="AJ211" s="443"/>
      <c r="AK211" s="443"/>
      <c r="AL211" s="443"/>
      <c r="AM211" s="443"/>
      <c r="AN211" s="443"/>
      <c r="AO211" s="364"/>
      <c r="AP211" s="364"/>
      <c r="AQ211" s="364"/>
      <c r="AY211" s="474"/>
    </row>
    <row r="212" spans="1:54" s="444" customFormat="1" ht="15" customHeight="1">
      <c r="A212" s="265"/>
      <c r="D212" s="482"/>
      <c r="E212" s="482"/>
      <c r="F212" s="446"/>
      <c r="J212" s="744"/>
      <c r="K212" s="744"/>
      <c r="M212" s="483"/>
      <c r="N212" s="757"/>
      <c r="O212" s="483"/>
      <c r="P212" s="483"/>
      <c r="Q212" s="483"/>
      <c r="R212" s="483"/>
      <c r="U212" s="445"/>
      <c r="V212" s="265"/>
      <c r="W212" s="479"/>
      <c r="X212" s="479"/>
      <c r="Y212" s="443"/>
      <c r="Z212" s="443"/>
      <c r="AA212" s="443"/>
      <c r="AB212" s="443"/>
      <c r="AC212" s="443"/>
      <c r="AD212" s="443"/>
      <c r="AE212" s="443"/>
      <c r="AF212" s="443"/>
      <c r="AG212" s="443"/>
      <c r="AH212" s="443"/>
      <c r="AI212" s="443"/>
      <c r="AJ212" s="443"/>
      <c r="AK212" s="443"/>
      <c r="AL212" s="443"/>
      <c r="AM212" s="443"/>
      <c r="AN212" s="443"/>
      <c r="AO212" s="364"/>
      <c r="AP212" s="364"/>
      <c r="AQ212" s="364"/>
      <c r="AY212" s="474"/>
    </row>
    <row r="213" spans="1:54" s="444" customFormat="1" ht="15" customHeight="1">
      <c r="A213" s="265"/>
      <c r="C213" s="482"/>
      <c r="D213" s="748" t="s">
        <v>489</v>
      </c>
      <c r="E213" s="748"/>
      <c r="F213" s="364"/>
      <c r="I213" s="484"/>
      <c r="J213" s="743" t="s">
        <v>388</v>
      </c>
      <c r="K213" s="743"/>
      <c r="L213" s="749" t="s">
        <v>488</v>
      </c>
      <c r="M213" s="749"/>
      <c r="N213" s="743" t="s">
        <v>390</v>
      </c>
      <c r="O213" s="743"/>
      <c r="P213" s="743"/>
      <c r="Q213" s="364"/>
      <c r="S213" s="364"/>
      <c r="T213" s="364"/>
      <c r="U213" s="479"/>
      <c r="V213" s="265"/>
      <c r="W213" s="479"/>
      <c r="X213" s="479"/>
      <c r="Y213" s="443"/>
      <c r="Z213" s="443"/>
      <c r="AA213" s="443"/>
      <c r="AB213" s="443"/>
      <c r="AC213" s="443"/>
      <c r="AD213" s="443"/>
      <c r="AE213" s="443"/>
      <c r="AF213" s="443"/>
      <c r="AG213" s="443"/>
      <c r="AH213" s="443"/>
      <c r="AI213" s="443"/>
      <c r="AJ213" s="443"/>
      <c r="AK213" s="443"/>
      <c r="AL213" s="443"/>
      <c r="AM213" s="443"/>
      <c r="AN213" s="443"/>
      <c r="AO213" s="364"/>
      <c r="AP213" s="364"/>
      <c r="AQ213" s="364"/>
      <c r="AY213" s="474"/>
    </row>
    <row r="214" spans="1:54" s="444" customFormat="1">
      <c r="A214" s="265"/>
      <c r="C214" s="482"/>
      <c r="D214" s="482"/>
      <c r="E214" s="482"/>
      <c r="J214" s="743"/>
      <c r="K214" s="743"/>
      <c r="N214" s="743"/>
      <c r="O214" s="743"/>
      <c r="P214" s="743"/>
      <c r="U214" s="445"/>
      <c r="V214" s="265"/>
      <c r="W214" s="445"/>
      <c r="X214" s="445"/>
      <c r="Y214" s="443"/>
      <c r="Z214" s="443"/>
      <c r="AA214" s="443"/>
      <c r="AB214" s="443"/>
      <c r="AC214" s="443"/>
      <c r="AD214" s="443"/>
      <c r="AE214" s="443"/>
      <c r="AF214" s="443"/>
      <c r="AG214" s="443"/>
      <c r="AH214" s="443"/>
      <c r="AI214" s="443"/>
      <c r="AJ214" s="443"/>
      <c r="AK214" s="443"/>
      <c r="AL214" s="443"/>
      <c r="AM214" s="443"/>
      <c r="AN214" s="443"/>
      <c r="AO214" s="364"/>
      <c r="AP214" s="364"/>
      <c r="AQ214" s="364"/>
      <c r="AY214" s="474"/>
    </row>
    <row r="215" spans="1:54" s="444" customFormat="1" ht="10.199999999999999" customHeight="1">
      <c r="A215" s="265"/>
      <c r="I215" s="484"/>
      <c r="J215" s="743"/>
      <c r="K215" s="743"/>
      <c r="N215" s="743"/>
      <c r="O215" s="743"/>
      <c r="P215" s="743"/>
      <c r="U215" s="445"/>
      <c r="V215" s="265"/>
      <c r="W215" s="445"/>
      <c r="X215" s="445"/>
      <c r="Y215" s="443"/>
      <c r="Z215" s="443"/>
      <c r="AA215" s="443"/>
      <c r="AB215" s="443"/>
      <c r="AC215" s="443"/>
      <c r="AD215" s="443"/>
      <c r="AE215" s="443"/>
      <c r="AF215" s="443"/>
      <c r="AG215" s="443"/>
      <c r="AH215" s="443"/>
      <c r="AI215" s="443"/>
      <c r="AJ215" s="443"/>
      <c r="AK215" s="443"/>
      <c r="AL215" s="443"/>
      <c r="AM215" s="443"/>
      <c r="AN215" s="443"/>
      <c r="AO215" s="364"/>
      <c r="AP215" s="364"/>
      <c r="AQ215" s="364"/>
      <c r="AR215" s="364"/>
      <c r="AS215" s="364"/>
      <c r="AT215" s="364"/>
      <c r="AU215" s="364"/>
      <c r="AV215" s="364"/>
      <c r="AW215" s="364"/>
      <c r="AX215" s="364"/>
      <c r="AY215" s="485"/>
      <c r="AZ215" s="364"/>
      <c r="BA215" s="442"/>
      <c r="BB215" s="442"/>
    </row>
    <row r="216" spans="1:54" s="444" customFormat="1" ht="14.4" customHeight="1">
      <c r="A216" s="265"/>
      <c r="I216" s="484"/>
      <c r="J216" s="581"/>
      <c r="K216" s="581"/>
      <c r="N216" s="581"/>
      <c r="O216" s="581"/>
      <c r="P216" s="581"/>
      <c r="U216" s="445"/>
      <c r="V216" s="265"/>
      <c r="W216" s="445"/>
      <c r="X216" s="445"/>
      <c r="Y216" s="443"/>
      <c r="Z216" s="443"/>
      <c r="AA216" s="443"/>
      <c r="AB216" s="443"/>
      <c r="AC216" s="443"/>
      <c r="AD216" s="443"/>
      <c r="AE216" s="443"/>
      <c r="AF216" s="443"/>
      <c r="AG216" s="443"/>
      <c r="AH216" s="443"/>
      <c r="AI216" s="443"/>
      <c r="AJ216" s="443"/>
      <c r="AK216" s="443"/>
      <c r="AL216" s="443"/>
      <c r="AM216" s="443"/>
      <c r="AN216" s="443"/>
      <c r="AO216" s="364"/>
      <c r="AP216" s="364"/>
      <c r="AQ216" s="364"/>
      <c r="AR216" s="364"/>
      <c r="AS216" s="364"/>
      <c r="AT216" s="364"/>
      <c r="AU216" s="364"/>
      <c r="AV216" s="364"/>
      <c r="AW216" s="364"/>
      <c r="AX216" s="364"/>
      <c r="AY216" s="485"/>
      <c r="AZ216" s="364"/>
      <c r="BA216" s="442"/>
      <c r="BB216" s="442"/>
    </row>
    <row r="217" spans="1:54" s="444" customFormat="1" ht="14.4" customHeight="1">
      <c r="A217" s="265"/>
      <c r="I217" s="484"/>
      <c r="J217" s="581"/>
      <c r="K217" s="581"/>
      <c r="N217" s="581"/>
      <c r="O217" s="581"/>
      <c r="P217" s="581"/>
      <c r="U217" s="445"/>
      <c r="V217" s="265"/>
      <c r="W217" s="445"/>
      <c r="X217" s="445"/>
      <c r="Y217" s="443"/>
      <c r="Z217" s="443"/>
      <c r="AA217" s="443"/>
      <c r="AB217" s="443"/>
      <c r="AC217" s="443"/>
      <c r="AD217" s="443"/>
      <c r="AE217" s="443"/>
      <c r="AF217" s="443"/>
      <c r="AG217" s="443"/>
      <c r="AH217" s="443"/>
      <c r="AI217" s="443"/>
      <c r="AJ217" s="443"/>
      <c r="AK217" s="443"/>
      <c r="AL217" s="443"/>
      <c r="AM217" s="443"/>
      <c r="AN217" s="443"/>
      <c r="AO217" s="364"/>
      <c r="AP217" s="364"/>
      <c r="AQ217" s="364"/>
      <c r="AR217" s="364"/>
      <c r="AS217" s="364"/>
      <c r="AT217" s="364"/>
      <c r="AU217" s="364"/>
      <c r="AV217" s="364"/>
      <c r="AW217" s="364"/>
      <c r="AX217" s="364"/>
      <c r="AY217" s="485"/>
      <c r="AZ217" s="364"/>
      <c r="BA217" s="442"/>
      <c r="BB217" s="442"/>
    </row>
    <row r="218" spans="1:54" s="444" customFormat="1" ht="14.4" customHeight="1">
      <c r="A218" s="265"/>
      <c r="C218" s="737" t="s">
        <v>518</v>
      </c>
      <c r="D218" s="737"/>
      <c r="E218" s="737"/>
      <c r="F218" s="737"/>
      <c r="G218" s="737"/>
      <c r="H218" s="591"/>
      <c r="I218" s="592"/>
      <c r="J218" s="593"/>
      <c r="K218" s="593"/>
      <c r="L218" s="591"/>
      <c r="M218" s="591"/>
      <c r="N218" s="593"/>
      <c r="O218" s="593"/>
      <c r="P218" s="593"/>
      <c r="Q218" s="591"/>
      <c r="R218" s="591"/>
      <c r="S218" s="591"/>
      <c r="T218" s="591"/>
      <c r="U218" s="445"/>
      <c r="V218" s="265"/>
      <c r="W218" s="445"/>
      <c r="X218" s="445"/>
      <c r="Y218" s="443"/>
      <c r="Z218" s="443"/>
      <c r="AA218" s="443"/>
      <c r="AB218" s="443"/>
      <c r="AC218" s="443"/>
      <c r="AD218" s="443"/>
      <c r="AE218" s="443"/>
      <c r="AF218" s="443"/>
      <c r="AG218" s="443"/>
      <c r="AH218" s="443"/>
      <c r="AI218" s="443"/>
      <c r="AJ218" s="443"/>
      <c r="AK218" s="443"/>
      <c r="AL218" s="443"/>
      <c r="AM218" s="443"/>
      <c r="AN218" s="443"/>
      <c r="AO218" s="364"/>
      <c r="AP218" s="364"/>
      <c r="AQ218" s="364"/>
      <c r="AR218" s="364"/>
      <c r="AS218" s="364"/>
      <c r="AT218" s="364"/>
      <c r="AU218" s="364"/>
      <c r="AV218" s="364"/>
      <c r="AW218" s="364"/>
      <c r="AX218" s="364"/>
      <c r="AY218" s="485"/>
      <c r="AZ218" s="364"/>
      <c r="BA218" s="442"/>
      <c r="BB218" s="442"/>
    </row>
    <row r="219" spans="1:54" s="444" customFormat="1" ht="14.4" customHeight="1">
      <c r="A219" s="265"/>
      <c r="C219" s="738"/>
      <c r="D219" s="738"/>
      <c r="E219" s="738"/>
      <c r="F219" s="738"/>
      <c r="G219" s="738"/>
      <c r="H219" s="591"/>
      <c r="I219" s="592"/>
      <c r="J219" s="593"/>
      <c r="K219" s="593"/>
      <c r="L219" s="591"/>
      <c r="M219" s="591"/>
      <c r="N219" s="593"/>
      <c r="O219" s="593"/>
      <c r="P219" s="593"/>
      <c r="Q219" s="591"/>
      <c r="R219" s="591"/>
      <c r="S219" s="591"/>
      <c r="T219" s="591"/>
      <c r="U219" s="445"/>
      <c r="V219" s="265"/>
      <c r="W219" s="445"/>
      <c r="X219" s="445"/>
      <c r="Y219" s="443"/>
      <c r="Z219" s="443"/>
      <c r="AA219" s="443"/>
      <c r="AB219" s="443"/>
      <c r="AC219" s="443"/>
      <c r="AD219" s="443"/>
      <c r="AE219" s="443"/>
      <c r="AF219" s="443"/>
      <c r="AG219" s="443"/>
      <c r="AH219" s="443"/>
      <c r="AI219" s="443"/>
      <c r="AJ219" s="443"/>
      <c r="AK219" s="443"/>
      <c r="AL219" s="443"/>
      <c r="AM219" s="443"/>
      <c r="AN219" s="443"/>
      <c r="AO219" s="364"/>
      <c r="AP219" s="364"/>
      <c r="AQ219" s="364"/>
      <c r="AR219" s="364"/>
      <c r="AS219" s="364"/>
      <c r="AT219" s="364"/>
      <c r="AU219" s="364"/>
      <c r="AV219" s="364"/>
      <c r="AW219" s="364"/>
      <c r="AX219" s="364"/>
      <c r="AY219" s="485"/>
      <c r="AZ219" s="364"/>
      <c r="BA219" s="442"/>
      <c r="BB219" s="442"/>
    </row>
    <row r="220" spans="1:54" s="444" customFormat="1" ht="14.4" customHeight="1">
      <c r="A220" s="265"/>
      <c r="C220" s="734"/>
      <c r="D220" s="734"/>
      <c r="E220" s="734"/>
      <c r="F220" s="734"/>
      <c r="G220" s="734"/>
      <c r="H220" s="734"/>
      <c r="I220" s="734"/>
      <c r="J220" s="734"/>
      <c r="K220" s="734"/>
      <c r="L220" s="734"/>
      <c r="M220" s="734"/>
      <c r="N220" s="734"/>
      <c r="O220" s="734"/>
      <c r="P220" s="734"/>
      <c r="Q220" s="734"/>
      <c r="R220" s="734"/>
      <c r="S220" s="734"/>
      <c r="T220" s="734"/>
      <c r="U220" s="445"/>
      <c r="V220" s="265"/>
      <c r="W220" s="445"/>
      <c r="X220" s="445"/>
      <c r="Y220" s="443"/>
      <c r="Z220" s="443"/>
      <c r="AA220" s="443"/>
      <c r="AB220" s="443"/>
      <c r="AC220" s="443"/>
      <c r="AD220" s="443"/>
      <c r="AE220" s="443"/>
      <c r="AF220" s="443"/>
      <c r="AG220" s="443"/>
      <c r="AH220" s="443"/>
      <c r="AI220" s="443"/>
      <c r="AJ220" s="443"/>
      <c r="AK220" s="443"/>
      <c r="AL220" s="443"/>
      <c r="AM220" s="443"/>
      <c r="AN220" s="443"/>
      <c r="AO220" s="364"/>
      <c r="AP220" s="364"/>
      <c r="AQ220" s="364"/>
      <c r="AR220" s="364"/>
      <c r="AS220" s="364"/>
      <c r="AT220" s="364"/>
      <c r="AU220" s="364"/>
      <c r="AV220" s="364"/>
      <c r="AW220" s="364"/>
      <c r="AX220" s="364"/>
      <c r="AY220" s="485"/>
      <c r="AZ220" s="364"/>
      <c r="BA220" s="442"/>
      <c r="BB220" s="442"/>
    </row>
    <row r="221" spans="1:54" s="444" customFormat="1" ht="14.4" customHeight="1">
      <c r="A221" s="265"/>
      <c r="C221" s="735"/>
      <c r="D221" s="735"/>
      <c r="E221" s="735"/>
      <c r="F221" s="735"/>
      <c r="G221" s="735"/>
      <c r="H221" s="735"/>
      <c r="I221" s="735"/>
      <c r="J221" s="735"/>
      <c r="K221" s="735"/>
      <c r="L221" s="735"/>
      <c r="M221" s="735"/>
      <c r="N221" s="735"/>
      <c r="O221" s="735"/>
      <c r="P221" s="735"/>
      <c r="Q221" s="735"/>
      <c r="R221" s="735"/>
      <c r="S221" s="735"/>
      <c r="T221" s="735"/>
      <c r="U221" s="445"/>
      <c r="V221" s="265"/>
      <c r="W221" s="445"/>
      <c r="X221" s="445"/>
      <c r="Y221" s="443"/>
      <c r="Z221" s="443"/>
      <c r="AA221" s="443"/>
      <c r="AB221" s="443"/>
      <c r="AC221" s="443"/>
      <c r="AD221" s="443"/>
      <c r="AE221" s="443"/>
      <c r="AF221" s="443"/>
      <c r="AG221" s="443"/>
      <c r="AH221" s="443"/>
      <c r="AI221" s="443"/>
      <c r="AJ221" s="443"/>
      <c r="AK221" s="443"/>
      <c r="AL221" s="443"/>
      <c r="AM221" s="443"/>
      <c r="AN221" s="443"/>
      <c r="AO221" s="364"/>
      <c r="AP221" s="364"/>
      <c r="AQ221" s="364"/>
      <c r="AR221" s="364"/>
      <c r="AS221" s="364"/>
      <c r="AT221" s="364"/>
      <c r="AU221" s="364"/>
      <c r="AV221" s="364"/>
      <c r="AW221" s="364"/>
      <c r="AX221" s="364"/>
      <c r="AY221" s="485"/>
      <c r="AZ221" s="364"/>
      <c r="BA221" s="442"/>
      <c r="BB221" s="442"/>
    </row>
    <row r="222" spans="1:54" s="444" customFormat="1" ht="14.4" customHeight="1">
      <c r="A222" s="265"/>
      <c r="C222" s="734"/>
      <c r="D222" s="734"/>
      <c r="E222" s="734"/>
      <c r="F222" s="734"/>
      <c r="G222" s="734"/>
      <c r="H222" s="734"/>
      <c r="I222" s="734"/>
      <c r="J222" s="734"/>
      <c r="K222" s="734"/>
      <c r="L222" s="734"/>
      <c r="M222" s="734"/>
      <c r="N222" s="734"/>
      <c r="O222" s="734"/>
      <c r="P222" s="734"/>
      <c r="Q222" s="734"/>
      <c r="R222" s="734"/>
      <c r="S222" s="734"/>
      <c r="T222" s="734"/>
      <c r="U222" s="445"/>
      <c r="V222" s="265"/>
      <c r="W222" s="445"/>
      <c r="X222" s="445"/>
      <c r="Y222" s="443"/>
      <c r="Z222" s="443"/>
      <c r="AA222" s="443"/>
      <c r="AB222" s="443"/>
      <c r="AC222" s="443"/>
      <c r="AD222" s="443"/>
      <c r="AE222" s="443"/>
      <c r="AF222" s="443"/>
      <c r="AG222" s="443"/>
      <c r="AH222" s="443"/>
      <c r="AI222" s="443"/>
      <c r="AJ222" s="443"/>
      <c r="AK222" s="443"/>
      <c r="AL222" s="443"/>
      <c r="AM222" s="443"/>
      <c r="AN222" s="443"/>
      <c r="AO222" s="364"/>
      <c r="AP222" s="364"/>
      <c r="AQ222" s="364"/>
      <c r="AR222" s="364"/>
      <c r="AS222" s="364"/>
      <c r="AT222" s="364"/>
      <c r="AU222" s="364"/>
      <c r="AV222" s="364"/>
      <c r="AW222" s="364"/>
      <c r="AX222" s="364"/>
      <c r="AY222" s="485"/>
      <c r="AZ222" s="364"/>
      <c r="BA222" s="442"/>
      <c r="BB222" s="442"/>
    </row>
    <row r="223" spans="1:54" s="444" customFormat="1" ht="14.4" customHeight="1">
      <c r="A223" s="265"/>
      <c r="C223" s="735"/>
      <c r="D223" s="735"/>
      <c r="E223" s="735"/>
      <c r="F223" s="735"/>
      <c r="G223" s="735"/>
      <c r="H223" s="735"/>
      <c r="I223" s="735"/>
      <c r="J223" s="735"/>
      <c r="K223" s="735"/>
      <c r="L223" s="735"/>
      <c r="M223" s="735"/>
      <c r="N223" s="735"/>
      <c r="O223" s="735"/>
      <c r="P223" s="735"/>
      <c r="Q223" s="735"/>
      <c r="R223" s="735"/>
      <c r="S223" s="735"/>
      <c r="T223" s="735"/>
      <c r="U223" s="445"/>
      <c r="V223" s="265"/>
      <c r="W223" s="445"/>
      <c r="X223" s="445"/>
      <c r="Y223" s="443"/>
      <c r="Z223" s="443"/>
      <c r="AA223" s="443"/>
      <c r="AB223" s="443"/>
      <c r="AC223" s="443"/>
      <c r="AD223" s="443"/>
      <c r="AE223" s="443"/>
      <c r="AF223" s="443"/>
      <c r="AG223" s="443"/>
      <c r="AH223" s="443"/>
      <c r="AI223" s="443"/>
      <c r="AJ223" s="443"/>
      <c r="AK223" s="443"/>
      <c r="AL223" s="443"/>
      <c r="AM223" s="443"/>
      <c r="AN223" s="443"/>
      <c r="AO223" s="364"/>
      <c r="AP223" s="364"/>
      <c r="AQ223" s="364"/>
      <c r="AR223" s="364"/>
      <c r="AS223" s="364"/>
      <c r="AT223" s="364"/>
      <c r="AU223" s="364"/>
      <c r="AV223" s="364"/>
      <c r="AW223" s="364"/>
      <c r="AX223" s="364"/>
      <c r="AY223" s="485"/>
      <c r="AZ223" s="364"/>
      <c r="BA223" s="442"/>
      <c r="BB223" s="442"/>
    </row>
    <row r="224" spans="1:54" s="444" customFormat="1" ht="14.4" customHeight="1">
      <c r="A224" s="265"/>
      <c r="C224" s="734"/>
      <c r="D224" s="734"/>
      <c r="E224" s="734"/>
      <c r="F224" s="734"/>
      <c r="G224" s="734"/>
      <c r="H224" s="734"/>
      <c r="I224" s="734"/>
      <c r="J224" s="734"/>
      <c r="K224" s="734"/>
      <c r="L224" s="734"/>
      <c r="M224" s="734"/>
      <c r="N224" s="734"/>
      <c r="O224" s="734"/>
      <c r="P224" s="734"/>
      <c r="Q224" s="734"/>
      <c r="R224" s="734"/>
      <c r="S224" s="734"/>
      <c r="T224" s="734"/>
      <c r="U224" s="445"/>
      <c r="V224" s="265"/>
      <c r="W224" s="445"/>
      <c r="X224" s="445"/>
      <c r="Y224" s="443"/>
      <c r="Z224" s="443"/>
      <c r="AA224" s="443"/>
      <c r="AB224" s="443"/>
      <c r="AC224" s="443"/>
      <c r="AD224" s="443"/>
      <c r="AE224" s="443"/>
      <c r="AF224" s="443"/>
      <c r="AG224" s="443"/>
      <c r="AH224" s="443"/>
      <c r="AI224" s="443"/>
      <c r="AJ224" s="443"/>
      <c r="AK224" s="443"/>
      <c r="AL224" s="443"/>
      <c r="AM224" s="443"/>
      <c r="AN224" s="443"/>
      <c r="AO224" s="364"/>
      <c r="AP224" s="364"/>
      <c r="AQ224" s="364"/>
      <c r="AR224" s="364"/>
      <c r="AS224" s="364"/>
      <c r="AT224" s="364"/>
      <c r="AU224" s="364"/>
      <c r="AV224" s="364"/>
      <c r="AW224" s="364"/>
      <c r="AX224" s="364"/>
      <c r="AY224" s="485"/>
      <c r="AZ224" s="364"/>
      <c r="BA224" s="442"/>
      <c r="BB224" s="442"/>
    </row>
    <row r="225" spans="1:54" s="444" customFormat="1" ht="14.4" customHeight="1">
      <c r="A225" s="265"/>
      <c r="C225" s="735"/>
      <c r="D225" s="735"/>
      <c r="E225" s="735"/>
      <c r="F225" s="735"/>
      <c r="G225" s="735"/>
      <c r="H225" s="735"/>
      <c r="I225" s="735"/>
      <c r="J225" s="735"/>
      <c r="K225" s="735"/>
      <c r="L225" s="735"/>
      <c r="M225" s="735"/>
      <c r="N225" s="735"/>
      <c r="O225" s="735"/>
      <c r="P225" s="735"/>
      <c r="Q225" s="735"/>
      <c r="R225" s="735"/>
      <c r="S225" s="735"/>
      <c r="T225" s="735"/>
      <c r="U225" s="445"/>
      <c r="V225" s="265"/>
      <c r="W225" s="445"/>
      <c r="X225" s="445"/>
      <c r="Y225" s="443"/>
      <c r="Z225" s="443"/>
      <c r="AA225" s="443"/>
      <c r="AB225" s="443"/>
      <c r="AC225" s="443"/>
      <c r="AD225" s="443"/>
      <c r="AE225" s="443"/>
      <c r="AF225" s="443"/>
      <c r="AG225" s="443"/>
      <c r="AH225" s="443"/>
      <c r="AI225" s="443"/>
      <c r="AJ225" s="443"/>
      <c r="AK225" s="443"/>
      <c r="AL225" s="443"/>
      <c r="AM225" s="443"/>
      <c r="AN225" s="443"/>
      <c r="AO225" s="364"/>
      <c r="AP225" s="364"/>
      <c r="AQ225" s="364"/>
      <c r="AR225" s="364"/>
      <c r="AS225" s="364"/>
      <c r="AT225" s="364"/>
      <c r="AU225" s="364"/>
      <c r="AV225" s="364"/>
      <c r="AW225" s="364"/>
      <c r="AX225" s="364"/>
      <c r="AY225" s="485"/>
      <c r="AZ225" s="364"/>
      <c r="BA225" s="442"/>
      <c r="BB225" s="442"/>
    </row>
    <row r="226" spans="1:54" s="444" customFormat="1" ht="14.4" customHeight="1">
      <c r="A226" s="265"/>
      <c r="U226" s="445"/>
      <c r="V226" s="265"/>
      <c r="W226" s="445"/>
      <c r="X226" s="445"/>
      <c r="Y226" s="443"/>
      <c r="Z226" s="443"/>
      <c r="AA226" s="443"/>
      <c r="AB226" s="443"/>
      <c r="AC226" s="443"/>
      <c r="AD226" s="443"/>
      <c r="AE226" s="443"/>
      <c r="AF226" s="443"/>
      <c r="AG226" s="443"/>
      <c r="AH226" s="443"/>
      <c r="AI226" s="443"/>
      <c r="AJ226" s="443"/>
      <c r="AK226" s="443"/>
      <c r="AL226" s="443"/>
      <c r="AM226" s="443"/>
      <c r="AN226" s="443"/>
      <c r="AO226" s="364"/>
      <c r="AP226" s="364"/>
      <c r="AQ226" s="364"/>
      <c r="AR226" s="364"/>
      <c r="AS226" s="364"/>
      <c r="AT226" s="364"/>
      <c r="AU226" s="364"/>
      <c r="AV226" s="364"/>
      <c r="AW226" s="364"/>
      <c r="AX226" s="364"/>
      <c r="AY226" s="485"/>
      <c r="AZ226" s="364"/>
      <c r="BA226" s="442"/>
      <c r="BB226" s="442"/>
    </row>
    <row r="227" spans="1:54" s="444" customFormat="1" ht="14.4" customHeight="1">
      <c r="A227" s="265"/>
      <c r="U227" s="445"/>
      <c r="V227" s="265"/>
      <c r="W227" s="445"/>
      <c r="X227" s="445"/>
      <c r="Y227" s="443"/>
      <c r="Z227" s="443"/>
      <c r="AA227" s="443"/>
      <c r="AB227" s="443"/>
      <c r="AC227" s="443"/>
      <c r="AD227" s="443"/>
      <c r="AE227" s="443"/>
      <c r="AF227" s="443"/>
      <c r="AG227" s="443"/>
      <c r="AH227" s="443"/>
      <c r="AI227" s="443"/>
      <c r="AJ227" s="443"/>
      <c r="AK227" s="443"/>
      <c r="AL227" s="443"/>
      <c r="AM227" s="443"/>
      <c r="AN227" s="443"/>
      <c r="AO227" s="364"/>
      <c r="AP227" s="364"/>
      <c r="AQ227" s="364"/>
      <c r="AR227" s="364"/>
      <c r="AS227" s="364"/>
      <c r="AT227" s="364"/>
      <c r="AU227" s="364"/>
      <c r="AV227" s="364"/>
      <c r="AW227" s="364"/>
      <c r="AX227" s="364"/>
      <c r="AY227" s="485"/>
      <c r="AZ227" s="364"/>
      <c r="BA227" s="442"/>
      <c r="BB227" s="442"/>
    </row>
    <row r="228" spans="1:54" s="444" customFormat="1" ht="14.4" customHeight="1">
      <c r="A228" s="265"/>
      <c r="C228" s="589"/>
      <c r="D228" s="13"/>
      <c r="E228" s="13"/>
      <c r="F228" s="291"/>
      <c r="G228" s="291"/>
      <c r="I228" s="484"/>
      <c r="J228" s="581"/>
      <c r="K228" s="581"/>
      <c r="N228" s="581"/>
      <c r="O228" s="581"/>
      <c r="P228" s="581"/>
      <c r="U228" s="445"/>
      <c r="V228" s="265"/>
      <c r="W228" s="445"/>
      <c r="X228" s="445"/>
      <c r="Y228" s="443"/>
      <c r="Z228" s="443"/>
      <c r="AA228" s="443"/>
      <c r="AB228" s="443"/>
      <c r="AC228" s="443"/>
      <c r="AD228" s="443"/>
      <c r="AE228" s="443"/>
      <c r="AF228" s="443"/>
      <c r="AG228" s="443"/>
      <c r="AH228" s="443"/>
      <c r="AI228" s="443"/>
      <c r="AJ228" s="443"/>
      <c r="AK228" s="443"/>
      <c r="AL228" s="443"/>
      <c r="AM228" s="443"/>
      <c r="AN228" s="443"/>
      <c r="AO228" s="364"/>
      <c r="AP228" s="364"/>
      <c r="AQ228" s="364"/>
      <c r="AR228" s="364"/>
      <c r="AS228" s="364"/>
      <c r="AT228" s="364"/>
      <c r="AU228" s="364"/>
      <c r="AV228" s="364"/>
      <c r="AW228" s="364"/>
      <c r="AX228" s="364"/>
      <c r="AY228" s="485"/>
      <c r="AZ228" s="364"/>
      <c r="BA228" s="442"/>
      <c r="BB228" s="442"/>
    </row>
    <row r="229" spans="1:54" s="444" customFormat="1" ht="14.4" customHeight="1">
      <c r="A229" s="265"/>
      <c r="C229" s="737" t="s">
        <v>569</v>
      </c>
      <c r="D229" s="737"/>
      <c r="E229" s="737"/>
      <c r="F229" s="737"/>
      <c r="G229" s="737"/>
      <c r="I229" s="484"/>
      <c r="J229" s="581"/>
      <c r="K229" s="581"/>
      <c r="M229" s="737" t="s">
        <v>485</v>
      </c>
      <c r="N229" s="737"/>
      <c r="O229" s="737"/>
      <c r="P229" s="737"/>
      <c r="Q229" s="737"/>
      <c r="U229" s="445"/>
      <c r="V229" s="265"/>
      <c r="W229" s="445"/>
      <c r="X229" s="445"/>
      <c r="Y229" s="443"/>
      <c r="Z229" s="443"/>
      <c r="AA229" s="443"/>
      <c r="AB229" s="443"/>
      <c r="AC229" s="443"/>
      <c r="AD229" s="443"/>
      <c r="AE229" s="443"/>
      <c r="AF229" s="443"/>
      <c r="AG229" s="443"/>
      <c r="AH229" s="443"/>
      <c r="AI229" s="443"/>
      <c r="AJ229" s="443"/>
      <c r="AK229" s="443"/>
      <c r="AL229" s="443"/>
      <c r="AM229" s="443"/>
      <c r="AN229" s="443"/>
      <c r="AO229" s="364"/>
      <c r="AP229" s="364"/>
      <c r="AQ229" s="364"/>
      <c r="AR229" s="364"/>
      <c r="AS229" s="364"/>
      <c r="AT229" s="364"/>
      <c r="AU229" s="364"/>
      <c r="AV229" s="364"/>
      <c r="AW229" s="364"/>
      <c r="AX229" s="364"/>
      <c r="AY229" s="485"/>
      <c r="AZ229" s="364"/>
      <c r="BA229" s="442"/>
      <c r="BB229" s="442"/>
    </row>
    <row r="230" spans="1:54" s="444" customFormat="1" ht="14.4" customHeight="1">
      <c r="A230" s="265"/>
      <c r="C230" s="738"/>
      <c r="D230" s="738"/>
      <c r="E230" s="738"/>
      <c r="F230" s="738"/>
      <c r="G230" s="738"/>
      <c r="I230" s="484"/>
      <c r="J230" s="581"/>
      <c r="K230" s="581"/>
      <c r="M230" s="738"/>
      <c r="N230" s="738"/>
      <c r="O230" s="738"/>
      <c r="P230" s="738"/>
      <c r="Q230" s="738"/>
      <c r="U230" s="445"/>
      <c r="V230" s="265"/>
      <c r="W230" s="445"/>
      <c r="X230" s="445"/>
      <c r="Y230" s="443"/>
      <c r="Z230" s="443"/>
      <c r="AA230" s="443"/>
      <c r="AB230" s="443"/>
      <c r="AC230" s="443"/>
      <c r="AD230" s="443"/>
      <c r="AE230" s="443"/>
      <c r="AF230" s="443"/>
      <c r="AG230" s="443"/>
      <c r="AH230" s="443"/>
      <c r="AI230" s="443"/>
      <c r="AJ230" s="443"/>
      <c r="AK230" s="443"/>
      <c r="AL230" s="443"/>
      <c r="AM230" s="443"/>
      <c r="AN230" s="443"/>
      <c r="AO230" s="364"/>
      <c r="AP230" s="364"/>
      <c r="AQ230" s="364"/>
      <c r="AR230" s="364"/>
      <c r="AS230" s="364"/>
      <c r="AT230" s="364"/>
      <c r="AU230" s="364"/>
      <c r="AV230" s="364"/>
      <c r="AW230" s="364"/>
      <c r="AX230" s="364"/>
      <c r="AY230" s="485"/>
      <c r="AZ230" s="364"/>
      <c r="BA230" s="442"/>
      <c r="BB230" s="442"/>
    </row>
    <row r="231" spans="1:54" s="444" customFormat="1" ht="14.4" customHeight="1">
      <c r="A231" s="265"/>
      <c r="C231" s="734" t="s">
        <v>484</v>
      </c>
      <c r="D231" s="734"/>
      <c r="E231" s="734"/>
      <c r="F231" s="734"/>
      <c r="G231" s="734"/>
      <c r="I231" s="484"/>
      <c r="J231" s="581"/>
      <c r="K231" s="581"/>
      <c r="M231" s="739"/>
      <c r="N231" s="739"/>
      <c r="O231" s="739"/>
      <c r="P231" s="739"/>
      <c r="Q231" s="739"/>
      <c r="U231" s="445"/>
      <c r="V231" s="265"/>
      <c r="W231" s="445"/>
      <c r="X231" s="445"/>
      <c r="Y231" s="443"/>
      <c r="Z231" s="443"/>
      <c r="AA231" s="443"/>
      <c r="AB231" s="443"/>
      <c r="AC231" s="443"/>
      <c r="AD231" s="443"/>
      <c r="AE231" s="443"/>
      <c r="AF231" s="443"/>
      <c r="AG231" s="443"/>
      <c r="AH231" s="443"/>
      <c r="AI231" s="443"/>
      <c r="AJ231" s="443"/>
      <c r="AK231" s="443"/>
      <c r="AL231" s="443"/>
      <c r="AM231" s="443"/>
      <c r="AN231" s="443"/>
      <c r="AO231" s="364"/>
      <c r="AP231" s="364"/>
      <c r="AQ231" s="364"/>
      <c r="AR231" s="364"/>
      <c r="AS231" s="364"/>
      <c r="AT231" s="364"/>
      <c r="AU231" s="364"/>
      <c r="AV231" s="364"/>
      <c r="AW231" s="364"/>
      <c r="AX231" s="364"/>
      <c r="AY231" s="485"/>
      <c r="AZ231" s="364"/>
      <c r="BA231" s="442"/>
      <c r="BB231" s="442"/>
    </row>
    <row r="232" spans="1:54" s="444" customFormat="1" ht="14.4" customHeight="1">
      <c r="A232" s="265"/>
      <c r="C232" s="735"/>
      <c r="D232" s="735"/>
      <c r="E232" s="735"/>
      <c r="F232" s="735"/>
      <c r="G232" s="735"/>
      <c r="I232" s="484"/>
      <c r="J232" s="581"/>
      <c r="K232" s="581"/>
      <c r="M232" s="740"/>
      <c r="N232" s="740"/>
      <c r="O232" s="740"/>
      <c r="P232" s="740"/>
      <c r="Q232" s="740"/>
      <c r="U232" s="445"/>
      <c r="V232" s="265"/>
      <c r="W232" s="445"/>
      <c r="X232" s="445"/>
      <c r="Y232" s="443"/>
      <c r="Z232" s="443"/>
      <c r="AA232" s="443"/>
      <c r="AB232" s="443"/>
      <c r="AC232" s="443"/>
      <c r="AD232" s="443"/>
      <c r="AE232" s="443"/>
      <c r="AF232" s="443"/>
      <c r="AG232" s="443"/>
      <c r="AH232" s="443"/>
      <c r="AI232" s="443"/>
      <c r="AJ232" s="443"/>
      <c r="AK232" s="443"/>
      <c r="AL232" s="443"/>
      <c r="AM232" s="443"/>
      <c r="AN232" s="443"/>
      <c r="AO232" s="364"/>
      <c r="AP232" s="364"/>
      <c r="AQ232" s="364"/>
      <c r="AR232" s="364"/>
      <c r="AS232" s="364"/>
      <c r="AT232" s="364"/>
      <c r="AU232" s="364"/>
      <c r="AV232" s="364"/>
      <c r="AW232" s="364"/>
      <c r="AX232" s="364"/>
      <c r="AY232" s="485"/>
      <c r="AZ232" s="364"/>
      <c r="BA232" s="442"/>
      <c r="BB232" s="442"/>
    </row>
    <row r="233" spans="1:54" s="444" customFormat="1" ht="14.4" customHeight="1">
      <c r="A233" s="265"/>
      <c r="C233" s="734"/>
      <c r="D233" s="734"/>
      <c r="E233" s="734"/>
      <c r="F233" s="734"/>
      <c r="G233" s="734"/>
      <c r="I233" s="484"/>
      <c r="J233" s="581"/>
      <c r="K233" s="581"/>
      <c r="M233" s="739"/>
      <c r="N233" s="739"/>
      <c r="O233" s="739"/>
      <c r="P233" s="739"/>
      <c r="Q233" s="739"/>
      <c r="U233" s="445"/>
      <c r="V233" s="265"/>
      <c r="W233" s="445"/>
      <c r="X233" s="445"/>
      <c r="Y233" s="443"/>
      <c r="Z233" s="443"/>
      <c r="AA233" s="443"/>
      <c r="AB233" s="443"/>
      <c r="AC233" s="443"/>
      <c r="AD233" s="443"/>
      <c r="AE233" s="443"/>
      <c r="AF233" s="443"/>
      <c r="AG233" s="443"/>
      <c r="AH233" s="443"/>
      <c r="AI233" s="443"/>
      <c r="AJ233" s="443"/>
      <c r="AK233" s="443"/>
      <c r="AL233" s="443"/>
      <c r="AM233" s="443"/>
      <c r="AN233" s="443"/>
      <c r="AO233" s="364"/>
      <c r="AP233" s="364"/>
      <c r="AQ233" s="364"/>
      <c r="AR233" s="364"/>
      <c r="AS233" s="364"/>
      <c r="AT233" s="364"/>
      <c r="AU233" s="364"/>
      <c r="AV233" s="364"/>
      <c r="AW233" s="364"/>
      <c r="AX233" s="364"/>
      <c r="AY233" s="485"/>
      <c r="AZ233" s="364"/>
      <c r="BA233" s="442"/>
      <c r="BB233" s="442"/>
    </row>
    <row r="234" spans="1:54" s="444" customFormat="1" ht="14.4" customHeight="1">
      <c r="A234" s="265"/>
      <c r="C234" s="735"/>
      <c r="D234" s="735"/>
      <c r="E234" s="735"/>
      <c r="F234" s="735"/>
      <c r="G234" s="735"/>
      <c r="I234" s="484"/>
      <c r="J234" s="581"/>
      <c r="K234" s="581"/>
      <c r="M234" s="740"/>
      <c r="N234" s="740"/>
      <c r="O234" s="740"/>
      <c r="P234" s="740"/>
      <c r="Q234" s="740"/>
      <c r="U234" s="445"/>
      <c r="V234" s="265"/>
      <c r="W234" s="445"/>
      <c r="X234" s="445"/>
      <c r="Y234" s="443"/>
      <c r="Z234" s="443"/>
      <c r="AA234" s="443"/>
      <c r="AB234" s="443"/>
      <c r="AC234" s="443"/>
      <c r="AD234" s="443"/>
      <c r="AE234" s="443"/>
      <c r="AF234" s="443"/>
      <c r="AG234" s="443"/>
      <c r="AH234" s="443"/>
      <c r="AI234" s="443"/>
      <c r="AJ234" s="443"/>
      <c r="AK234" s="443"/>
      <c r="AL234" s="443"/>
      <c r="AM234" s="443"/>
      <c r="AN234" s="443"/>
      <c r="AO234" s="364"/>
      <c r="AP234" s="364"/>
      <c r="AQ234" s="364"/>
      <c r="AR234" s="364"/>
      <c r="AS234" s="364"/>
      <c r="AT234" s="364"/>
      <c r="AU234" s="364"/>
      <c r="AV234" s="364"/>
      <c r="AW234" s="364"/>
      <c r="AX234" s="364"/>
      <c r="AY234" s="485"/>
      <c r="AZ234" s="364"/>
      <c r="BA234" s="442"/>
      <c r="BB234" s="442"/>
    </row>
    <row r="235" spans="1:54" s="444" customFormat="1" ht="14.4" customHeight="1">
      <c r="A235" s="265"/>
      <c r="C235" s="13"/>
      <c r="D235" s="13"/>
      <c r="E235" s="291"/>
      <c r="F235" s="291"/>
      <c r="G235" s="291"/>
      <c r="I235" s="484"/>
      <c r="J235" s="581"/>
      <c r="K235" s="581"/>
      <c r="N235" s="581"/>
      <c r="O235" s="581"/>
      <c r="P235" s="581"/>
      <c r="U235" s="445"/>
      <c r="V235" s="265"/>
      <c r="W235" s="445"/>
      <c r="X235" s="445"/>
      <c r="Y235" s="443"/>
      <c r="Z235" s="443"/>
      <c r="AA235" s="443"/>
      <c r="AB235" s="443"/>
      <c r="AC235" s="443"/>
      <c r="AD235" s="443"/>
      <c r="AE235" s="443"/>
      <c r="AF235" s="443"/>
      <c r="AG235" s="443"/>
      <c r="AH235" s="443"/>
      <c r="AI235" s="443"/>
      <c r="AJ235" s="443"/>
      <c r="AK235" s="443"/>
      <c r="AL235" s="443"/>
      <c r="AM235" s="443"/>
      <c r="AN235" s="443"/>
      <c r="AO235" s="364"/>
      <c r="AP235" s="364"/>
      <c r="AQ235" s="364"/>
      <c r="AR235" s="364"/>
      <c r="AS235" s="364"/>
      <c r="AT235" s="364"/>
      <c r="AU235" s="364"/>
      <c r="AV235" s="364"/>
      <c r="AW235" s="364"/>
      <c r="AX235" s="364"/>
      <c r="AY235" s="485"/>
      <c r="AZ235" s="364"/>
      <c r="BA235" s="442"/>
      <c r="BB235" s="442"/>
    </row>
    <row r="236" spans="1:54" s="444" customFormat="1" ht="14.4" customHeight="1">
      <c r="A236" s="265"/>
      <c r="I236" s="484"/>
      <c r="J236" s="581"/>
      <c r="K236" s="581"/>
      <c r="N236" s="581"/>
      <c r="O236" s="581"/>
      <c r="P236" s="581"/>
      <c r="U236" s="445"/>
      <c r="V236" s="265"/>
      <c r="W236" s="445"/>
      <c r="X236" s="445"/>
      <c r="Y236" s="443"/>
      <c r="Z236" s="443"/>
      <c r="AA236" s="443"/>
      <c r="AB236" s="443"/>
      <c r="AC236" s="443"/>
      <c r="AD236" s="443"/>
      <c r="AE236" s="443"/>
      <c r="AF236" s="443"/>
      <c r="AG236" s="443"/>
      <c r="AH236" s="443"/>
      <c r="AI236" s="443"/>
      <c r="AJ236" s="443"/>
      <c r="AK236" s="443"/>
      <c r="AL236" s="443"/>
      <c r="AM236" s="443"/>
      <c r="AN236" s="443"/>
      <c r="AO236" s="364"/>
      <c r="AP236" s="364"/>
      <c r="AQ236" s="364"/>
      <c r="AR236" s="364"/>
      <c r="AS236" s="364"/>
      <c r="AT236" s="364"/>
      <c r="AU236" s="364"/>
      <c r="AV236" s="364"/>
      <c r="AW236" s="364"/>
      <c r="AX236" s="364"/>
      <c r="AY236" s="485"/>
      <c r="AZ236" s="364"/>
      <c r="BA236" s="442"/>
      <c r="BB236" s="442"/>
    </row>
    <row r="237" spans="1:54" s="444" customFormat="1" ht="2.4" customHeight="1">
      <c r="A237" s="265"/>
      <c r="I237" s="484"/>
      <c r="J237" s="581"/>
      <c r="K237" s="581"/>
      <c r="N237" s="581"/>
      <c r="O237" s="581"/>
      <c r="P237" s="581"/>
      <c r="U237" s="445"/>
      <c r="V237" s="265"/>
      <c r="W237" s="445"/>
      <c r="X237" s="445"/>
      <c r="Y237" s="443"/>
      <c r="Z237" s="443"/>
      <c r="AA237" s="443"/>
      <c r="AB237" s="443"/>
      <c r="AC237" s="443"/>
      <c r="AD237" s="443"/>
      <c r="AE237" s="443"/>
      <c r="AF237" s="443"/>
      <c r="AG237" s="443"/>
      <c r="AH237" s="443"/>
      <c r="AI237" s="443"/>
      <c r="AJ237" s="443"/>
      <c r="AK237" s="443"/>
      <c r="AL237" s="443"/>
      <c r="AM237" s="443"/>
      <c r="AN237" s="443"/>
      <c r="AO237" s="364"/>
      <c r="AP237" s="364"/>
      <c r="AQ237" s="364"/>
      <c r="AR237" s="364"/>
      <c r="AS237" s="364"/>
      <c r="AT237" s="364"/>
      <c r="AU237" s="364"/>
      <c r="AV237" s="364"/>
      <c r="AW237" s="364"/>
      <c r="AX237" s="364"/>
      <c r="AY237" s="485"/>
      <c r="AZ237" s="364"/>
      <c r="BA237" s="442"/>
      <c r="BB237" s="442"/>
    </row>
    <row r="238" spans="1:54" ht="14.4" customHeight="1">
      <c r="A238" s="265"/>
      <c r="B238" s="13"/>
      <c r="C238" s="13"/>
      <c r="D238" s="13"/>
      <c r="E238" s="13"/>
      <c r="F238" s="13"/>
      <c r="G238" s="13"/>
      <c r="H238" s="13"/>
      <c r="I238" s="13"/>
      <c r="J238" s="13"/>
      <c r="K238" s="13"/>
      <c r="L238" s="13"/>
      <c r="M238" s="13"/>
      <c r="N238" s="13"/>
      <c r="O238" s="13"/>
      <c r="P238" s="13"/>
      <c r="Q238" s="13"/>
      <c r="R238" s="13"/>
      <c r="S238" s="13"/>
      <c r="T238" s="13"/>
      <c r="U238" s="13"/>
      <c r="V238" s="265"/>
    </row>
    <row r="239" spans="1:54" ht="2.4" customHeight="1">
      <c r="A239" s="265"/>
      <c r="B239" s="262"/>
      <c r="C239" s="741" t="s">
        <v>394</v>
      </c>
      <c r="D239" s="741"/>
      <c r="E239" s="741"/>
      <c r="F239" s="741"/>
      <c r="G239" s="741"/>
      <c r="H239" s="741"/>
      <c r="I239" s="741"/>
      <c r="J239" s="741"/>
      <c r="K239" s="741"/>
      <c r="L239" s="741"/>
      <c r="M239" s="741"/>
      <c r="N239" s="741"/>
      <c r="O239" s="741"/>
      <c r="P239" s="741"/>
      <c r="Q239" s="262"/>
      <c r="R239" s="262"/>
      <c r="S239" s="262"/>
      <c r="T239" s="262"/>
      <c r="U239" s="262"/>
      <c r="V239" s="265"/>
    </row>
    <row r="240" spans="1:54">
      <c r="A240" s="265"/>
      <c r="B240" s="262"/>
      <c r="C240" s="741"/>
      <c r="D240" s="741"/>
      <c r="E240" s="741"/>
      <c r="F240" s="741"/>
      <c r="G240" s="741"/>
      <c r="H240" s="741"/>
      <c r="I240" s="741"/>
      <c r="J240" s="741"/>
      <c r="K240" s="741"/>
      <c r="L240" s="741"/>
      <c r="M240" s="741"/>
      <c r="N240" s="741"/>
      <c r="O240" s="741"/>
      <c r="P240" s="741"/>
      <c r="Q240" s="292"/>
      <c r="R240" s="293"/>
      <c r="S240" s="262"/>
      <c r="T240" s="262"/>
      <c r="U240" s="262"/>
      <c r="V240" s="265"/>
    </row>
    <row r="241" spans="1:22" ht="21" customHeight="1">
      <c r="A241" s="265"/>
      <c r="B241" s="262"/>
      <c r="C241" s="741"/>
      <c r="D241" s="741"/>
      <c r="E241" s="741"/>
      <c r="F241" s="741"/>
      <c r="G241" s="741"/>
      <c r="H241" s="741"/>
      <c r="I241" s="741"/>
      <c r="J241" s="741"/>
      <c r="K241" s="741"/>
      <c r="L241" s="741"/>
      <c r="M241" s="741"/>
      <c r="N241" s="741"/>
      <c r="O241" s="741"/>
      <c r="P241" s="741"/>
      <c r="Q241" s="13"/>
      <c r="R241" s="13"/>
      <c r="S241" s="294" t="s">
        <v>300</v>
      </c>
      <c r="T241" s="295" t="s">
        <v>574</v>
      </c>
      <c r="U241" s="262"/>
      <c r="V241" s="261"/>
    </row>
    <row r="242" spans="1:22" ht="3" customHeight="1">
      <c r="A242" s="261"/>
      <c r="B242" s="261"/>
      <c r="C242" s="261"/>
      <c r="D242" s="261"/>
      <c r="E242" s="261"/>
      <c r="F242" s="261"/>
      <c r="G242" s="261"/>
      <c r="H242" s="261"/>
      <c r="I242" s="261"/>
      <c r="J242" s="261"/>
      <c r="K242" s="261"/>
      <c r="L242" s="261"/>
      <c r="M242" s="261"/>
      <c r="N242" s="261"/>
      <c r="O242" s="261"/>
      <c r="P242" s="261"/>
      <c r="Q242" s="261"/>
      <c r="R242" s="261"/>
      <c r="S242" s="261"/>
      <c r="T242" s="261"/>
      <c r="U242" s="261"/>
      <c r="V242" s="261"/>
    </row>
  </sheetData>
  <sheetProtection algorithmName="SHA-512" hashValue="5hrT6Azkzo+hlD6KSAHN9r6BgVU+CugAovlyoI0BD2YNPJSvFRMP7dY/ZNQRV/JkmXAtzIvDlxtKfMqEDscr7g==" saltValue="vV5r/qwsnHWHUaMrGt0R4g==" spinCount="100000" sheet="1" objects="1" scenarios="1"/>
  <protectedRanges>
    <protectedRange sqref="C11:J12" name="Symulacjaprzygotowanadla"/>
    <protectedRange sqref="H17:J17 H20:J20 H23:J23 K38 I62 I32 K56 I44 K44 I50 K50 I56 K62 I68 K68 I74 K74 I80 K80 I86 K86 I92 K92 I98 K98 K126 I150 I121 K144 I132 K132 I138 K138 I144 K150 I156 K156 I162 K162" name="Dane_budynku"/>
  </protectedRanges>
  <dataConsolidate>
    <dataRefs count="2">
      <dataRef ref="AA18" sheet="Dane"/>
      <dataRef ref="W32" sheet="Dane"/>
    </dataRefs>
  </dataConsolidate>
  <mergeCells count="143">
    <mergeCell ref="H1:J1"/>
    <mergeCell ref="M233:Q234"/>
    <mergeCell ref="C32:C34"/>
    <mergeCell ref="C162:C164"/>
    <mergeCell ref="C156:C158"/>
    <mergeCell ref="C150:C152"/>
    <mergeCell ref="C144:C146"/>
    <mergeCell ref="C138:C140"/>
    <mergeCell ref="C132:C134"/>
    <mergeCell ref="C126:C128"/>
    <mergeCell ref="C121:C123"/>
    <mergeCell ref="C98:C100"/>
    <mergeCell ref="C92:C94"/>
    <mergeCell ref="C86:C88"/>
    <mergeCell ref="C80:C82"/>
    <mergeCell ref="C74:C76"/>
    <mergeCell ref="C68:C70"/>
    <mergeCell ref="C38:C40"/>
    <mergeCell ref="C44:C46"/>
    <mergeCell ref="C50:C52"/>
    <mergeCell ref="C56:C58"/>
    <mergeCell ref="C62:C64"/>
    <mergeCell ref="J213:K215"/>
    <mergeCell ref="N211:N212"/>
    <mergeCell ref="N213:P215"/>
    <mergeCell ref="J211:K212"/>
    <mergeCell ref="L207:M207"/>
    <mergeCell ref="D204:F205"/>
    <mergeCell ref="L204:M206"/>
    <mergeCell ref="D174:G175"/>
    <mergeCell ref="D213:E213"/>
    <mergeCell ref="L213:M213"/>
    <mergeCell ref="D197:G198"/>
    <mergeCell ref="M174:P175"/>
    <mergeCell ref="N189:R191"/>
    <mergeCell ref="C200:G201"/>
    <mergeCell ref="H200:H201"/>
    <mergeCell ref="I200:I201"/>
    <mergeCell ref="K200:P201"/>
    <mergeCell ref="E163:H163"/>
    <mergeCell ref="R163:R164"/>
    <mergeCell ref="E156:H156"/>
    <mergeCell ref="P156:Q156"/>
    <mergeCell ref="E157:H157"/>
    <mergeCell ref="R157:R158"/>
    <mergeCell ref="E138:H138"/>
    <mergeCell ref="P138:Q138"/>
    <mergeCell ref="E139:H139"/>
    <mergeCell ref="R139:R140"/>
    <mergeCell ref="E150:H150"/>
    <mergeCell ref="P150:Q150"/>
    <mergeCell ref="E151:H151"/>
    <mergeCell ref="R151:R152"/>
    <mergeCell ref="E144:H144"/>
    <mergeCell ref="P144:Q144"/>
    <mergeCell ref="E145:H145"/>
    <mergeCell ref="R145:R146"/>
    <mergeCell ref="E162:H162"/>
    <mergeCell ref="P162:Q162"/>
    <mergeCell ref="E132:H132"/>
    <mergeCell ref="P132:Q132"/>
    <mergeCell ref="E133:H133"/>
    <mergeCell ref="R133:R134"/>
    <mergeCell ref="E126:H126"/>
    <mergeCell ref="P126:Q126"/>
    <mergeCell ref="E127:H127"/>
    <mergeCell ref="R127:R128"/>
    <mergeCell ref="E121:H121"/>
    <mergeCell ref="P121:Q121"/>
    <mergeCell ref="E122:H122"/>
    <mergeCell ref="R122:R123"/>
    <mergeCell ref="C239:P241"/>
    <mergeCell ref="P32:Q32"/>
    <mergeCell ref="E32:H32"/>
    <mergeCell ref="E33:H33"/>
    <mergeCell ref="E38:H38"/>
    <mergeCell ref="E45:H45"/>
    <mergeCell ref="E44:H44"/>
    <mergeCell ref="E57:H57"/>
    <mergeCell ref="C229:G230"/>
    <mergeCell ref="E69:H69"/>
    <mergeCell ref="P62:Q62"/>
    <mergeCell ref="E39:H39"/>
    <mergeCell ref="E92:H92"/>
    <mergeCell ref="P92:Q92"/>
    <mergeCell ref="E93:H93"/>
    <mergeCell ref="E98:H98"/>
    <mergeCell ref="P98:Q98"/>
    <mergeCell ref="E68:H68"/>
    <mergeCell ref="P68:Q68"/>
    <mergeCell ref="P56:Q56"/>
    <mergeCell ref="P50:Q50"/>
    <mergeCell ref="E50:H50"/>
    <mergeCell ref="E51:H51"/>
    <mergeCell ref="E56:H56"/>
    <mergeCell ref="C233:G234"/>
    <mergeCell ref="C231:G232"/>
    <mergeCell ref="S170:T170"/>
    <mergeCell ref="S28:T28"/>
    <mergeCell ref="S117:T117"/>
    <mergeCell ref="M229:Q230"/>
    <mergeCell ref="M231:Q232"/>
    <mergeCell ref="H23:J23"/>
    <mergeCell ref="K23:L23"/>
    <mergeCell ref="S193:T193"/>
    <mergeCell ref="C218:G219"/>
    <mergeCell ref="C224:T225"/>
    <mergeCell ref="C222:T223"/>
    <mergeCell ref="C220:T221"/>
    <mergeCell ref="R45:R46"/>
    <mergeCell ref="R39:R40"/>
    <mergeCell ref="P38:Q38"/>
    <mergeCell ref="R33:R34"/>
    <mergeCell ref="P44:Q44"/>
    <mergeCell ref="R63:R64"/>
    <mergeCell ref="R93:R94"/>
    <mergeCell ref="R69:R70"/>
    <mergeCell ref="R57:R58"/>
    <mergeCell ref="E62:H62"/>
    <mergeCell ref="O3:O4"/>
    <mergeCell ref="S3:T4"/>
    <mergeCell ref="C8:O9"/>
    <mergeCell ref="C11:J12"/>
    <mergeCell ref="H17:J17"/>
    <mergeCell ref="K17:L17"/>
    <mergeCell ref="K20:L20"/>
    <mergeCell ref="P3:Q4"/>
    <mergeCell ref="E99:H99"/>
    <mergeCell ref="R99:R100"/>
    <mergeCell ref="R51:R52"/>
    <mergeCell ref="E63:H63"/>
    <mergeCell ref="E86:H86"/>
    <mergeCell ref="P86:Q86"/>
    <mergeCell ref="E87:H87"/>
    <mergeCell ref="R87:R88"/>
    <mergeCell ref="E80:H80"/>
    <mergeCell ref="P80:Q80"/>
    <mergeCell ref="E81:H81"/>
    <mergeCell ref="R81:R82"/>
    <mergeCell ref="E74:H74"/>
    <mergeCell ref="P74:Q74"/>
    <mergeCell ref="E75:H75"/>
    <mergeCell ref="R75:R76"/>
  </mergeCells>
  <conditionalFormatting sqref="R33:R34">
    <cfRule type="cellIs" dxfId="282" priority="121" stopIfTrue="1" operator="equal">
      <formula>-1</formula>
    </cfRule>
    <cfRule type="cellIs" dxfId="281" priority="138" operator="equal">
      <formula>1</formula>
    </cfRule>
    <cfRule type="cellIs" dxfId="280" priority="139" operator="between">
      <formula>0.1</formula>
      <formula>0.9</formula>
    </cfRule>
    <cfRule type="cellIs" dxfId="279" priority="140" operator="equal">
      <formula>0</formula>
    </cfRule>
    <cfRule type="iconSet" priority="141">
      <iconSet iconSet="3ArrowsGray" showValue="0">
        <cfvo type="percent" val="0"/>
        <cfvo type="num" val="0" gte="0"/>
        <cfvo type="num" val="1"/>
      </iconSet>
    </cfRule>
  </conditionalFormatting>
  <conditionalFormatting sqref="R39:R40">
    <cfRule type="cellIs" dxfId="278" priority="116" stopIfTrue="1" operator="equal">
      <formula>-1</formula>
    </cfRule>
    <cfRule type="cellIs" dxfId="277" priority="117" operator="equal">
      <formula>1</formula>
    </cfRule>
    <cfRule type="cellIs" dxfId="276" priority="118" operator="between">
      <formula>0.1</formula>
      <formula>0.9</formula>
    </cfRule>
    <cfRule type="cellIs" dxfId="275" priority="119" operator="equal">
      <formula>0</formula>
    </cfRule>
    <cfRule type="iconSet" priority="120">
      <iconSet iconSet="3ArrowsGray" showValue="0">
        <cfvo type="percent" val="0"/>
        <cfvo type="num" val="0" gte="0"/>
        <cfvo type="num" val="1"/>
      </iconSet>
    </cfRule>
  </conditionalFormatting>
  <conditionalFormatting sqref="R45:R46">
    <cfRule type="cellIs" dxfId="274" priority="111" stopIfTrue="1" operator="equal">
      <formula>-1</formula>
    </cfRule>
    <cfRule type="cellIs" dxfId="273" priority="112" operator="equal">
      <formula>1</formula>
    </cfRule>
    <cfRule type="cellIs" dxfId="272" priority="113" operator="between">
      <formula>0.1</formula>
      <formula>0.9</formula>
    </cfRule>
    <cfRule type="cellIs" dxfId="271" priority="114" operator="equal">
      <formula>0</formula>
    </cfRule>
    <cfRule type="iconSet" priority="115">
      <iconSet iconSet="3ArrowsGray" showValue="0">
        <cfvo type="percent" val="0"/>
        <cfvo type="num" val="0" gte="0"/>
        <cfvo type="num" val="1"/>
      </iconSet>
    </cfRule>
  </conditionalFormatting>
  <conditionalFormatting sqref="R51:R52">
    <cfRule type="cellIs" dxfId="270" priority="106" stopIfTrue="1" operator="equal">
      <formula>-1</formula>
    </cfRule>
    <cfRule type="cellIs" dxfId="269" priority="107" operator="equal">
      <formula>1</formula>
    </cfRule>
    <cfRule type="cellIs" dxfId="268" priority="108" operator="between">
      <formula>0.1</formula>
      <formula>0.9</formula>
    </cfRule>
    <cfRule type="cellIs" dxfId="267" priority="109" operator="equal">
      <formula>0</formula>
    </cfRule>
    <cfRule type="iconSet" priority="110">
      <iconSet iconSet="3ArrowsGray" showValue="0">
        <cfvo type="percent" val="0"/>
        <cfvo type="num" val="0" gte="0"/>
        <cfvo type="num" val="1"/>
      </iconSet>
    </cfRule>
  </conditionalFormatting>
  <conditionalFormatting sqref="R57:R58">
    <cfRule type="cellIs" dxfId="266" priority="101" stopIfTrue="1" operator="equal">
      <formula>-1</formula>
    </cfRule>
    <cfRule type="cellIs" dxfId="265" priority="102" operator="equal">
      <formula>1</formula>
    </cfRule>
    <cfRule type="cellIs" dxfId="264" priority="103" operator="between">
      <formula>0.1</formula>
      <formula>0.9</formula>
    </cfRule>
    <cfRule type="cellIs" dxfId="263" priority="104" operator="equal">
      <formula>0</formula>
    </cfRule>
    <cfRule type="iconSet" priority="105">
      <iconSet iconSet="3ArrowsGray" showValue="0">
        <cfvo type="percent" val="0"/>
        <cfvo type="num" val="0" gte="0"/>
        <cfvo type="num" val="1"/>
      </iconSet>
    </cfRule>
  </conditionalFormatting>
  <conditionalFormatting sqref="R63:R64">
    <cfRule type="cellIs" dxfId="262" priority="96" stopIfTrue="1" operator="equal">
      <formula>-1</formula>
    </cfRule>
    <cfRule type="cellIs" dxfId="261" priority="97" operator="equal">
      <formula>1</formula>
    </cfRule>
    <cfRule type="cellIs" dxfId="260" priority="98" operator="between">
      <formula>0.1</formula>
      <formula>0.9</formula>
    </cfRule>
    <cfRule type="cellIs" dxfId="259" priority="99" operator="equal">
      <formula>0</formula>
    </cfRule>
    <cfRule type="iconSet" priority="100">
      <iconSet iconSet="3ArrowsGray" showValue="0">
        <cfvo type="percent" val="0"/>
        <cfvo type="num" val="0" gte="0"/>
        <cfvo type="num" val="1"/>
      </iconSet>
    </cfRule>
  </conditionalFormatting>
  <conditionalFormatting sqref="R69:R70">
    <cfRule type="cellIs" dxfId="258" priority="91" stopIfTrue="1" operator="equal">
      <formula>-1</formula>
    </cfRule>
    <cfRule type="cellIs" dxfId="257" priority="92" operator="equal">
      <formula>1</formula>
    </cfRule>
    <cfRule type="cellIs" dxfId="256" priority="93" operator="between">
      <formula>0.1</formula>
      <formula>0.9</formula>
    </cfRule>
    <cfRule type="cellIs" dxfId="255" priority="94" operator="equal">
      <formula>0</formula>
    </cfRule>
    <cfRule type="iconSet" priority="95">
      <iconSet iconSet="3ArrowsGray" showValue="0">
        <cfvo type="percent" val="0"/>
        <cfvo type="num" val="0" gte="0"/>
        <cfvo type="num" val="1"/>
      </iconSet>
    </cfRule>
  </conditionalFormatting>
  <conditionalFormatting sqref="R75:R76">
    <cfRule type="cellIs" dxfId="254" priority="86" stopIfTrue="1" operator="equal">
      <formula>-1</formula>
    </cfRule>
    <cfRule type="cellIs" dxfId="253" priority="87" operator="equal">
      <formula>1</formula>
    </cfRule>
    <cfRule type="cellIs" dxfId="252" priority="88" operator="between">
      <formula>0.1</formula>
      <formula>0.9</formula>
    </cfRule>
    <cfRule type="cellIs" dxfId="251" priority="89" operator="equal">
      <formula>0</formula>
    </cfRule>
    <cfRule type="iconSet" priority="90">
      <iconSet iconSet="3ArrowsGray" showValue="0">
        <cfvo type="percent" val="0"/>
        <cfvo type="num" val="0" gte="0"/>
        <cfvo type="num" val="1"/>
      </iconSet>
    </cfRule>
  </conditionalFormatting>
  <conditionalFormatting sqref="T74">
    <cfRule type="iconSet" priority="85">
      <iconSet iconSet="3Symbols2" showValue="0">
        <cfvo type="percent" val="0"/>
        <cfvo type="num" val="0"/>
        <cfvo type="num" val="1"/>
      </iconSet>
    </cfRule>
  </conditionalFormatting>
  <conditionalFormatting sqref="T68">
    <cfRule type="iconSet" priority="84">
      <iconSet iconSet="3Symbols2" showValue="0">
        <cfvo type="percent" val="0"/>
        <cfvo type="num" val="0"/>
        <cfvo type="num" val="1"/>
      </iconSet>
    </cfRule>
  </conditionalFormatting>
  <conditionalFormatting sqref="T62">
    <cfRule type="iconSet" priority="83">
      <iconSet iconSet="3Symbols2" showValue="0">
        <cfvo type="percent" val="0"/>
        <cfvo type="num" val="0"/>
        <cfvo type="num" val="1"/>
      </iconSet>
    </cfRule>
  </conditionalFormatting>
  <conditionalFormatting sqref="T56">
    <cfRule type="iconSet" priority="82">
      <iconSet iconSet="3Symbols2" showValue="0">
        <cfvo type="percent" val="0"/>
        <cfvo type="num" val="0"/>
        <cfvo type="num" val="1"/>
      </iconSet>
    </cfRule>
  </conditionalFormatting>
  <conditionalFormatting sqref="T50">
    <cfRule type="iconSet" priority="81">
      <iconSet iconSet="3Symbols2" showValue="0">
        <cfvo type="percent" val="0"/>
        <cfvo type="num" val="0"/>
        <cfvo type="num" val="1"/>
      </iconSet>
    </cfRule>
  </conditionalFormatting>
  <conditionalFormatting sqref="T44">
    <cfRule type="iconSet" priority="80">
      <iconSet iconSet="3Symbols2" showValue="0">
        <cfvo type="percent" val="0"/>
        <cfvo type="num" val="0"/>
        <cfvo type="num" val="1"/>
      </iconSet>
    </cfRule>
  </conditionalFormatting>
  <conditionalFormatting sqref="T38">
    <cfRule type="iconSet" priority="79">
      <iconSet iconSet="3Symbols2" showValue="0">
        <cfvo type="percent" val="0"/>
        <cfvo type="num" val="0"/>
        <cfvo type="num" val="1"/>
      </iconSet>
    </cfRule>
  </conditionalFormatting>
  <conditionalFormatting sqref="T32">
    <cfRule type="iconSet" priority="78">
      <iconSet iconSet="3Symbols2" showValue="0">
        <cfvo type="percent" val="0"/>
        <cfvo type="num" val="0"/>
        <cfvo type="num" val="1"/>
      </iconSet>
    </cfRule>
  </conditionalFormatting>
  <conditionalFormatting sqref="R81:R82">
    <cfRule type="cellIs" dxfId="250" priority="73" stopIfTrue="1" operator="equal">
      <formula>-1</formula>
    </cfRule>
    <cfRule type="cellIs" dxfId="249" priority="74" operator="equal">
      <formula>1</formula>
    </cfRule>
    <cfRule type="cellIs" dxfId="248" priority="75" operator="between">
      <formula>0.1</formula>
      <formula>0.9</formula>
    </cfRule>
    <cfRule type="cellIs" dxfId="247" priority="76" operator="equal">
      <formula>0</formula>
    </cfRule>
    <cfRule type="iconSet" priority="77">
      <iconSet iconSet="3ArrowsGray" showValue="0">
        <cfvo type="percent" val="0"/>
        <cfvo type="num" val="0" gte="0"/>
        <cfvo type="num" val="1"/>
      </iconSet>
    </cfRule>
  </conditionalFormatting>
  <conditionalFormatting sqref="T80">
    <cfRule type="iconSet" priority="72">
      <iconSet iconSet="3Symbols2" showValue="0">
        <cfvo type="percent" val="0"/>
        <cfvo type="num" val="0"/>
        <cfvo type="num" val="1"/>
      </iconSet>
    </cfRule>
  </conditionalFormatting>
  <conditionalFormatting sqref="R87:R88">
    <cfRule type="cellIs" dxfId="246" priority="67" stopIfTrue="1" operator="equal">
      <formula>-1</formula>
    </cfRule>
    <cfRule type="cellIs" dxfId="245" priority="68" operator="equal">
      <formula>1</formula>
    </cfRule>
    <cfRule type="cellIs" dxfId="244" priority="69" operator="between">
      <formula>0.1</formula>
      <formula>0.9</formula>
    </cfRule>
    <cfRule type="cellIs" dxfId="243" priority="70" operator="equal">
      <formula>0</formula>
    </cfRule>
    <cfRule type="iconSet" priority="71">
      <iconSet iconSet="3ArrowsGray" showValue="0">
        <cfvo type="percent" val="0"/>
        <cfvo type="num" val="0" gte="0"/>
        <cfvo type="num" val="1"/>
      </iconSet>
    </cfRule>
  </conditionalFormatting>
  <conditionalFormatting sqref="T86">
    <cfRule type="iconSet" priority="66">
      <iconSet iconSet="3Symbols2" showValue="0">
        <cfvo type="percent" val="0"/>
        <cfvo type="num" val="0"/>
        <cfvo type="num" val="1"/>
      </iconSet>
    </cfRule>
  </conditionalFormatting>
  <conditionalFormatting sqref="R93:R94">
    <cfRule type="cellIs" dxfId="242" priority="61" stopIfTrue="1" operator="equal">
      <formula>-1</formula>
    </cfRule>
    <cfRule type="cellIs" dxfId="241" priority="62" operator="equal">
      <formula>1</formula>
    </cfRule>
    <cfRule type="cellIs" dxfId="240" priority="63" operator="between">
      <formula>0.1</formula>
      <formula>0.9</formula>
    </cfRule>
    <cfRule type="cellIs" dxfId="239" priority="64" operator="equal">
      <formula>0</formula>
    </cfRule>
    <cfRule type="iconSet" priority="65">
      <iconSet iconSet="3ArrowsGray" showValue="0">
        <cfvo type="percent" val="0"/>
        <cfvo type="num" val="0" gte="0"/>
        <cfvo type="num" val="1"/>
      </iconSet>
    </cfRule>
  </conditionalFormatting>
  <conditionalFormatting sqref="T92">
    <cfRule type="iconSet" priority="60">
      <iconSet iconSet="3Symbols2" showValue="0">
        <cfvo type="percent" val="0"/>
        <cfvo type="num" val="0"/>
        <cfvo type="num" val="1"/>
      </iconSet>
    </cfRule>
  </conditionalFormatting>
  <conditionalFormatting sqref="R99:R100">
    <cfRule type="cellIs" dxfId="238" priority="55" stopIfTrue="1" operator="equal">
      <formula>-1</formula>
    </cfRule>
    <cfRule type="cellIs" dxfId="237" priority="56" operator="equal">
      <formula>1</formula>
    </cfRule>
    <cfRule type="cellIs" dxfId="236" priority="57" operator="between">
      <formula>0.1</formula>
      <formula>0.9</formula>
    </cfRule>
    <cfRule type="cellIs" dxfId="235" priority="58" operator="equal">
      <formula>0</formula>
    </cfRule>
    <cfRule type="iconSet" priority="59">
      <iconSet iconSet="3ArrowsGray" showValue="0">
        <cfvo type="percent" val="0"/>
        <cfvo type="num" val="0" gte="0"/>
        <cfvo type="num" val="1"/>
      </iconSet>
    </cfRule>
  </conditionalFormatting>
  <conditionalFormatting sqref="T98">
    <cfRule type="iconSet" priority="54">
      <iconSet iconSet="3Symbols2" showValue="0">
        <cfvo type="percent" val="0"/>
        <cfvo type="num" val="0"/>
        <cfvo type="num" val="1"/>
      </iconSet>
    </cfRule>
  </conditionalFormatting>
  <conditionalFormatting sqref="R122:R123">
    <cfRule type="cellIs" dxfId="234" priority="49" stopIfTrue="1" operator="equal">
      <formula>-1</formula>
    </cfRule>
    <cfRule type="cellIs" dxfId="233" priority="50" operator="equal">
      <formula>1</formula>
    </cfRule>
    <cfRule type="cellIs" dxfId="232" priority="51" operator="between">
      <formula>0.1</formula>
      <formula>0.9</formula>
    </cfRule>
    <cfRule type="cellIs" dxfId="231" priority="52" operator="equal">
      <formula>0</formula>
    </cfRule>
    <cfRule type="iconSet" priority="53">
      <iconSet iconSet="3ArrowsGray" showValue="0">
        <cfvo type="percent" val="0"/>
        <cfvo type="num" val="0" gte="0"/>
        <cfvo type="num" val="1"/>
      </iconSet>
    </cfRule>
  </conditionalFormatting>
  <conditionalFormatting sqref="R127:R128">
    <cfRule type="cellIs" dxfId="230" priority="44" stopIfTrue="1" operator="equal">
      <formula>-1</formula>
    </cfRule>
    <cfRule type="cellIs" dxfId="229" priority="45" operator="equal">
      <formula>1</formula>
    </cfRule>
    <cfRule type="cellIs" dxfId="228" priority="46" operator="between">
      <formula>0.1</formula>
      <formula>0.9</formula>
    </cfRule>
    <cfRule type="cellIs" dxfId="227" priority="47" operator="equal">
      <formula>0</formula>
    </cfRule>
    <cfRule type="iconSet" priority="48">
      <iconSet iconSet="3ArrowsGray" showValue="0">
        <cfvo type="percent" val="0"/>
        <cfvo type="num" val="0" gte="0"/>
        <cfvo type="num" val="1"/>
      </iconSet>
    </cfRule>
  </conditionalFormatting>
  <conditionalFormatting sqref="R133:R134">
    <cfRule type="cellIs" dxfId="226" priority="39" stopIfTrue="1" operator="equal">
      <formula>-1</formula>
    </cfRule>
    <cfRule type="cellIs" dxfId="225" priority="40" operator="equal">
      <formula>1</formula>
    </cfRule>
    <cfRule type="cellIs" dxfId="224" priority="41" operator="between">
      <formula>0.1</formula>
      <formula>0.9</formula>
    </cfRule>
    <cfRule type="cellIs" dxfId="223" priority="42" operator="equal">
      <formula>0</formula>
    </cfRule>
    <cfRule type="iconSet" priority="43">
      <iconSet iconSet="3ArrowsGray" showValue="0">
        <cfvo type="percent" val="0"/>
        <cfvo type="num" val="0" gte="0"/>
        <cfvo type="num" val="1"/>
      </iconSet>
    </cfRule>
  </conditionalFormatting>
  <conditionalFormatting sqref="R139:R140">
    <cfRule type="cellIs" dxfId="222" priority="34" stopIfTrue="1" operator="equal">
      <formula>-1</formula>
    </cfRule>
    <cfRule type="cellIs" dxfId="221" priority="35" operator="equal">
      <formula>1</formula>
    </cfRule>
    <cfRule type="cellIs" dxfId="220" priority="36" operator="between">
      <formula>0.1</formula>
      <formula>0.9</formula>
    </cfRule>
    <cfRule type="cellIs" dxfId="219" priority="37" operator="equal">
      <formula>0</formula>
    </cfRule>
    <cfRule type="iconSet" priority="38">
      <iconSet iconSet="3ArrowsGray" showValue="0">
        <cfvo type="percent" val="0"/>
        <cfvo type="num" val="0" gte="0"/>
        <cfvo type="num" val="1"/>
      </iconSet>
    </cfRule>
  </conditionalFormatting>
  <conditionalFormatting sqref="R145:R146">
    <cfRule type="cellIs" dxfId="218" priority="29" stopIfTrue="1" operator="equal">
      <formula>-1</formula>
    </cfRule>
    <cfRule type="cellIs" dxfId="217" priority="30" operator="equal">
      <formula>1</formula>
    </cfRule>
    <cfRule type="cellIs" dxfId="216" priority="31" operator="between">
      <formula>0.1</formula>
      <formula>0.9</formula>
    </cfRule>
    <cfRule type="cellIs" dxfId="215" priority="32" operator="equal">
      <formula>0</formula>
    </cfRule>
    <cfRule type="iconSet" priority="33">
      <iconSet iconSet="3ArrowsGray" showValue="0">
        <cfvo type="percent" val="0"/>
        <cfvo type="num" val="0" gte="0"/>
        <cfvo type="num" val="1"/>
      </iconSet>
    </cfRule>
  </conditionalFormatting>
  <conditionalFormatting sqref="R151:R152">
    <cfRule type="cellIs" dxfId="214" priority="24" stopIfTrue="1" operator="equal">
      <formula>-1</formula>
    </cfRule>
    <cfRule type="cellIs" dxfId="213" priority="25" operator="equal">
      <formula>1</formula>
    </cfRule>
    <cfRule type="cellIs" dxfId="212" priority="26" operator="between">
      <formula>0.1</formula>
      <formula>0.9</formula>
    </cfRule>
    <cfRule type="cellIs" dxfId="211" priority="27" operator="equal">
      <formula>0</formula>
    </cfRule>
    <cfRule type="iconSet" priority="28">
      <iconSet iconSet="3ArrowsGray" showValue="0">
        <cfvo type="percent" val="0"/>
        <cfvo type="num" val="0" gte="0"/>
        <cfvo type="num" val="1"/>
      </iconSet>
    </cfRule>
  </conditionalFormatting>
  <conditionalFormatting sqref="R157:R158">
    <cfRule type="cellIs" dxfId="210" priority="19" stopIfTrue="1" operator="equal">
      <formula>-1</formula>
    </cfRule>
    <cfRule type="cellIs" dxfId="209" priority="20" operator="equal">
      <formula>1</formula>
    </cfRule>
    <cfRule type="cellIs" dxfId="208" priority="21" operator="between">
      <formula>0.1</formula>
      <formula>0.9</formula>
    </cfRule>
    <cfRule type="cellIs" dxfId="207" priority="22" operator="equal">
      <formula>0</formula>
    </cfRule>
    <cfRule type="iconSet" priority="23">
      <iconSet iconSet="3ArrowsGray" showValue="0">
        <cfvo type="percent" val="0"/>
        <cfvo type="num" val="0" gte="0"/>
        <cfvo type="num" val="1"/>
      </iconSet>
    </cfRule>
  </conditionalFormatting>
  <conditionalFormatting sqref="R163:R164">
    <cfRule type="cellIs" dxfId="206" priority="14" stopIfTrue="1" operator="equal">
      <formula>-1</formula>
    </cfRule>
    <cfRule type="cellIs" dxfId="205" priority="15" operator="equal">
      <formula>1</formula>
    </cfRule>
    <cfRule type="cellIs" dxfId="204" priority="16" operator="between">
      <formula>0.1</formula>
      <formula>0.9</formula>
    </cfRule>
    <cfRule type="cellIs" dxfId="203" priority="17" operator="equal">
      <formula>0</formula>
    </cfRule>
    <cfRule type="iconSet" priority="18">
      <iconSet iconSet="3ArrowsGray" showValue="0">
        <cfvo type="percent" val="0"/>
        <cfvo type="num" val="0" gte="0"/>
        <cfvo type="num" val="1"/>
      </iconSet>
    </cfRule>
  </conditionalFormatting>
  <conditionalFormatting sqref="T162">
    <cfRule type="iconSet" priority="13">
      <iconSet iconSet="3Symbols2" showValue="0">
        <cfvo type="percent" val="0"/>
        <cfvo type="num" val="0"/>
        <cfvo type="num" val="1"/>
      </iconSet>
    </cfRule>
  </conditionalFormatting>
  <conditionalFormatting sqref="T156">
    <cfRule type="iconSet" priority="12">
      <iconSet iconSet="3Symbols2" showValue="0">
        <cfvo type="percent" val="0"/>
        <cfvo type="num" val="0"/>
        <cfvo type="num" val="1"/>
      </iconSet>
    </cfRule>
  </conditionalFormatting>
  <conditionalFormatting sqref="T150">
    <cfRule type="iconSet" priority="11">
      <iconSet iconSet="3Symbols2" showValue="0">
        <cfvo type="percent" val="0"/>
        <cfvo type="num" val="0"/>
        <cfvo type="num" val="1"/>
      </iconSet>
    </cfRule>
  </conditionalFormatting>
  <conditionalFormatting sqref="T144">
    <cfRule type="iconSet" priority="10">
      <iconSet iconSet="3Symbols2" showValue="0">
        <cfvo type="percent" val="0"/>
        <cfvo type="num" val="0"/>
        <cfvo type="num" val="1"/>
      </iconSet>
    </cfRule>
  </conditionalFormatting>
  <conditionalFormatting sqref="T138">
    <cfRule type="iconSet" priority="9">
      <iconSet iconSet="3Symbols2" showValue="0">
        <cfvo type="percent" val="0"/>
        <cfvo type="num" val="0"/>
        <cfvo type="num" val="1"/>
      </iconSet>
    </cfRule>
  </conditionalFormatting>
  <conditionalFormatting sqref="T132">
    <cfRule type="iconSet" priority="8">
      <iconSet iconSet="3Symbols2" showValue="0">
        <cfvo type="percent" val="0"/>
        <cfvo type="num" val="0"/>
        <cfvo type="num" val="1"/>
      </iconSet>
    </cfRule>
  </conditionalFormatting>
  <conditionalFormatting sqref="T126">
    <cfRule type="iconSet" priority="7">
      <iconSet iconSet="3Symbols2" showValue="0">
        <cfvo type="percent" val="0"/>
        <cfvo type="num" val="0"/>
        <cfvo type="num" val="1"/>
      </iconSet>
    </cfRule>
  </conditionalFormatting>
  <conditionalFormatting sqref="T121">
    <cfRule type="iconSet" priority="6">
      <iconSet iconSet="3Symbols2" showValue="0">
        <cfvo type="percent" val="0"/>
        <cfvo type="num" val="0"/>
        <cfvo type="num" val="1"/>
      </iconSet>
    </cfRule>
  </conditionalFormatting>
  <conditionalFormatting sqref="K1">
    <cfRule type="containsText" dxfId="202" priority="1" operator="containsText" text="błędny">
      <formula>NOT(ISERROR(SEARCH("błędny",K1)))</formula>
    </cfRule>
  </conditionalFormatting>
  <dataValidations count="5">
    <dataValidation type="whole" allowBlank="1" showInputMessage="1" showErrorMessage="1" sqref="H20:J20" xr:uid="{D458F5FD-57CB-44C7-9246-35FE58CECD2D}">
      <formula1>5</formula1>
      <formula2>300</formula2>
    </dataValidation>
    <dataValidation type="whole" allowBlank="1" showInputMessage="1" showErrorMessage="1" sqref="H23:J23" xr:uid="{A76ED39A-9C65-48B8-9A85-CC623EFBBF3A}">
      <formula1>1</formula1>
      <formula2>10</formula2>
    </dataValidation>
    <dataValidation type="whole" allowBlank="1" showInputMessage="1" showErrorMessage="1" sqref="H17:J17" xr:uid="{5ED7D380-FE4E-4842-80EA-BAF4B97E4DF6}">
      <formula1>35</formula1>
      <formula2>500</formula2>
    </dataValidation>
    <dataValidation type="list" allowBlank="1" showInputMessage="1" showErrorMessage="1" sqref="E32 E38 E44 E50 E56 E62 E68 E74 E80 E86 E92 E98 E121 E126 E132 E138 E144 E150 E156 E162" xr:uid="{FAAD3F2D-F72B-4F2A-8B57-F8C10E5E3647}">
      <formula1>lista_pomieszczen</formula1>
    </dataValidation>
    <dataValidation type="whole" operator="greaterThan" allowBlank="1" showInputMessage="1" showErrorMessage="1" sqref="S87 S93 S99" xr:uid="{930D94D3-86D7-483F-8B00-A13D690E0059}">
      <formula1>0</formula1>
    </dataValidation>
  </dataValidations>
  <pageMargins left="0.70866141732283472" right="0.70866141732283472" top="0.74803149606299213" bottom="0.74803149606299213" header="0.31496062992125984" footer="0.31496062992125984"/>
  <pageSetup paperSize="9" scale="5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51AF72-0A5D-432B-983F-EA67F879F555}">
  <sheetPr codeName="Arkusz11"/>
  <dimension ref="A2:BI126"/>
  <sheetViews>
    <sheetView topLeftCell="D1" zoomScale="70" zoomScaleNormal="70" workbookViewId="0">
      <selection activeCell="S79" sqref="S79"/>
    </sheetView>
  </sheetViews>
  <sheetFormatPr defaultRowHeight="14.4"/>
  <cols>
    <col min="2" max="2" width="9.33203125" customWidth="1"/>
    <col min="3" max="3" width="9.6640625" customWidth="1"/>
    <col min="4" max="4" width="17.6640625" customWidth="1"/>
    <col min="5" max="5" width="20.44140625" customWidth="1"/>
    <col min="6" max="6" width="3.5546875" bestFit="1" customWidth="1"/>
    <col min="14" max="14" width="9.5546875" bestFit="1" customWidth="1"/>
    <col min="15" max="15" width="4.6640625" bestFit="1" customWidth="1"/>
    <col min="17" max="17" width="4.6640625" bestFit="1" customWidth="1"/>
    <col min="18" max="19" width="3.5546875" bestFit="1" customWidth="1"/>
    <col min="20" max="21" width="6.33203125" bestFit="1" customWidth="1"/>
    <col min="22" max="22" width="6.109375" bestFit="1" customWidth="1"/>
    <col min="23" max="24" width="3.5546875" bestFit="1" customWidth="1"/>
    <col min="25" max="27" width="6.33203125" bestFit="1" customWidth="1"/>
    <col min="28" max="28" width="7.44140625" customWidth="1"/>
    <col min="29" max="29" width="7.5546875" customWidth="1"/>
    <col min="30" max="30" width="3.5546875" bestFit="1" customWidth="1"/>
    <col min="31" max="31" width="4.33203125" bestFit="1" customWidth="1"/>
    <col min="32" max="35" width="3.5546875" bestFit="1" customWidth="1"/>
    <col min="36" max="37" width="6.33203125" bestFit="1" customWidth="1"/>
    <col min="38" max="38" width="6.33203125" customWidth="1"/>
    <col min="39" max="39" width="6.33203125" bestFit="1" customWidth="1"/>
    <col min="40" max="40" width="5.5546875" bestFit="1" customWidth="1"/>
    <col min="41" max="41" width="3.5546875" bestFit="1" customWidth="1"/>
    <col min="42" max="44" width="6.33203125" bestFit="1" customWidth="1"/>
    <col min="45" max="46" width="3.5546875" bestFit="1" customWidth="1"/>
    <col min="47" max="50" width="6.33203125" bestFit="1" customWidth="1"/>
    <col min="51" max="52" width="3.5546875" bestFit="1" customWidth="1"/>
    <col min="53" max="55" width="6.33203125" bestFit="1" customWidth="1"/>
    <col min="56" max="57" width="3.5546875" bestFit="1" customWidth="1"/>
    <col min="58" max="61" width="6.33203125" bestFit="1" customWidth="1"/>
  </cols>
  <sheetData>
    <row r="2" spans="1:61">
      <c r="B2" t="s">
        <v>301</v>
      </c>
    </row>
    <row r="3" spans="1:61">
      <c r="B3">
        <v>1</v>
      </c>
      <c r="C3">
        <v>2</v>
      </c>
      <c r="D3">
        <v>3</v>
      </c>
      <c r="E3">
        <v>4</v>
      </c>
      <c r="F3">
        <v>5</v>
      </c>
      <c r="G3">
        <v>6</v>
      </c>
      <c r="H3">
        <v>7</v>
      </c>
      <c r="I3">
        <v>8</v>
      </c>
      <c r="J3">
        <v>9</v>
      </c>
      <c r="K3">
        <v>10</v>
      </c>
      <c r="L3">
        <v>11</v>
      </c>
      <c r="M3">
        <v>12</v>
      </c>
      <c r="N3">
        <v>13</v>
      </c>
      <c r="O3">
        <v>14</v>
      </c>
      <c r="P3">
        <v>15</v>
      </c>
      <c r="Q3">
        <v>16</v>
      </c>
      <c r="R3">
        <v>17</v>
      </c>
      <c r="S3">
        <v>18</v>
      </c>
      <c r="T3">
        <v>19</v>
      </c>
      <c r="U3">
        <v>20</v>
      </c>
      <c r="V3">
        <v>21</v>
      </c>
      <c r="W3">
        <v>22</v>
      </c>
      <c r="X3">
        <v>23</v>
      </c>
      <c r="Y3">
        <v>24</v>
      </c>
      <c r="Z3">
        <v>25</v>
      </c>
      <c r="AA3">
        <v>26</v>
      </c>
      <c r="AB3">
        <v>27</v>
      </c>
      <c r="AC3">
        <v>28</v>
      </c>
      <c r="AD3">
        <v>29</v>
      </c>
      <c r="AE3">
        <v>30</v>
      </c>
      <c r="AF3">
        <v>31</v>
      </c>
      <c r="AG3">
        <v>32</v>
      </c>
      <c r="AH3">
        <v>33</v>
      </c>
      <c r="AI3">
        <v>34</v>
      </c>
      <c r="AJ3">
        <v>35</v>
      </c>
      <c r="AK3">
        <v>36</v>
      </c>
      <c r="AL3">
        <v>37</v>
      </c>
      <c r="AM3">
        <v>38</v>
      </c>
      <c r="AN3">
        <v>39</v>
      </c>
      <c r="AO3">
        <v>40</v>
      </c>
      <c r="AP3">
        <v>41</v>
      </c>
      <c r="AQ3">
        <v>42</v>
      </c>
      <c r="AR3">
        <v>43</v>
      </c>
      <c r="AS3">
        <v>44</v>
      </c>
      <c r="AT3">
        <v>45</v>
      </c>
      <c r="AU3">
        <v>46</v>
      </c>
      <c r="AV3">
        <v>47</v>
      </c>
      <c r="AW3">
        <v>48</v>
      </c>
      <c r="AX3">
        <v>49</v>
      </c>
      <c r="AY3">
        <v>50</v>
      </c>
      <c r="AZ3">
        <v>51</v>
      </c>
      <c r="BA3">
        <v>52</v>
      </c>
      <c r="BB3">
        <v>53</v>
      </c>
      <c r="BC3">
        <v>54</v>
      </c>
      <c r="BD3">
        <v>55</v>
      </c>
      <c r="BE3">
        <v>56</v>
      </c>
      <c r="BF3">
        <v>57</v>
      </c>
      <c r="BG3">
        <v>58</v>
      </c>
      <c r="BH3">
        <v>59</v>
      </c>
      <c r="BI3">
        <v>60</v>
      </c>
    </row>
    <row r="4" spans="1:61">
      <c r="R4" s="823" t="s">
        <v>346</v>
      </c>
      <c r="S4" s="823"/>
      <c r="T4" s="823"/>
      <c r="U4" s="823"/>
      <c r="V4" s="823"/>
      <c r="W4" s="823"/>
      <c r="X4" s="823"/>
      <c r="Y4" s="823"/>
      <c r="Z4" s="823"/>
      <c r="AA4" s="823"/>
      <c r="AB4" s="823"/>
      <c r="AC4" s="823"/>
      <c r="AD4" s="823"/>
      <c r="AE4" s="823"/>
      <c r="AF4" s="823"/>
      <c r="AG4" s="823"/>
      <c r="AH4" s="823"/>
      <c r="AI4" s="823"/>
      <c r="AJ4" s="823"/>
      <c r="AK4" s="823"/>
      <c r="AL4" s="823"/>
      <c r="AM4" s="823"/>
      <c r="AN4" s="827" t="s">
        <v>368</v>
      </c>
      <c r="AO4" s="827"/>
      <c r="AP4" s="827"/>
      <c r="AQ4" s="827"/>
      <c r="AR4" s="827"/>
      <c r="AS4" s="827"/>
      <c r="AT4" s="827"/>
      <c r="AU4" s="827"/>
      <c r="AV4" s="827"/>
      <c r="AW4" s="827"/>
      <c r="AX4" s="827"/>
      <c r="AY4" s="826" t="s">
        <v>546</v>
      </c>
      <c r="AZ4" s="826"/>
      <c r="BA4" s="826"/>
      <c r="BB4" s="826"/>
      <c r="BC4" s="826"/>
      <c r="BD4" s="826"/>
      <c r="BE4" s="826"/>
      <c r="BF4" s="826"/>
      <c r="BG4" s="826"/>
      <c r="BH4" s="826"/>
      <c r="BI4" s="826"/>
    </row>
    <row r="5" spans="1:61">
      <c r="B5" s="368"/>
      <c r="C5" s="368"/>
      <c r="R5" s="824" t="s">
        <v>354</v>
      </c>
      <c r="S5" s="824"/>
      <c r="T5" s="824"/>
      <c r="U5" s="824"/>
      <c r="V5" s="824"/>
      <c r="W5" s="824"/>
      <c r="X5" s="824"/>
      <c r="Y5" s="824"/>
      <c r="Z5" s="824"/>
      <c r="AA5" s="824"/>
      <c r="AB5" s="824"/>
      <c r="AC5" s="825" t="s">
        <v>360</v>
      </c>
      <c r="AD5" s="825"/>
      <c r="AE5" s="825"/>
      <c r="AF5" s="825"/>
      <c r="AG5" s="825"/>
      <c r="AH5" s="825"/>
      <c r="AI5" s="825"/>
      <c r="AJ5" s="825"/>
      <c r="AK5" s="825"/>
      <c r="AL5" s="825"/>
      <c r="AM5" s="825"/>
      <c r="AN5" s="824" t="s">
        <v>369</v>
      </c>
      <c r="AO5" s="824"/>
      <c r="AP5" s="824"/>
      <c r="AQ5" s="824"/>
      <c r="AR5" s="824"/>
      <c r="AS5" s="824"/>
      <c r="AT5" s="824"/>
      <c r="AU5" s="824"/>
      <c r="AV5" s="824"/>
      <c r="AW5" s="824"/>
      <c r="AX5" s="824"/>
      <c r="AY5" s="824" t="s">
        <v>547</v>
      </c>
      <c r="AZ5" s="824"/>
      <c r="BA5" s="824"/>
      <c r="BB5" s="824"/>
      <c r="BC5" s="824"/>
      <c r="BD5" s="824"/>
      <c r="BE5" s="824"/>
      <c r="BF5" s="824"/>
      <c r="BG5" s="824"/>
      <c r="BH5" s="824"/>
      <c r="BI5" s="824"/>
    </row>
    <row r="6" spans="1:61" s="372" customFormat="1" ht="126.6" customHeight="1">
      <c r="A6" s="372" t="s">
        <v>543</v>
      </c>
      <c r="B6" s="372" t="s">
        <v>337</v>
      </c>
      <c r="D6" s="372" t="s">
        <v>293</v>
      </c>
      <c r="E6" s="372" t="s">
        <v>292</v>
      </c>
      <c r="F6" s="372" t="s">
        <v>338</v>
      </c>
      <c r="G6" s="372" t="s">
        <v>133</v>
      </c>
      <c r="H6" s="372" t="s">
        <v>143</v>
      </c>
      <c r="I6" s="372" t="s">
        <v>79</v>
      </c>
      <c r="J6" s="372" t="s">
        <v>132</v>
      </c>
      <c r="K6" s="372" t="s">
        <v>339</v>
      </c>
      <c r="L6" s="372" t="s">
        <v>340</v>
      </c>
      <c r="M6" s="372" t="s">
        <v>363</v>
      </c>
      <c r="N6" s="373" t="s">
        <v>15</v>
      </c>
      <c r="O6" s="373" t="s">
        <v>344</v>
      </c>
      <c r="P6" s="374" t="s">
        <v>16</v>
      </c>
      <c r="Q6" s="374" t="s">
        <v>344</v>
      </c>
      <c r="R6" s="391" t="s">
        <v>347</v>
      </c>
      <c r="S6" s="391" t="s">
        <v>349</v>
      </c>
      <c r="T6" s="611" t="s">
        <v>364</v>
      </c>
      <c r="U6" s="374" t="s">
        <v>365</v>
      </c>
      <c r="V6" s="600" t="s">
        <v>350</v>
      </c>
      <c r="W6" s="600" t="s">
        <v>353</v>
      </c>
      <c r="X6" s="600" t="s">
        <v>355</v>
      </c>
      <c r="Y6" s="611" t="s">
        <v>356</v>
      </c>
      <c r="Z6" s="611" t="s">
        <v>358</v>
      </c>
      <c r="AA6" s="374" t="s">
        <v>357</v>
      </c>
      <c r="AB6" s="374" t="s">
        <v>359</v>
      </c>
      <c r="AC6" s="392" t="s">
        <v>348</v>
      </c>
      <c r="AD6" s="392" t="s">
        <v>351</v>
      </c>
      <c r="AE6" s="392" t="s">
        <v>366</v>
      </c>
      <c r="AF6" s="392" t="s">
        <v>367</v>
      </c>
      <c r="AG6" s="392" t="s">
        <v>352</v>
      </c>
      <c r="AH6" s="392" t="s">
        <v>353</v>
      </c>
      <c r="AI6" s="392" t="s">
        <v>355</v>
      </c>
      <c r="AJ6" s="392" t="s">
        <v>356</v>
      </c>
      <c r="AK6" s="392" t="s">
        <v>358</v>
      </c>
      <c r="AL6" s="392" t="s">
        <v>357</v>
      </c>
      <c r="AM6" s="392" t="s">
        <v>359</v>
      </c>
      <c r="AN6" s="391" t="s">
        <v>347</v>
      </c>
      <c r="AO6" s="391" t="s">
        <v>349</v>
      </c>
      <c r="AP6" s="611" t="s">
        <v>364</v>
      </c>
      <c r="AQ6" s="374" t="s">
        <v>365</v>
      </c>
      <c r="AR6" s="600" t="s">
        <v>350</v>
      </c>
      <c r="AS6" s="600" t="s">
        <v>353</v>
      </c>
      <c r="AT6" s="600" t="s">
        <v>355</v>
      </c>
      <c r="AU6" s="611" t="s">
        <v>623</v>
      </c>
      <c r="AV6" s="611"/>
      <c r="AW6" s="374" t="s">
        <v>622</v>
      </c>
      <c r="AX6" s="374"/>
      <c r="AY6" s="391" t="s">
        <v>347</v>
      </c>
      <c r="AZ6" s="391" t="s">
        <v>349</v>
      </c>
      <c r="BA6" s="611" t="s">
        <v>364</v>
      </c>
      <c r="BB6" s="374" t="s">
        <v>365</v>
      </c>
      <c r="BC6" s="600" t="s">
        <v>350</v>
      </c>
      <c r="BD6" s="600" t="s">
        <v>353</v>
      </c>
      <c r="BE6" s="600" t="s">
        <v>355</v>
      </c>
      <c r="BF6" s="611" t="s">
        <v>623</v>
      </c>
      <c r="BG6" s="611"/>
      <c r="BH6" s="374" t="s">
        <v>622</v>
      </c>
      <c r="BI6" s="374"/>
    </row>
    <row r="7" spans="1:61" s="380" customFormat="1">
      <c r="G7" s="380" t="s">
        <v>35</v>
      </c>
      <c r="H7" s="380" t="s">
        <v>144</v>
      </c>
      <c r="I7" s="380" t="s">
        <v>36</v>
      </c>
      <c r="K7" s="380" t="s">
        <v>19</v>
      </c>
      <c r="L7" s="380" t="s">
        <v>19</v>
      </c>
      <c r="N7" s="380" t="s">
        <v>19</v>
      </c>
      <c r="O7" s="380" t="s">
        <v>345</v>
      </c>
      <c r="P7" s="380" t="s">
        <v>19</v>
      </c>
      <c r="Q7" s="380" t="s">
        <v>345</v>
      </c>
      <c r="R7" s="670">
        <v>25</v>
      </c>
      <c r="AN7" s="671">
        <v>34</v>
      </c>
      <c r="AY7" s="672">
        <v>51</v>
      </c>
    </row>
    <row r="8" spans="1:61">
      <c r="B8" s="367" t="str">
        <f>Dane!C32</f>
        <v>0.1</v>
      </c>
      <c r="C8" s="367" t="str">
        <f>J8</f>
        <v>wywiew</v>
      </c>
      <c r="D8" t="str">
        <f>Dane!E32</f>
        <v>Wiatrołap</v>
      </c>
      <c r="E8" t="str">
        <f>IF(Dane!E33="","",Dane!E33)</f>
        <v/>
      </c>
      <c r="F8">
        <f>Dane!G34</f>
        <v>4</v>
      </c>
      <c r="G8">
        <f>IF(D8&lt;&gt;0,Dane!J33,0)</f>
        <v>3</v>
      </c>
      <c r="H8">
        <f>Dane!L33</f>
        <v>2.8</v>
      </c>
      <c r="I8" s="58">
        <f>G8*H8</f>
        <v>8.3999999999999986</v>
      </c>
      <c r="J8" t="str">
        <f t="shared" ref="J8:J17" si="0">IF(D8=0,"n.d.",VLOOKUP(D8,lista_pod_rodzaj_ruchu_powietrza,4,0))</f>
        <v>wywiew</v>
      </c>
      <c r="K8">
        <f t="shared" ref="K8:K17" si="1">IF(J8="n.d.",0,IF(J8="nawiew",F8*20,VLOOKUP(D8,warunki2,3,0)))</f>
        <v>15</v>
      </c>
      <c r="L8" s="58">
        <f t="shared" ref="L8:L17" si="2">I8</f>
        <v>8.3999999999999986</v>
      </c>
      <c r="M8" s="58">
        <f>IF(D8&lt;&gt;0,Dane!S33,0)</f>
        <v>15</v>
      </c>
      <c r="N8">
        <f>IF(J8="nawiew",M8,IF(J8="naw.wyw.",M8,0))</f>
        <v>0</v>
      </c>
      <c r="O8" s="371">
        <f>IF(I8&lt;&gt;0,N8/I8,0)</f>
        <v>0</v>
      </c>
      <c r="P8">
        <f>IF(J8="wywiew",M8,IF(J8="naw.wyw.",M8,0))</f>
        <v>15</v>
      </c>
      <c r="Q8" s="371">
        <f>IF(I8&lt;&gt;0,P8/I8,0)</f>
        <v>1.785714285714286</v>
      </c>
      <c r="R8" s="377">
        <f>$R$7</f>
        <v>25</v>
      </c>
      <c r="S8" s="377">
        <f>ROUNDUP(M8/R8,0)</f>
        <v>1</v>
      </c>
      <c r="T8" s="377">
        <f>IF(J8="nawiew",S8,IF(J8="naw.wyw.",S8,0))</f>
        <v>0</v>
      </c>
      <c r="U8" s="377">
        <f t="shared" ref="U8:U19" si="3">IF(J8="wywiew",S8,IF(J8="naw.wyw.",S8,0))</f>
        <v>1</v>
      </c>
      <c r="V8" s="377">
        <f t="shared" ref="V8:V21" si="4">ROUNDUP(S8/3,0)</f>
        <v>1</v>
      </c>
      <c r="W8" s="377">
        <f>IF(J8="nawiew",V8,IF(J8="naw.wyw.",V8,0))</f>
        <v>0</v>
      </c>
      <c r="X8" s="377">
        <f>IF(J8="wywiew",V8,IF(J8="naw.wyw.",V8,0))</f>
        <v>1</v>
      </c>
      <c r="Y8" s="377"/>
      <c r="Z8" s="377"/>
      <c r="AA8" s="377"/>
      <c r="AB8" s="377"/>
      <c r="AC8" s="393">
        <v>20</v>
      </c>
      <c r="AD8" s="393">
        <f t="shared" ref="AD8:AD19" si="5">ROUNDUP(M8/AC8,0)</f>
        <v>1</v>
      </c>
      <c r="AE8" s="393">
        <f>IF(J8="nawiew",AD8,IF(J8="naw.wyw.",S8,0))</f>
        <v>0</v>
      </c>
      <c r="AF8" s="393">
        <f>IF(J8="wywiew",AD8,IF(J8="naw.wyw.",S8,0))</f>
        <v>1</v>
      </c>
      <c r="AG8" s="393">
        <f t="shared" ref="AG8:AG19" si="6">ROUNDUP(AD8/3,0)</f>
        <v>1</v>
      </c>
      <c r="AH8" s="393">
        <f t="shared" ref="AH8:AH19" si="7">IF(J8="nawiew",AG8,IF(J8="naw.wyw.",AG8,0))</f>
        <v>0</v>
      </c>
      <c r="AI8" s="393">
        <f t="shared" ref="AI8:AI19" si="8">IF(J8="wywiew",AG8,IF(J8="naw.wyw.",AG8,0))</f>
        <v>1</v>
      </c>
      <c r="AJ8" s="393"/>
      <c r="AK8" s="393"/>
      <c r="AL8" s="393"/>
      <c r="AM8" s="393"/>
      <c r="AN8" s="377">
        <f>$AN$7</f>
        <v>34</v>
      </c>
      <c r="AO8" s="377">
        <f t="shared" ref="AO8:AO19" si="9">ROUNDUP(M8/AN8,0)</f>
        <v>1</v>
      </c>
      <c r="AP8" s="377">
        <f>IF(J8="nawiew",AO8,IF(J8="naw.wyw.",AO8,0))</f>
        <v>0</v>
      </c>
      <c r="AQ8" s="377">
        <f>IF(J8="wywiew",AO8,IF(J8="naw.wyw.",AO8,0))</f>
        <v>1</v>
      </c>
      <c r="AR8" s="377">
        <f>ROUNDUP(AO8/2,0)</f>
        <v>1</v>
      </c>
      <c r="AS8" s="377">
        <f>IF(J8="nawiew",AR8,IF(J8="naw.wyw.",AR8,0))</f>
        <v>0</v>
      </c>
      <c r="AT8" s="377">
        <f>IF(J8="wywiew",AR8,IF(J8="naw.wyw.",AR8,0))</f>
        <v>1</v>
      </c>
      <c r="AU8" s="377"/>
      <c r="AV8" s="377"/>
      <c r="AW8" s="377"/>
      <c r="AX8" s="377"/>
      <c r="AY8" s="377">
        <f>$AY$7</f>
        <v>51</v>
      </c>
      <c r="AZ8" s="377">
        <f t="shared" ref="AZ8:AZ19" si="10">ROUNDUP(M8/AY8,0)</f>
        <v>1</v>
      </c>
      <c r="BA8" s="377">
        <f t="shared" ref="BA8:BA19" si="11">IF(J8="nawiew",AZ8,IF(J8="naw.wyw.",AZ8,0))</f>
        <v>0</v>
      </c>
      <c r="BB8" s="377">
        <f t="shared" ref="BB8:BB19" si="12">IF(J8="wywiew",AZ8,IF(J8="naw.wyw.",AZ8,0))</f>
        <v>1</v>
      </c>
      <c r="BC8" s="377">
        <f>ROUNDUP(AZ8/1,0)</f>
        <v>1</v>
      </c>
      <c r="BD8" s="377">
        <f t="shared" ref="BD8:BD19" si="13">IF(J8="nawiew",BC8,IF(J8="naw.wyw.",BC8,0))</f>
        <v>0</v>
      </c>
      <c r="BE8" s="377">
        <f t="shared" ref="BE8:BE19" si="14">IF(J8="wywiew",BC8,IF(J8="naw.wyw.",BC8,0))</f>
        <v>1</v>
      </c>
      <c r="BF8" s="377"/>
      <c r="BG8" s="377"/>
      <c r="BH8" s="377"/>
      <c r="BI8" s="377"/>
    </row>
    <row r="9" spans="1:61">
      <c r="B9" s="367" t="str">
        <f>Dane!C38</f>
        <v>0.2</v>
      </c>
      <c r="C9" s="367" t="str">
        <f t="shared" ref="C9:C28" si="15">J9</f>
        <v>wywiew</v>
      </c>
      <c r="D9" t="str">
        <f>Dane!E38</f>
        <v>Kuchnia otwarta z kuchenką elektryczną</v>
      </c>
      <c r="E9" t="str">
        <f>IF(Dane!E39="","",Dane!E39)</f>
        <v/>
      </c>
      <c r="F9">
        <f>Dane!G40</f>
        <v>4</v>
      </c>
      <c r="G9">
        <f>IF(D9&lt;&gt;0,Dane!J39,0)</f>
        <v>10.6</v>
      </c>
      <c r="H9">
        <f>Dane!L39</f>
        <v>2.8</v>
      </c>
      <c r="I9" s="58">
        <f t="shared" ref="I9:I28" si="16">G9*H9</f>
        <v>29.679999999999996</v>
      </c>
      <c r="J9" t="str">
        <f t="shared" si="0"/>
        <v>wywiew</v>
      </c>
      <c r="K9">
        <f t="shared" si="1"/>
        <v>50</v>
      </c>
      <c r="L9" s="58">
        <f t="shared" si="2"/>
        <v>29.679999999999996</v>
      </c>
      <c r="M9" s="58">
        <f>IF(D9&lt;&gt;0,Dane!S39,0)</f>
        <v>50</v>
      </c>
      <c r="N9">
        <f t="shared" ref="N9:N28" si="17">IF(J9="nawiew",M9,IF(J9="naw.wyw.",M9,0))</f>
        <v>0</v>
      </c>
      <c r="O9" s="371">
        <f t="shared" ref="O9:O28" si="18">IF(I9&lt;&gt;0,N9/I9,0)</f>
        <v>0</v>
      </c>
      <c r="P9">
        <f t="shared" ref="P9:P28" si="19">IF(J9="wywiew",M9,IF(J9="naw.wyw.",M9,0))</f>
        <v>50</v>
      </c>
      <c r="Q9" s="371">
        <f t="shared" ref="Q9:Q28" si="20">IF(I9&lt;&gt;0,P9/I9,0)</f>
        <v>1.6846361185983829</v>
      </c>
      <c r="R9" s="377">
        <f t="shared" ref="R9:R19" si="21">$R$7</f>
        <v>25</v>
      </c>
      <c r="S9" s="377">
        <f t="shared" ref="S9:S28" si="22">ROUNDUP(M9/R9,0)</f>
        <v>2</v>
      </c>
      <c r="T9" s="377">
        <f t="shared" ref="T9:T28" si="23">IF(J9="nawiew",S9,IF(J9="naw.wyw.",S9,0))</f>
        <v>0</v>
      </c>
      <c r="U9" s="377">
        <f t="shared" si="3"/>
        <v>2</v>
      </c>
      <c r="V9" s="377">
        <f t="shared" si="4"/>
        <v>1</v>
      </c>
      <c r="W9" s="377">
        <f t="shared" ref="W9:W17" si="24">IF(J9="nawiew",V9,IF(J9="naw.wyw.",V9,0))</f>
        <v>0</v>
      </c>
      <c r="X9" s="377">
        <f t="shared" ref="X9:X17" si="25">IF(J9="wywiew",V9,IF(J9="naw.wyw.",V9,0))</f>
        <v>1</v>
      </c>
      <c r="Y9" s="377"/>
      <c r="Z9" s="377"/>
      <c r="AA9" s="377"/>
      <c r="AB9" s="377"/>
      <c r="AC9" s="393">
        <v>20</v>
      </c>
      <c r="AD9" s="393">
        <f t="shared" si="5"/>
        <v>3</v>
      </c>
      <c r="AE9" s="393">
        <f t="shared" ref="AE9:AE28" si="26">IF(J9="nawiew",AD9,IF(J9="naw.wyw.",S9,0))</f>
        <v>0</v>
      </c>
      <c r="AF9" s="393">
        <f t="shared" ref="AF9:AF28" si="27">IF(J9="wywiew",AD9,IF(J9="naw.wyw.",S9,0))</f>
        <v>3</v>
      </c>
      <c r="AG9" s="393">
        <f t="shared" si="6"/>
        <v>1</v>
      </c>
      <c r="AH9" s="393">
        <f t="shared" si="7"/>
        <v>0</v>
      </c>
      <c r="AI9" s="393">
        <f t="shared" si="8"/>
        <v>1</v>
      </c>
      <c r="AJ9" s="393"/>
      <c r="AK9" s="393"/>
      <c r="AL9" s="393"/>
      <c r="AM9" s="393"/>
      <c r="AN9" s="377">
        <f t="shared" ref="AN9:AN19" si="28">$AN$7</f>
        <v>34</v>
      </c>
      <c r="AO9" s="377">
        <f t="shared" si="9"/>
        <v>2</v>
      </c>
      <c r="AP9" s="377">
        <f t="shared" ref="AP9:AP28" si="29">IF(J9="nawiew",AO9,IF(J9="naw.wyw.",AO9,0))</f>
        <v>0</v>
      </c>
      <c r="AQ9" s="377">
        <f t="shared" ref="AQ9:AQ28" si="30">IF(J9="wywiew",AO9,IF(J9="naw.wyw.",AO9,0))</f>
        <v>2</v>
      </c>
      <c r="AR9" s="377">
        <f t="shared" ref="AR9:AR28" si="31">ROUNDUP(AO9/2,0)</f>
        <v>1</v>
      </c>
      <c r="AS9" s="377">
        <f t="shared" ref="AS9:AS28" si="32">IF(J9="nawiew",AR9,IF(J9="naw.wyw.",AR9,0))</f>
        <v>0</v>
      </c>
      <c r="AT9" s="377">
        <f t="shared" ref="AT9:AT28" si="33">IF(J9="wywiew",AR9,IF(J9="naw.wyw.",AR9,0))</f>
        <v>1</v>
      </c>
      <c r="AU9" s="377"/>
      <c r="AV9" s="377"/>
      <c r="AW9" s="377"/>
      <c r="AX9" s="377"/>
      <c r="AY9" s="377">
        <f t="shared" ref="AY9:AY19" si="34">$AY$7</f>
        <v>51</v>
      </c>
      <c r="AZ9" s="377">
        <f t="shared" si="10"/>
        <v>1</v>
      </c>
      <c r="BA9" s="377">
        <f t="shared" si="11"/>
        <v>0</v>
      </c>
      <c r="BB9" s="377">
        <f t="shared" si="12"/>
        <v>1</v>
      </c>
      <c r="BC9" s="377">
        <f t="shared" ref="BC9:BC28" si="35">ROUNDUP(AZ9/1,0)</f>
        <v>1</v>
      </c>
      <c r="BD9" s="377">
        <f t="shared" si="13"/>
        <v>0</v>
      </c>
      <c r="BE9" s="377">
        <f t="shared" si="14"/>
        <v>1</v>
      </c>
      <c r="BF9" s="377"/>
      <c r="BG9" s="377"/>
      <c r="BH9" s="377"/>
      <c r="BI9" s="377"/>
    </row>
    <row r="10" spans="1:61">
      <c r="B10" s="367" t="str">
        <f>Dane!C44</f>
        <v>0.3</v>
      </c>
      <c r="C10" s="367" t="str">
        <f t="shared" si="15"/>
        <v>wywiew</v>
      </c>
      <c r="D10" t="str">
        <f>Dane!E44</f>
        <v>Spiżarnia</v>
      </c>
      <c r="E10" t="str">
        <f>IF(Dane!E45="","",Dane!E45)</f>
        <v/>
      </c>
      <c r="F10">
        <f>Dane!G46</f>
        <v>4</v>
      </c>
      <c r="G10">
        <f>IF(D10&lt;&gt;0,Dane!J45,0)</f>
        <v>2</v>
      </c>
      <c r="H10">
        <f>Dane!L45</f>
        <v>2.8</v>
      </c>
      <c r="I10" s="58">
        <f t="shared" si="16"/>
        <v>5.6</v>
      </c>
      <c r="J10" t="str">
        <f t="shared" si="0"/>
        <v>wywiew</v>
      </c>
      <c r="K10">
        <f t="shared" si="1"/>
        <v>15</v>
      </c>
      <c r="L10" s="58">
        <f t="shared" si="2"/>
        <v>5.6</v>
      </c>
      <c r="M10" s="58">
        <f>IF(D10&lt;&gt;0,Dane!S45,0)</f>
        <v>15</v>
      </c>
      <c r="N10">
        <f t="shared" si="17"/>
        <v>0</v>
      </c>
      <c r="O10" s="371">
        <f t="shared" si="18"/>
        <v>0</v>
      </c>
      <c r="P10">
        <f t="shared" si="19"/>
        <v>15</v>
      </c>
      <c r="Q10" s="371">
        <f t="shared" si="20"/>
        <v>2.6785714285714288</v>
      </c>
      <c r="R10" s="377">
        <f t="shared" si="21"/>
        <v>25</v>
      </c>
      <c r="S10" s="377">
        <f t="shared" si="22"/>
        <v>1</v>
      </c>
      <c r="T10" s="377">
        <f t="shared" si="23"/>
        <v>0</v>
      </c>
      <c r="U10" s="377">
        <f t="shared" si="3"/>
        <v>1</v>
      </c>
      <c r="V10" s="377">
        <f t="shared" si="4"/>
        <v>1</v>
      </c>
      <c r="W10" s="377">
        <f t="shared" si="24"/>
        <v>0</v>
      </c>
      <c r="X10" s="377">
        <f t="shared" si="25"/>
        <v>1</v>
      </c>
      <c r="Y10" s="377"/>
      <c r="Z10" s="377"/>
      <c r="AA10" s="377"/>
      <c r="AB10" s="377"/>
      <c r="AC10" s="393">
        <v>20</v>
      </c>
      <c r="AD10" s="393">
        <f t="shared" si="5"/>
        <v>1</v>
      </c>
      <c r="AE10" s="393">
        <f t="shared" si="26"/>
        <v>0</v>
      </c>
      <c r="AF10" s="393">
        <f t="shared" si="27"/>
        <v>1</v>
      </c>
      <c r="AG10" s="393">
        <f t="shared" si="6"/>
        <v>1</v>
      </c>
      <c r="AH10" s="393">
        <f t="shared" si="7"/>
        <v>0</v>
      </c>
      <c r="AI10" s="393">
        <f t="shared" si="8"/>
        <v>1</v>
      </c>
      <c r="AJ10" s="393"/>
      <c r="AK10" s="393"/>
      <c r="AL10" s="393"/>
      <c r="AM10" s="393"/>
      <c r="AN10" s="377">
        <f t="shared" si="28"/>
        <v>34</v>
      </c>
      <c r="AO10" s="377">
        <f t="shared" si="9"/>
        <v>1</v>
      </c>
      <c r="AP10" s="377">
        <f t="shared" si="29"/>
        <v>0</v>
      </c>
      <c r="AQ10" s="377">
        <f t="shared" si="30"/>
        <v>1</v>
      </c>
      <c r="AR10" s="377">
        <f t="shared" si="31"/>
        <v>1</v>
      </c>
      <c r="AS10" s="377">
        <f t="shared" si="32"/>
        <v>0</v>
      </c>
      <c r="AT10" s="377">
        <f t="shared" si="33"/>
        <v>1</v>
      </c>
      <c r="AU10" s="377"/>
      <c r="AV10" s="377"/>
      <c r="AW10" s="377"/>
      <c r="AX10" s="377"/>
      <c r="AY10" s="377">
        <f t="shared" si="34"/>
        <v>51</v>
      </c>
      <c r="AZ10" s="377">
        <f t="shared" si="10"/>
        <v>1</v>
      </c>
      <c r="BA10" s="377">
        <f t="shared" si="11"/>
        <v>0</v>
      </c>
      <c r="BB10" s="377">
        <f t="shared" si="12"/>
        <v>1</v>
      </c>
      <c r="BC10" s="377">
        <f t="shared" si="35"/>
        <v>1</v>
      </c>
      <c r="BD10" s="377">
        <f t="shared" si="13"/>
        <v>0</v>
      </c>
      <c r="BE10" s="377">
        <f t="shared" si="14"/>
        <v>1</v>
      </c>
      <c r="BF10" s="377"/>
      <c r="BG10" s="377"/>
      <c r="BH10" s="377"/>
      <c r="BI10" s="377"/>
    </row>
    <row r="11" spans="1:61">
      <c r="B11" s="367" t="str">
        <f>Dane!C50</f>
        <v>0.4</v>
      </c>
      <c r="C11" s="367" t="str">
        <f t="shared" si="15"/>
        <v>nawiew</v>
      </c>
      <c r="D11" t="str">
        <f>Dane!E50</f>
        <v>Pokój dzienny</v>
      </c>
      <c r="E11" t="str">
        <f>IF(Dane!E51="","",Dane!E51)</f>
        <v/>
      </c>
      <c r="F11">
        <f>Dane!G52</f>
        <v>4</v>
      </c>
      <c r="G11">
        <f>IF(D11&lt;&gt;0,Dane!J51,0)</f>
        <v>30.4</v>
      </c>
      <c r="H11">
        <f>Dane!L51</f>
        <v>4</v>
      </c>
      <c r="I11" s="58">
        <f t="shared" si="16"/>
        <v>121.6</v>
      </c>
      <c r="J11" t="str">
        <f t="shared" si="0"/>
        <v>nawiew</v>
      </c>
      <c r="K11">
        <f t="shared" si="1"/>
        <v>80</v>
      </c>
      <c r="L11" s="58">
        <f t="shared" si="2"/>
        <v>121.6</v>
      </c>
      <c r="M11" s="58">
        <f>IF(D11&lt;&gt;0,Dane!S51,0)</f>
        <v>80</v>
      </c>
      <c r="N11">
        <f t="shared" si="17"/>
        <v>80</v>
      </c>
      <c r="O11" s="371">
        <f t="shared" si="18"/>
        <v>0.65789473684210531</v>
      </c>
      <c r="P11">
        <f t="shared" si="19"/>
        <v>0</v>
      </c>
      <c r="Q11" s="371">
        <f t="shared" si="20"/>
        <v>0</v>
      </c>
      <c r="R11" s="377">
        <f t="shared" si="21"/>
        <v>25</v>
      </c>
      <c r="S11" s="377">
        <f t="shared" si="22"/>
        <v>4</v>
      </c>
      <c r="T11" s="377">
        <f t="shared" si="23"/>
        <v>4</v>
      </c>
      <c r="U11" s="377">
        <f t="shared" si="3"/>
        <v>0</v>
      </c>
      <c r="V11" s="377">
        <f t="shared" si="4"/>
        <v>2</v>
      </c>
      <c r="W11" s="377">
        <f t="shared" si="24"/>
        <v>2</v>
      </c>
      <c r="X11" s="377">
        <f t="shared" si="25"/>
        <v>0</v>
      </c>
      <c r="Y11" s="377"/>
      <c r="Z11" s="377"/>
      <c r="AA11" s="377"/>
      <c r="AB11" s="377"/>
      <c r="AC11" s="393">
        <v>20</v>
      </c>
      <c r="AD11" s="393">
        <f t="shared" si="5"/>
        <v>4</v>
      </c>
      <c r="AE11" s="393">
        <f t="shared" si="26"/>
        <v>4</v>
      </c>
      <c r="AF11" s="393">
        <f t="shared" si="27"/>
        <v>0</v>
      </c>
      <c r="AG11" s="393">
        <f t="shared" si="6"/>
        <v>2</v>
      </c>
      <c r="AH11" s="393">
        <f t="shared" si="7"/>
        <v>2</v>
      </c>
      <c r="AI11" s="393">
        <f t="shared" si="8"/>
        <v>0</v>
      </c>
      <c r="AJ11" s="393"/>
      <c r="AK11" s="393"/>
      <c r="AL11" s="393"/>
      <c r="AM11" s="393"/>
      <c r="AN11" s="377">
        <f t="shared" si="28"/>
        <v>34</v>
      </c>
      <c r="AO11" s="377">
        <f t="shared" si="9"/>
        <v>3</v>
      </c>
      <c r="AP11" s="377">
        <f t="shared" si="29"/>
        <v>3</v>
      </c>
      <c r="AQ11" s="377">
        <f t="shared" si="30"/>
        <v>0</v>
      </c>
      <c r="AR11" s="377">
        <f t="shared" si="31"/>
        <v>2</v>
      </c>
      <c r="AS11" s="377">
        <f t="shared" si="32"/>
        <v>2</v>
      </c>
      <c r="AT11" s="377">
        <f t="shared" si="33"/>
        <v>0</v>
      </c>
      <c r="AU11" s="377"/>
      <c r="AV11" s="377"/>
      <c r="AW11" s="377"/>
      <c r="AX11" s="377"/>
      <c r="AY11" s="377">
        <f t="shared" si="34"/>
        <v>51</v>
      </c>
      <c r="AZ11" s="377">
        <f t="shared" si="10"/>
        <v>2</v>
      </c>
      <c r="BA11" s="377">
        <f t="shared" si="11"/>
        <v>2</v>
      </c>
      <c r="BB11" s="377">
        <f t="shared" si="12"/>
        <v>0</v>
      </c>
      <c r="BC11" s="377">
        <f t="shared" si="35"/>
        <v>2</v>
      </c>
      <c r="BD11" s="377">
        <f t="shared" si="13"/>
        <v>2</v>
      </c>
      <c r="BE11" s="377">
        <f t="shared" si="14"/>
        <v>0</v>
      </c>
      <c r="BF11" s="377"/>
      <c r="BG11" s="377"/>
      <c r="BH11" s="377"/>
      <c r="BI11" s="377"/>
    </row>
    <row r="12" spans="1:61">
      <c r="B12" s="367" t="str">
        <f>Dane!C56</f>
        <v>0.5</v>
      </c>
      <c r="C12" s="367" t="str">
        <f t="shared" si="15"/>
        <v>wywiew</v>
      </c>
      <c r="D12" t="str">
        <f>Dane!E56</f>
        <v>WC (bez wanny lub kabiny prysznicowej)</v>
      </c>
      <c r="E12" t="str">
        <f>IF(Dane!E57="","",Dane!E57)</f>
        <v/>
      </c>
      <c r="F12">
        <f>Dane!G58</f>
        <v>4</v>
      </c>
      <c r="G12">
        <f>IF(D12&lt;&gt;0,Dane!J57,0)</f>
        <v>2.2999999999999998</v>
      </c>
      <c r="H12">
        <f>Dane!L57</f>
        <v>4</v>
      </c>
      <c r="I12" s="58">
        <f t="shared" si="16"/>
        <v>9.1999999999999993</v>
      </c>
      <c r="J12" t="str">
        <f t="shared" si="0"/>
        <v>wywiew</v>
      </c>
      <c r="K12">
        <f t="shared" si="1"/>
        <v>30</v>
      </c>
      <c r="L12" s="58">
        <f t="shared" si="2"/>
        <v>9.1999999999999993</v>
      </c>
      <c r="M12" s="58">
        <f>IF(D12&lt;&gt;0,Dane!S57,0)</f>
        <v>30</v>
      </c>
      <c r="N12">
        <f t="shared" si="17"/>
        <v>0</v>
      </c>
      <c r="O12" s="371">
        <f t="shared" si="18"/>
        <v>0</v>
      </c>
      <c r="P12">
        <f t="shared" si="19"/>
        <v>30</v>
      </c>
      <c r="Q12" s="371">
        <f t="shared" si="20"/>
        <v>3.2608695652173916</v>
      </c>
      <c r="R12" s="377">
        <f t="shared" si="21"/>
        <v>25</v>
      </c>
      <c r="S12" s="377">
        <f t="shared" si="22"/>
        <v>2</v>
      </c>
      <c r="T12" s="377">
        <f t="shared" si="23"/>
        <v>0</v>
      </c>
      <c r="U12" s="377">
        <f t="shared" si="3"/>
        <v>2</v>
      </c>
      <c r="V12" s="377">
        <f t="shared" si="4"/>
        <v>1</v>
      </c>
      <c r="W12" s="377">
        <f t="shared" si="24"/>
        <v>0</v>
      </c>
      <c r="X12" s="377">
        <f t="shared" si="25"/>
        <v>1</v>
      </c>
      <c r="Y12" s="377"/>
      <c r="Z12" s="377"/>
      <c r="AA12" s="377"/>
      <c r="AB12" s="377"/>
      <c r="AC12" s="393">
        <v>20</v>
      </c>
      <c r="AD12" s="393">
        <f t="shared" si="5"/>
        <v>2</v>
      </c>
      <c r="AE12" s="393">
        <f t="shared" si="26"/>
        <v>0</v>
      </c>
      <c r="AF12" s="393">
        <f t="shared" si="27"/>
        <v>2</v>
      </c>
      <c r="AG12" s="393">
        <f t="shared" si="6"/>
        <v>1</v>
      </c>
      <c r="AH12" s="393">
        <f t="shared" si="7"/>
        <v>0</v>
      </c>
      <c r="AI12" s="393">
        <f t="shared" si="8"/>
        <v>1</v>
      </c>
      <c r="AJ12" s="393"/>
      <c r="AK12" s="393"/>
      <c r="AL12" s="393"/>
      <c r="AM12" s="393"/>
      <c r="AN12" s="377">
        <f t="shared" si="28"/>
        <v>34</v>
      </c>
      <c r="AO12" s="377">
        <f t="shared" si="9"/>
        <v>1</v>
      </c>
      <c r="AP12" s="377">
        <f t="shared" si="29"/>
        <v>0</v>
      </c>
      <c r="AQ12" s="377">
        <f t="shared" si="30"/>
        <v>1</v>
      </c>
      <c r="AR12" s="377">
        <f t="shared" si="31"/>
        <v>1</v>
      </c>
      <c r="AS12" s="377">
        <f t="shared" si="32"/>
        <v>0</v>
      </c>
      <c r="AT12" s="377">
        <f t="shared" si="33"/>
        <v>1</v>
      </c>
      <c r="AU12" s="377"/>
      <c r="AV12" s="377"/>
      <c r="AW12" s="377"/>
      <c r="AX12" s="377"/>
      <c r="AY12" s="377">
        <f t="shared" si="34"/>
        <v>51</v>
      </c>
      <c r="AZ12" s="377">
        <f t="shared" si="10"/>
        <v>1</v>
      </c>
      <c r="BA12" s="377">
        <f t="shared" si="11"/>
        <v>0</v>
      </c>
      <c r="BB12" s="377">
        <f t="shared" si="12"/>
        <v>1</v>
      </c>
      <c r="BC12" s="377">
        <f t="shared" si="35"/>
        <v>1</v>
      </c>
      <c r="BD12" s="377">
        <f t="shared" si="13"/>
        <v>0</v>
      </c>
      <c r="BE12" s="377">
        <f t="shared" si="14"/>
        <v>1</v>
      </c>
      <c r="BF12" s="377"/>
      <c r="BG12" s="377"/>
      <c r="BH12" s="377"/>
      <c r="BI12" s="377"/>
    </row>
    <row r="13" spans="1:61">
      <c r="B13" s="367" t="str">
        <f>Dane!C62</f>
        <v>0.6</v>
      </c>
      <c r="C13" s="367" t="str">
        <f t="shared" si="15"/>
        <v>nawiew</v>
      </c>
      <c r="D13" t="str">
        <f>Dane!E62</f>
        <v>Gabinet</v>
      </c>
      <c r="E13" t="str">
        <f>IF(Dane!E63="","",Dane!E63)</f>
        <v/>
      </c>
      <c r="F13">
        <f>Dane!G64</f>
        <v>1</v>
      </c>
      <c r="G13">
        <f>IF(D13&lt;&gt;0,Dane!J63,0)</f>
        <v>9.1999999999999993</v>
      </c>
      <c r="H13">
        <f>Dane!L63</f>
        <v>2.8</v>
      </c>
      <c r="I13" s="58">
        <f t="shared" si="16"/>
        <v>25.759999999999998</v>
      </c>
      <c r="J13" t="str">
        <f t="shared" si="0"/>
        <v>nawiew</v>
      </c>
      <c r="K13">
        <f t="shared" si="1"/>
        <v>20</v>
      </c>
      <c r="L13" s="58">
        <f t="shared" si="2"/>
        <v>25.759999999999998</v>
      </c>
      <c r="M13" s="58">
        <f>IF(D13&lt;&gt;0,Dane!S63,0)</f>
        <v>30</v>
      </c>
      <c r="N13">
        <f t="shared" si="17"/>
        <v>30</v>
      </c>
      <c r="O13" s="371">
        <f t="shared" si="18"/>
        <v>1.1645962732919255</v>
      </c>
      <c r="P13">
        <f t="shared" si="19"/>
        <v>0</v>
      </c>
      <c r="Q13" s="371">
        <f t="shared" si="20"/>
        <v>0</v>
      </c>
      <c r="R13" s="377">
        <f t="shared" si="21"/>
        <v>25</v>
      </c>
      <c r="S13" s="377">
        <f t="shared" si="22"/>
        <v>2</v>
      </c>
      <c r="T13" s="377">
        <f t="shared" si="23"/>
        <v>2</v>
      </c>
      <c r="U13" s="377">
        <f t="shared" si="3"/>
        <v>0</v>
      </c>
      <c r="V13" s="377">
        <f t="shared" si="4"/>
        <v>1</v>
      </c>
      <c r="W13" s="377">
        <f t="shared" si="24"/>
        <v>1</v>
      </c>
      <c r="X13" s="377">
        <f t="shared" si="25"/>
        <v>0</v>
      </c>
      <c r="Y13" s="377"/>
      <c r="Z13" s="377"/>
      <c r="AA13" s="377"/>
      <c r="AB13" s="377"/>
      <c r="AC13" s="393">
        <v>20</v>
      </c>
      <c r="AD13" s="393">
        <f t="shared" si="5"/>
        <v>2</v>
      </c>
      <c r="AE13" s="393">
        <f t="shared" si="26"/>
        <v>2</v>
      </c>
      <c r="AF13" s="393">
        <f t="shared" si="27"/>
        <v>0</v>
      </c>
      <c r="AG13" s="393">
        <f t="shared" si="6"/>
        <v>1</v>
      </c>
      <c r="AH13" s="393">
        <f t="shared" si="7"/>
        <v>1</v>
      </c>
      <c r="AI13" s="393">
        <f t="shared" si="8"/>
        <v>0</v>
      </c>
      <c r="AJ13" s="393"/>
      <c r="AK13" s="393"/>
      <c r="AL13" s="393"/>
      <c r="AM13" s="393"/>
      <c r="AN13" s="377">
        <f t="shared" si="28"/>
        <v>34</v>
      </c>
      <c r="AO13" s="377">
        <f t="shared" si="9"/>
        <v>1</v>
      </c>
      <c r="AP13" s="377">
        <f t="shared" si="29"/>
        <v>1</v>
      </c>
      <c r="AQ13" s="377">
        <f t="shared" si="30"/>
        <v>0</v>
      </c>
      <c r="AR13" s="377">
        <f t="shared" si="31"/>
        <v>1</v>
      </c>
      <c r="AS13" s="377">
        <f t="shared" si="32"/>
        <v>1</v>
      </c>
      <c r="AT13" s="377">
        <f t="shared" si="33"/>
        <v>0</v>
      </c>
      <c r="AU13" s="377"/>
      <c r="AV13" s="377"/>
      <c r="AW13" s="377"/>
      <c r="AX13" s="377"/>
      <c r="AY13" s="377">
        <f t="shared" si="34"/>
        <v>51</v>
      </c>
      <c r="AZ13" s="377">
        <f t="shared" si="10"/>
        <v>1</v>
      </c>
      <c r="BA13" s="377">
        <f t="shared" si="11"/>
        <v>1</v>
      </c>
      <c r="BB13" s="377">
        <f t="shared" si="12"/>
        <v>0</v>
      </c>
      <c r="BC13" s="377">
        <f t="shared" si="35"/>
        <v>1</v>
      </c>
      <c r="BD13" s="377">
        <f t="shared" si="13"/>
        <v>1</v>
      </c>
      <c r="BE13" s="377">
        <f t="shared" si="14"/>
        <v>0</v>
      </c>
      <c r="BF13" s="377"/>
      <c r="BG13" s="377"/>
      <c r="BH13" s="377"/>
      <c r="BI13" s="377"/>
    </row>
    <row r="14" spans="1:61">
      <c r="B14" s="367" t="str">
        <f>Dane!C68</f>
        <v>0.7</v>
      </c>
      <c r="C14" s="367" t="str">
        <f t="shared" si="15"/>
        <v>wywiew</v>
      </c>
      <c r="D14" t="str">
        <f>Dane!E68</f>
        <v>Pomieszczenie gospodarcze</v>
      </c>
      <c r="E14" t="str">
        <f>IF(Dane!E69="","",Dane!E69)</f>
        <v/>
      </c>
      <c r="F14">
        <f>Dane!G70</f>
        <v>4</v>
      </c>
      <c r="G14">
        <f>IF(D14&lt;&gt;0,Dane!J69,0)</f>
        <v>7.6</v>
      </c>
      <c r="H14">
        <f>Dane!L69</f>
        <v>2.7</v>
      </c>
      <c r="I14" s="58">
        <f t="shared" si="16"/>
        <v>20.52</v>
      </c>
      <c r="J14" t="str">
        <f t="shared" si="0"/>
        <v>wywiew</v>
      </c>
      <c r="K14">
        <f t="shared" si="1"/>
        <v>15</v>
      </c>
      <c r="L14" s="58">
        <f t="shared" si="2"/>
        <v>20.52</v>
      </c>
      <c r="M14" s="58">
        <f>IF(D14&lt;&gt;0,Dane!S69,0)</f>
        <v>15</v>
      </c>
      <c r="N14">
        <f t="shared" si="17"/>
        <v>0</v>
      </c>
      <c r="O14" s="371">
        <f t="shared" si="18"/>
        <v>0</v>
      </c>
      <c r="P14">
        <f t="shared" si="19"/>
        <v>15</v>
      </c>
      <c r="Q14" s="371">
        <f t="shared" si="20"/>
        <v>0.73099415204678364</v>
      </c>
      <c r="R14" s="377">
        <f t="shared" si="21"/>
        <v>25</v>
      </c>
      <c r="S14" s="377">
        <f t="shared" si="22"/>
        <v>1</v>
      </c>
      <c r="T14" s="377">
        <f t="shared" si="23"/>
        <v>0</v>
      </c>
      <c r="U14" s="377">
        <f t="shared" si="3"/>
        <v>1</v>
      </c>
      <c r="V14" s="377">
        <f t="shared" si="4"/>
        <v>1</v>
      </c>
      <c r="W14" s="377">
        <f t="shared" si="24"/>
        <v>0</v>
      </c>
      <c r="X14" s="377">
        <f t="shared" si="25"/>
        <v>1</v>
      </c>
      <c r="Y14" s="377"/>
      <c r="Z14" s="377"/>
      <c r="AA14" s="377"/>
      <c r="AB14" s="377"/>
      <c r="AC14" s="393">
        <v>20</v>
      </c>
      <c r="AD14" s="393">
        <f t="shared" si="5"/>
        <v>1</v>
      </c>
      <c r="AE14" s="393">
        <f t="shared" si="26"/>
        <v>0</v>
      </c>
      <c r="AF14" s="393">
        <f t="shared" si="27"/>
        <v>1</v>
      </c>
      <c r="AG14" s="393">
        <f t="shared" si="6"/>
        <v>1</v>
      </c>
      <c r="AH14" s="393">
        <f t="shared" si="7"/>
        <v>0</v>
      </c>
      <c r="AI14" s="393">
        <f t="shared" si="8"/>
        <v>1</v>
      </c>
      <c r="AJ14" s="393"/>
      <c r="AK14" s="393"/>
      <c r="AL14" s="393"/>
      <c r="AM14" s="393"/>
      <c r="AN14" s="377">
        <f t="shared" si="28"/>
        <v>34</v>
      </c>
      <c r="AO14" s="377">
        <f t="shared" si="9"/>
        <v>1</v>
      </c>
      <c r="AP14" s="377">
        <f t="shared" si="29"/>
        <v>0</v>
      </c>
      <c r="AQ14" s="377">
        <f t="shared" si="30"/>
        <v>1</v>
      </c>
      <c r="AR14" s="377">
        <f t="shared" si="31"/>
        <v>1</v>
      </c>
      <c r="AS14" s="377">
        <f t="shared" si="32"/>
        <v>0</v>
      </c>
      <c r="AT14" s="377">
        <f t="shared" si="33"/>
        <v>1</v>
      </c>
      <c r="AU14" s="377"/>
      <c r="AV14" s="377"/>
      <c r="AW14" s="377"/>
      <c r="AX14" s="377"/>
      <c r="AY14" s="377">
        <f t="shared" si="34"/>
        <v>51</v>
      </c>
      <c r="AZ14" s="377">
        <f t="shared" si="10"/>
        <v>1</v>
      </c>
      <c r="BA14" s="377">
        <f t="shared" si="11"/>
        <v>0</v>
      </c>
      <c r="BB14" s="377">
        <f t="shared" si="12"/>
        <v>1</v>
      </c>
      <c r="BC14" s="377">
        <f t="shared" si="35"/>
        <v>1</v>
      </c>
      <c r="BD14" s="377">
        <f t="shared" si="13"/>
        <v>0</v>
      </c>
      <c r="BE14" s="377">
        <f t="shared" si="14"/>
        <v>1</v>
      </c>
      <c r="BF14" s="377"/>
      <c r="BG14" s="377"/>
      <c r="BH14" s="377"/>
      <c r="BI14" s="377"/>
    </row>
    <row r="15" spans="1:61">
      <c r="B15" s="367" t="str">
        <f>Dane!C74</f>
        <v>0.8</v>
      </c>
      <c r="C15" s="367" t="str">
        <f t="shared" si="15"/>
        <v>nawiew</v>
      </c>
      <c r="D15" t="str">
        <f>Dane!E74</f>
        <v>Jadalnia - nawiew</v>
      </c>
      <c r="E15" t="str">
        <f>IF(Dane!E75="","",Dane!E75)</f>
        <v/>
      </c>
      <c r="F15">
        <f>Dane!G76</f>
        <v>1</v>
      </c>
      <c r="G15">
        <f>IF(D15&lt;&gt;0,Dane!J75,0)</f>
        <v>7.6</v>
      </c>
      <c r="H15">
        <f>Dane!L75</f>
        <v>2.7</v>
      </c>
      <c r="I15" s="58">
        <f t="shared" si="16"/>
        <v>20.52</v>
      </c>
      <c r="J15" t="str">
        <f t="shared" si="0"/>
        <v>nawiew</v>
      </c>
      <c r="K15">
        <f t="shared" si="1"/>
        <v>20</v>
      </c>
      <c r="L15" s="58">
        <f t="shared" si="2"/>
        <v>20.52</v>
      </c>
      <c r="M15" s="58">
        <f>IF(D15&lt;&gt;0,Dane!S75,0)</f>
        <v>20</v>
      </c>
      <c r="N15">
        <f t="shared" si="17"/>
        <v>20</v>
      </c>
      <c r="O15" s="371">
        <f t="shared" si="18"/>
        <v>0.97465886939571156</v>
      </c>
      <c r="P15">
        <f t="shared" si="19"/>
        <v>0</v>
      </c>
      <c r="Q15" s="371">
        <f t="shared" si="20"/>
        <v>0</v>
      </c>
      <c r="R15" s="377">
        <f t="shared" si="21"/>
        <v>25</v>
      </c>
      <c r="S15" s="377">
        <f t="shared" si="22"/>
        <v>1</v>
      </c>
      <c r="T15" s="377">
        <f t="shared" si="23"/>
        <v>1</v>
      </c>
      <c r="U15" s="377">
        <f t="shared" si="3"/>
        <v>0</v>
      </c>
      <c r="V15" s="377">
        <f t="shared" si="4"/>
        <v>1</v>
      </c>
      <c r="W15" s="377">
        <f t="shared" si="24"/>
        <v>1</v>
      </c>
      <c r="X15" s="377">
        <f t="shared" si="25"/>
        <v>0</v>
      </c>
      <c r="Y15" s="377"/>
      <c r="Z15" s="377"/>
      <c r="AA15" s="377"/>
      <c r="AB15" s="377"/>
      <c r="AC15" s="393">
        <v>20</v>
      </c>
      <c r="AD15" s="393">
        <f t="shared" si="5"/>
        <v>1</v>
      </c>
      <c r="AE15" s="393">
        <f t="shared" si="26"/>
        <v>1</v>
      </c>
      <c r="AF15" s="393">
        <f t="shared" si="27"/>
        <v>0</v>
      </c>
      <c r="AG15" s="393">
        <f t="shared" si="6"/>
        <v>1</v>
      </c>
      <c r="AH15" s="393">
        <f t="shared" si="7"/>
        <v>1</v>
      </c>
      <c r="AI15" s="393">
        <f t="shared" si="8"/>
        <v>0</v>
      </c>
      <c r="AJ15" s="393"/>
      <c r="AK15" s="393"/>
      <c r="AL15" s="393"/>
      <c r="AM15" s="393"/>
      <c r="AN15" s="377">
        <f t="shared" si="28"/>
        <v>34</v>
      </c>
      <c r="AO15" s="377">
        <f t="shared" si="9"/>
        <v>1</v>
      </c>
      <c r="AP15" s="377">
        <f t="shared" si="29"/>
        <v>1</v>
      </c>
      <c r="AQ15" s="377">
        <f t="shared" si="30"/>
        <v>0</v>
      </c>
      <c r="AR15" s="377">
        <f t="shared" si="31"/>
        <v>1</v>
      </c>
      <c r="AS15" s="377">
        <f t="shared" si="32"/>
        <v>1</v>
      </c>
      <c r="AT15" s="377">
        <f t="shared" si="33"/>
        <v>0</v>
      </c>
      <c r="AU15" s="377"/>
      <c r="AV15" s="377"/>
      <c r="AW15" s="377"/>
      <c r="AX15" s="377"/>
      <c r="AY15" s="377">
        <f t="shared" si="34"/>
        <v>51</v>
      </c>
      <c r="AZ15" s="377">
        <f t="shared" si="10"/>
        <v>1</v>
      </c>
      <c r="BA15" s="377">
        <f t="shared" si="11"/>
        <v>1</v>
      </c>
      <c r="BB15" s="377">
        <f t="shared" si="12"/>
        <v>0</v>
      </c>
      <c r="BC15" s="377">
        <f t="shared" si="35"/>
        <v>1</v>
      </c>
      <c r="BD15" s="377">
        <f t="shared" si="13"/>
        <v>1</v>
      </c>
      <c r="BE15" s="377">
        <f t="shared" si="14"/>
        <v>0</v>
      </c>
      <c r="BF15" s="377"/>
      <c r="BG15" s="377"/>
      <c r="BH15" s="377"/>
      <c r="BI15" s="377"/>
    </row>
    <row r="16" spans="1:61">
      <c r="B16" s="367" t="str">
        <f>Dane!C80</f>
        <v>0.9</v>
      </c>
      <c r="C16" s="367" t="str">
        <f t="shared" si="15"/>
        <v>nawiew</v>
      </c>
      <c r="D16" t="str">
        <f>Dane!E80</f>
        <v>Sypialnia</v>
      </c>
      <c r="E16" t="str">
        <f>IF(Dane!E81="","",Dane!E81)</f>
        <v/>
      </c>
      <c r="F16">
        <f>Dane!G82</f>
        <v>2</v>
      </c>
      <c r="G16">
        <f>IF(D16&lt;&gt;0,Dane!J81,0)</f>
        <v>16.7</v>
      </c>
      <c r="H16">
        <f>Dane!L81</f>
        <v>2.7</v>
      </c>
      <c r="I16" s="58">
        <f t="shared" si="16"/>
        <v>45.09</v>
      </c>
      <c r="J16" t="str">
        <f t="shared" si="0"/>
        <v>nawiew</v>
      </c>
      <c r="K16">
        <f t="shared" si="1"/>
        <v>40</v>
      </c>
      <c r="L16" s="58">
        <f t="shared" si="2"/>
        <v>45.09</v>
      </c>
      <c r="M16" s="58">
        <f>IF(D16&lt;&gt;0,Dane!S81,0)</f>
        <v>60</v>
      </c>
      <c r="N16">
        <f t="shared" si="17"/>
        <v>60</v>
      </c>
      <c r="O16" s="371">
        <f t="shared" si="18"/>
        <v>1.3306719893546239</v>
      </c>
      <c r="P16">
        <f t="shared" si="19"/>
        <v>0</v>
      </c>
      <c r="Q16" s="371">
        <f t="shared" si="20"/>
        <v>0</v>
      </c>
      <c r="R16" s="377">
        <f t="shared" si="21"/>
        <v>25</v>
      </c>
      <c r="S16" s="377">
        <f t="shared" si="22"/>
        <v>3</v>
      </c>
      <c r="T16" s="377">
        <f t="shared" si="23"/>
        <v>3</v>
      </c>
      <c r="U16" s="377">
        <f t="shared" si="3"/>
        <v>0</v>
      </c>
      <c r="V16" s="377">
        <f t="shared" si="4"/>
        <v>1</v>
      </c>
      <c r="W16" s="377">
        <f t="shared" si="24"/>
        <v>1</v>
      </c>
      <c r="X16" s="377">
        <f t="shared" si="25"/>
        <v>0</v>
      </c>
      <c r="Y16" s="377"/>
      <c r="Z16" s="377"/>
      <c r="AA16" s="377"/>
      <c r="AB16" s="377"/>
      <c r="AC16" s="393">
        <v>20</v>
      </c>
      <c r="AD16" s="393">
        <f t="shared" si="5"/>
        <v>3</v>
      </c>
      <c r="AE16" s="393">
        <f t="shared" si="26"/>
        <v>3</v>
      </c>
      <c r="AF16" s="393">
        <f t="shared" si="27"/>
        <v>0</v>
      </c>
      <c r="AG16" s="393">
        <f t="shared" si="6"/>
        <v>1</v>
      </c>
      <c r="AH16" s="393">
        <f t="shared" si="7"/>
        <v>1</v>
      </c>
      <c r="AI16" s="393">
        <f t="shared" si="8"/>
        <v>0</v>
      </c>
      <c r="AJ16" s="393"/>
      <c r="AK16" s="393"/>
      <c r="AL16" s="393"/>
      <c r="AM16" s="393"/>
      <c r="AN16" s="377">
        <f t="shared" si="28"/>
        <v>34</v>
      </c>
      <c r="AO16" s="377">
        <f t="shared" si="9"/>
        <v>2</v>
      </c>
      <c r="AP16" s="377">
        <f t="shared" si="29"/>
        <v>2</v>
      </c>
      <c r="AQ16" s="377">
        <f t="shared" si="30"/>
        <v>0</v>
      </c>
      <c r="AR16" s="377">
        <f t="shared" si="31"/>
        <v>1</v>
      </c>
      <c r="AS16" s="377">
        <f t="shared" si="32"/>
        <v>1</v>
      </c>
      <c r="AT16" s="377">
        <f t="shared" si="33"/>
        <v>0</v>
      </c>
      <c r="AU16" s="377"/>
      <c r="AV16" s="377"/>
      <c r="AW16" s="377"/>
      <c r="AX16" s="377"/>
      <c r="AY16" s="377">
        <f t="shared" si="34"/>
        <v>51</v>
      </c>
      <c r="AZ16" s="377">
        <f t="shared" si="10"/>
        <v>2</v>
      </c>
      <c r="BA16" s="377">
        <f t="shared" si="11"/>
        <v>2</v>
      </c>
      <c r="BB16" s="377">
        <f t="shared" si="12"/>
        <v>0</v>
      </c>
      <c r="BC16" s="377">
        <f t="shared" si="35"/>
        <v>2</v>
      </c>
      <c r="BD16" s="377">
        <f t="shared" si="13"/>
        <v>2</v>
      </c>
      <c r="BE16" s="377">
        <f t="shared" si="14"/>
        <v>0</v>
      </c>
      <c r="BF16" s="377"/>
      <c r="BG16" s="377"/>
      <c r="BH16" s="377"/>
      <c r="BI16" s="377"/>
    </row>
    <row r="17" spans="2:61">
      <c r="B17" s="367" t="str">
        <f>Dane!C86</f>
        <v>0.10</v>
      </c>
      <c r="C17" s="367" t="str">
        <f t="shared" si="15"/>
        <v>wywiew</v>
      </c>
      <c r="D17" t="str">
        <f>Dane!E86</f>
        <v>Garderoba</v>
      </c>
      <c r="E17" t="str">
        <f>IF(Dane!E87="","",Dane!E87)</f>
        <v/>
      </c>
      <c r="F17">
        <f>Dane!G88</f>
        <v>2</v>
      </c>
      <c r="G17">
        <f>IF(D17&lt;&gt;0,Dane!J87,0)</f>
        <v>8.6</v>
      </c>
      <c r="H17">
        <f>Dane!L87</f>
        <v>2.7</v>
      </c>
      <c r="I17" s="58">
        <f t="shared" si="16"/>
        <v>23.22</v>
      </c>
      <c r="J17" t="str">
        <f t="shared" si="0"/>
        <v>wywiew</v>
      </c>
      <c r="K17">
        <f t="shared" si="1"/>
        <v>15</v>
      </c>
      <c r="L17" s="58">
        <f t="shared" si="2"/>
        <v>23.22</v>
      </c>
      <c r="M17" s="58">
        <f>IF(D17&lt;&gt;0,Dane!S87,0)</f>
        <v>30</v>
      </c>
      <c r="N17">
        <f t="shared" si="17"/>
        <v>0</v>
      </c>
      <c r="O17" s="371">
        <f t="shared" si="18"/>
        <v>0</v>
      </c>
      <c r="P17">
        <f t="shared" si="19"/>
        <v>30</v>
      </c>
      <c r="Q17" s="371">
        <f t="shared" si="20"/>
        <v>1.2919896640826873</v>
      </c>
      <c r="R17" s="377">
        <f t="shared" si="21"/>
        <v>25</v>
      </c>
      <c r="S17" s="377">
        <f t="shared" si="22"/>
        <v>2</v>
      </c>
      <c r="T17" s="377">
        <f t="shared" si="23"/>
        <v>0</v>
      </c>
      <c r="U17" s="377">
        <f t="shared" si="3"/>
        <v>2</v>
      </c>
      <c r="V17" s="377">
        <f t="shared" si="4"/>
        <v>1</v>
      </c>
      <c r="W17" s="377">
        <f t="shared" si="24"/>
        <v>0</v>
      </c>
      <c r="X17" s="377">
        <f t="shared" si="25"/>
        <v>1</v>
      </c>
      <c r="Y17" s="377"/>
      <c r="Z17" s="377"/>
      <c r="AA17" s="377"/>
      <c r="AB17" s="377"/>
      <c r="AC17" s="393">
        <v>20</v>
      </c>
      <c r="AD17" s="393">
        <f t="shared" si="5"/>
        <v>2</v>
      </c>
      <c r="AE17" s="393">
        <f t="shared" si="26"/>
        <v>0</v>
      </c>
      <c r="AF17" s="393">
        <f t="shared" si="27"/>
        <v>2</v>
      </c>
      <c r="AG17" s="393">
        <f t="shared" si="6"/>
        <v>1</v>
      </c>
      <c r="AH17" s="393">
        <f t="shared" si="7"/>
        <v>0</v>
      </c>
      <c r="AI17" s="393">
        <f t="shared" si="8"/>
        <v>1</v>
      </c>
      <c r="AJ17" s="393"/>
      <c r="AK17" s="393"/>
      <c r="AL17" s="393"/>
      <c r="AM17" s="393"/>
      <c r="AN17" s="377">
        <f t="shared" si="28"/>
        <v>34</v>
      </c>
      <c r="AO17" s="377">
        <f t="shared" si="9"/>
        <v>1</v>
      </c>
      <c r="AP17" s="377">
        <f t="shared" si="29"/>
        <v>0</v>
      </c>
      <c r="AQ17" s="377">
        <f t="shared" si="30"/>
        <v>1</v>
      </c>
      <c r="AR17" s="377">
        <f t="shared" si="31"/>
        <v>1</v>
      </c>
      <c r="AS17" s="377">
        <f t="shared" si="32"/>
        <v>0</v>
      </c>
      <c r="AT17" s="377">
        <f t="shared" si="33"/>
        <v>1</v>
      </c>
      <c r="AU17" s="377"/>
      <c r="AV17" s="377"/>
      <c r="AW17" s="377"/>
      <c r="AX17" s="377"/>
      <c r="AY17" s="377">
        <f t="shared" si="34"/>
        <v>51</v>
      </c>
      <c r="AZ17" s="377">
        <f t="shared" si="10"/>
        <v>1</v>
      </c>
      <c r="BA17" s="377">
        <f t="shared" si="11"/>
        <v>0</v>
      </c>
      <c r="BB17" s="377">
        <f t="shared" si="12"/>
        <v>1</v>
      </c>
      <c r="BC17" s="377">
        <f t="shared" si="35"/>
        <v>1</v>
      </c>
      <c r="BD17" s="377">
        <f t="shared" si="13"/>
        <v>0</v>
      </c>
      <c r="BE17" s="377">
        <f t="shared" si="14"/>
        <v>1</v>
      </c>
      <c r="BF17" s="377"/>
      <c r="BG17" s="377"/>
      <c r="BH17" s="377"/>
      <c r="BI17" s="377"/>
    </row>
    <row r="18" spans="2:61">
      <c r="B18" s="367" t="str">
        <f>Dane!C92</f>
        <v>0.11</v>
      </c>
      <c r="C18" s="367" t="str">
        <f t="shared" si="15"/>
        <v>wywiew</v>
      </c>
      <c r="D18" t="str">
        <f>Dane!E92</f>
        <v>Łazienka</v>
      </c>
      <c r="E18" t="str">
        <f>IF(Dane!E93="","",Dane!E93)</f>
        <v/>
      </c>
      <c r="F18">
        <f>Dane!G94</f>
        <v>4</v>
      </c>
      <c r="G18">
        <f>IF(D18&lt;&gt;0,Dane!J93,0)</f>
        <v>6.4</v>
      </c>
      <c r="H18">
        <f>Dane!L93</f>
        <v>2.7</v>
      </c>
      <c r="I18" s="58">
        <f t="shared" si="16"/>
        <v>17.28</v>
      </c>
      <c r="J18" t="str">
        <f t="shared" ref="J18" si="36">IF(D18=0,"n.d.",VLOOKUP(D18,lista_pod_rodzaj_ruchu_powietrza,4,0))</f>
        <v>wywiew</v>
      </c>
      <c r="K18">
        <f t="shared" ref="K18" si="37">IF(J18="n.d.",0,IF(J18="nawiew",F18*20,VLOOKUP(D18,warunki2,3,0)))</f>
        <v>50</v>
      </c>
      <c r="L18" s="58">
        <f t="shared" ref="L18" si="38">I18</f>
        <v>17.28</v>
      </c>
      <c r="M18" s="58">
        <f>IF(D18&lt;&gt;0,Dane!S93,0)</f>
        <v>55</v>
      </c>
      <c r="N18">
        <f t="shared" si="17"/>
        <v>0</v>
      </c>
      <c r="O18" s="371">
        <f t="shared" si="18"/>
        <v>0</v>
      </c>
      <c r="P18">
        <f t="shared" si="19"/>
        <v>55</v>
      </c>
      <c r="Q18" s="371">
        <f t="shared" si="20"/>
        <v>3.1828703703703702</v>
      </c>
      <c r="R18" s="377">
        <f t="shared" si="21"/>
        <v>25</v>
      </c>
      <c r="S18" s="377">
        <f t="shared" si="22"/>
        <v>3</v>
      </c>
      <c r="T18" s="377">
        <f t="shared" si="23"/>
        <v>0</v>
      </c>
      <c r="U18" s="377">
        <f t="shared" si="3"/>
        <v>3</v>
      </c>
      <c r="V18" s="377">
        <f t="shared" si="4"/>
        <v>1</v>
      </c>
      <c r="W18" s="377">
        <f t="shared" ref="W18" si="39">IF(J18="nawiew",V18,IF(J18="naw.wyw.",V18,0))</f>
        <v>0</v>
      </c>
      <c r="X18" s="377">
        <f t="shared" ref="X18" si="40">IF(J18="wywiew",V18,IF(J18="naw.wyw.",V18,0))</f>
        <v>1</v>
      </c>
      <c r="Y18" s="377"/>
      <c r="Z18" s="377"/>
      <c r="AA18" s="377"/>
      <c r="AB18" s="377"/>
      <c r="AC18" s="393">
        <v>20</v>
      </c>
      <c r="AD18" s="393">
        <f t="shared" si="5"/>
        <v>3</v>
      </c>
      <c r="AE18" s="393">
        <f t="shared" si="26"/>
        <v>0</v>
      </c>
      <c r="AF18" s="393">
        <f t="shared" si="27"/>
        <v>3</v>
      </c>
      <c r="AG18" s="393">
        <f t="shared" si="6"/>
        <v>1</v>
      </c>
      <c r="AH18" s="393">
        <f t="shared" si="7"/>
        <v>0</v>
      </c>
      <c r="AI18" s="393">
        <f t="shared" si="8"/>
        <v>1</v>
      </c>
      <c r="AJ18" s="393"/>
      <c r="AK18" s="393"/>
      <c r="AL18" s="393"/>
      <c r="AM18" s="393"/>
      <c r="AN18" s="377">
        <f t="shared" si="28"/>
        <v>34</v>
      </c>
      <c r="AO18" s="377">
        <f t="shared" si="9"/>
        <v>2</v>
      </c>
      <c r="AP18" s="377">
        <f t="shared" si="29"/>
        <v>0</v>
      </c>
      <c r="AQ18" s="377">
        <f t="shared" si="30"/>
        <v>2</v>
      </c>
      <c r="AR18" s="377">
        <f t="shared" si="31"/>
        <v>1</v>
      </c>
      <c r="AS18" s="377">
        <f t="shared" si="32"/>
        <v>0</v>
      </c>
      <c r="AT18" s="377">
        <f t="shared" si="33"/>
        <v>1</v>
      </c>
      <c r="AU18" s="377"/>
      <c r="AV18" s="377"/>
      <c r="AW18" s="377"/>
      <c r="AX18" s="377"/>
      <c r="AY18" s="377">
        <f t="shared" si="34"/>
        <v>51</v>
      </c>
      <c r="AZ18" s="377">
        <f t="shared" si="10"/>
        <v>2</v>
      </c>
      <c r="BA18" s="377">
        <f t="shared" si="11"/>
        <v>0</v>
      </c>
      <c r="BB18" s="377">
        <f t="shared" si="12"/>
        <v>2</v>
      </c>
      <c r="BC18" s="377">
        <f t="shared" si="35"/>
        <v>2</v>
      </c>
      <c r="BD18" s="377">
        <f t="shared" si="13"/>
        <v>0</v>
      </c>
      <c r="BE18" s="377">
        <f t="shared" si="14"/>
        <v>2</v>
      </c>
      <c r="BF18" s="377"/>
      <c r="BG18" s="377"/>
      <c r="BH18" s="377"/>
      <c r="BI18" s="377"/>
    </row>
    <row r="19" spans="2:61">
      <c r="B19" s="367" t="str">
        <f>Dane!C98</f>
        <v>0.12</v>
      </c>
      <c r="C19" s="367" t="str">
        <f t="shared" si="15"/>
        <v>nawiew</v>
      </c>
      <c r="D19" t="str">
        <f>Dane!E98</f>
        <v>Sypialnia</v>
      </c>
      <c r="E19" t="str">
        <f>IF(Dane!E99="","",Dane!E99)</f>
        <v/>
      </c>
      <c r="F19">
        <f>Dane!G100</f>
        <v>1</v>
      </c>
      <c r="G19">
        <f>IF(D19&lt;&gt;0,Dane!J99,0)</f>
        <v>9.9</v>
      </c>
      <c r="H19">
        <f>Dane!L99</f>
        <v>2.7</v>
      </c>
      <c r="I19" s="58">
        <f t="shared" si="16"/>
        <v>26.730000000000004</v>
      </c>
      <c r="J19" t="str">
        <f t="shared" ref="J19" si="41">IF(D19=0,"n.d.",VLOOKUP(D19,lista_pod_rodzaj_ruchu_powietrza,4,0))</f>
        <v>nawiew</v>
      </c>
      <c r="K19">
        <f t="shared" ref="K19" si="42">IF(J19="n.d.",0,IF(J19="nawiew",F19*20,VLOOKUP(D19,warunki2,3,0)))</f>
        <v>20</v>
      </c>
      <c r="L19" s="58">
        <f t="shared" ref="L19" si="43">I19</f>
        <v>26.730000000000004</v>
      </c>
      <c r="M19" s="58">
        <f>IF(D19&lt;&gt;0,Dane!S99,0)</f>
        <v>30</v>
      </c>
      <c r="N19">
        <f t="shared" si="17"/>
        <v>30</v>
      </c>
      <c r="O19" s="371">
        <f t="shared" si="18"/>
        <v>1.1223344556677888</v>
      </c>
      <c r="P19">
        <f t="shared" si="19"/>
        <v>0</v>
      </c>
      <c r="Q19" s="371">
        <f t="shared" si="20"/>
        <v>0</v>
      </c>
      <c r="R19" s="377">
        <f t="shared" si="21"/>
        <v>25</v>
      </c>
      <c r="S19" s="377">
        <f t="shared" si="22"/>
        <v>2</v>
      </c>
      <c r="T19" s="377">
        <f t="shared" si="23"/>
        <v>2</v>
      </c>
      <c r="U19" s="377">
        <f t="shared" si="3"/>
        <v>0</v>
      </c>
      <c r="V19" s="377">
        <f t="shared" si="4"/>
        <v>1</v>
      </c>
      <c r="W19" s="377">
        <f t="shared" ref="W19" si="44">IF(J19="nawiew",V19,IF(J19="naw.wyw.",V19,0))</f>
        <v>1</v>
      </c>
      <c r="X19" s="377">
        <f t="shared" ref="X19" si="45">IF(J19="wywiew",V19,IF(J19="naw.wyw.",V19,0))</f>
        <v>0</v>
      </c>
      <c r="Y19" s="377"/>
      <c r="Z19" s="377"/>
      <c r="AA19" s="377"/>
      <c r="AB19" s="377"/>
      <c r="AC19" s="393">
        <v>20</v>
      </c>
      <c r="AD19" s="393">
        <f t="shared" si="5"/>
        <v>2</v>
      </c>
      <c r="AE19" s="393">
        <f t="shared" si="26"/>
        <v>2</v>
      </c>
      <c r="AF19" s="393">
        <f t="shared" si="27"/>
        <v>0</v>
      </c>
      <c r="AG19" s="393">
        <f t="shared" si="6"/>
        <v>1</v>
      </c>
      <c r="AH19" s="393">
        <f t="shared" si="7"/>
        <v>1</v>
      </c>
      <c r="AI19" s="393">
        <f t="shared" si="8"/>
        <v>0</v>
      </c>
      <c r="AJ19" s="393"/>
      <c r="AK19" s="393"/>
      <c r="AL19" s="393"/>
      <c r="AM19" s="393"/>
      <c r="AN19" s="377">
        <f t="shared" si="28"/>
        <v>34</v>
      </c>
      <c r="AO19" s="377">
        <f t="shared" si="9"/>
        <v>1</v>
      </c>
      <c r="AP19" s="377">
        <f t="shared" si="29"/>
        <v>1</v>
      </c>
      <c r="AQ19" s="377">
        <f t="shared" si="30"/>
        <v>0</v>
      </c>
      <c r="AR19" s="377">
        <f t="shared" si="31"/>
        <v>1</v>
      </c>
      <c r="AS19" s="377">
        <f t="shared" si="32"/>
        <v>1</v>
      </c>
      <c r="AT19" s="377">
        <f t="shared" si="33"/>
        <v>0</v>
      </c>
      <c r="AU19" s="377"/>
      <c r="AV19" s="377"/>
      <c r="AW19" s="377"/>
      <c r="AX19" s="377"/>
      <c r="AY19" s="377">
        <f t="shared" si="34"/>
        <v>51</v>
      </c>
      <c r="AZ19" s="377">
        <f t="shared" si="10"/>
        <v>1</v>
      </c>
      <c r="BA19" s="377">
        <f t="shared" si="11"/>
        <v>1</v>
      </c>
      <c r="BB19" s="377">
        <f t="shared" si="12"/>
        <v>0</v>
      </c>
      <c r="BC19" s="377">
        <f t="shared" si="35"/>
        <v>1</v>
      </c>
      <c r="BD19" s="377">
        <f t="shared" si="13"/>
        <v>1</v>
      </c>
      <c r="BE19" s="377">
        <f t="shared" si="14"/>
        <v>0</v>
      </c>
      <c r="BF19" s="377"/>
      <c r="BG19" s="377"/>
      <c r="BH19" s="377"/>
      <c r="BI19" s="377"/>
    </row>
    <row r="20" spans="2:61" s="377" customFormat="1">
      <c r="B20" s="394">
        <v>0</v>
      </c>
      <c r="C20" s="367" t="s">
        <v>235</v>
      </c>
      <c r="D20" s="377">
        <f>COUNTIFS(D8:D19,"&lt;&gt;0")</f>
        <v>12</v>
      </c>
      <c r="F20" s="377">
        <f>MAX(F8:F17)</f>
        <v>4</v>
      </c>
      <c r="G20" s="377">
        <f>SUM(G8:G19)</f>
        <v>114.3</v>
      </c>
      <c r="I20" s="378">
        <f>SUM(I8:I19)</f>
        <v>353.6</v>
      </c>
      <c r="L20" s="378"/>
      <c r="M20" s="378"/>
      <c r="N20" s="378">
        <f>SUM(N8:N19)</f>
        <v>220</v>
      </c>
      <c r="O20" s="379"/>
      <c r="P20" s="378">
        <f>SUM(P8:P19)</f>
        <v>210</v>
      </c>
      <c r="Q20" s="379"/>
      <c r="AC20" s="393"/>
      <c r="AD20" s="393"/>
      <c r="AE20" s="393"/>
      <c r="AF20" s="393"/>
      <c r="AG20" s="393"/>
      <c r="AH20" s="393"/>
      <c r="AI20" s="393"/>
      <c r="AJ20" s="393"/>
      <c r="AK20" s="393"/>
      <c r="AL20" s="393"/>
      <c r="AM20" s="393"/>
    </row>
    <row r="21" spans="2:61">
      <c r="B21" s="367" t="str">
        <f>Dane!C121</f>
        <v>1.1</v>
      </c>
      <c r="C21" s="367" t="str">
        <f t="shared" si="15"/>
        <v>nawiew</v>
      </c>
      <c r="D21" s="367" t="str">
        <f>Dane!E121</f>
        <v>Sypialnia</v>
      </c>
      <c r="E21" t="str">
        <f>IF(Dane!E122="","",Dane!E122)</f>
        <v/>
      </c>
      <c r="F21">
        <f>Dane!G123</f>
        <v>1</v>
      </c>
      <c r="G21">
        <f>IF(D21&lt;&gt;0,Dane!J122,0)</f>
        <v>11.5</v>
      </c>
      <c r="H21">
        <f>Dane!L122</f>
        <v>2.7</v>
      </c>
      <c r="I21" s="58">
        <f t="shared" si="16"/>
        <v>31.05</v>
      </c>
      <c r="J21" t="str">
        <f>Dane!R121</f>
        <v>nawiew</v>
      </c>
      <c r="K21">
        <f>Dane!Q122</f>
        <v>20</v>
      </c>
      <c r="L21" s="58">
        <f>Dane!Q123</f>
        <v>31.05</v>
      </c>
      <c r="M21" s="58">
        <f>IF(D21&lt;&gt;0,Dane!S122,0)</f>
        <v>40</v>
      </c>
      <c r="N21">
        <f t="shared" si="17"/>
        <v>40</v>
      </c>
      <c r="O21" s="371">
        <f t="shared" si="18"/>
        <v>1.288244766505636</v>
      </c>
      <c r="P21">
        <f t="shared" si="19"/>
        <v>0</v>
      </c>
      <c r="Q21" s="371">
        <f t="shared" si="20"/>
        <v>0</v>
      </c>
      <c r="R21" s="377">
        <f t="shared" ref="R21:R28" si="46">$R$7</f>
        <v>25</v>
      </c>
      <c r="S21" s="377">
        <f t="shared" si="22"/>
        <v>2</v>
      </c>
      <c r="T21" s="377">
        <f t="shared" si="23"/>
        <v>2</v>
      </c>
      <c r="U21" s="377">
        <f t="shared" ref="U21:U28" si="47">IF(J21="wywiew",S21,IF(J21="naw.wyw.",S21,0))</f>
        <v>0</v>
      </c>
      <c r="V21" s="377">
        <f t="shared" si="4"/>
        <v>1</v>
      </c>
      <c r="W21" s="377">
        <f t="shared" ref="W21:W28" si="48">IF(J21="nawiew",V21,IF(J21="naw.wyw.",V21,0))</f>
        <v>1</v>
      </c>
      <c r="X21" s="377">
        <f t="shared" ref="X21:X28" si="49">IF(J21="wywiew",V21,IF(J21="naw.wyw.",V21,0))</f>
        <v>0</v>
      </c>
      <c r="Y21" s="377"/>
      <c r="Z21" s="377"/>
      <c r="AA21" s="377"/>
      <c r="AB21" s="377"/>
      <c r="AC21" s="393">
        <v>20</v>
      </c>
      <c r="AD21" s="393">
        <f t="shared" ref="AD21:AD28" si="50">ROUNDUP(M21/AC21,0)</f>
        <v>2</v>
      </c>
      <c r="AE21" s="393">
        <f t="shared" si="26"/>
        <v>2</v>
      </c>
      <c r="AF21" s="393">
        <f t="shared" si="27"/>
        <v>0</v>
      </c>
      <c r="AG21" s="393">
        <f t="shared" ref="AG21:AG28" si="51">ROUNDUP(AD21/3,0)</f>
        <v>1</v>
      </c>
      <c r="AH21" s="393">
        <f t="shared" ref="AH21:AH28" si="52">IF(J21="nawiew",AG21,IF(J21="naw.wyw.",AG21,0))</f>
        <v>1</v>
      </c>
      <c r="AI21" s="393">
        <f t="shared" ref="AI21:AI28" si="53">IF(J21="wywiew",AG21,IF(J21="naw.wyw.",AG21,0))</f>
        <v>0</v>
      </c>
      <c r="AJ21" s="393"/>
      <c r="AK21" s="393"/>
      <c r="AL21" s="393"/>
      <c r="AM21" s="393"/>
      <c r="AN21" s="377">
        <f t="shared" ref="AN21:AN28" si="54">$AN$7</f>
        <v>34</v>
      </c>
      <c r="AO21" s="377">
        <f t="shared" ref="AO21:AO28" si="55">ROUNDUP(M21/AN21,0)</f>
        <v>2</v>
      </c>
      <c r="AP21" s="377">
        <f t="shared" si="29"/>
        <v>2</v>
      </c>
      <c r="AQ21" s="377">
        <f t="shared" si="30"/>
        <v>0</v>
      </c>
      <c r="AR21" s="377">
        <f t="shared" si="31"/>
        <v>1</v>
      </c>
      <c r="AS21" s="377">
        <f t="shared" si="32"/>
        <v>1</v>
      </c>
      <c r="AT21" s="377">
        <f t="shared" si="33"/>
        <v>0</v>
      </c>
      <c r="AU21" s="377"/>
      <c r="AV21" s="377"/>
      <c r="AW21" s="377"/>
      <c r="AX21" s="377"/>
      <c r="AY21" s="377">
        <f t="shared" ref="AY21:AY28" si="56">$AY$7</f>
        <v>51</v>
      </c>
      <c r="AZ21" s="377">
        <f t="shared" ref="AZ21:AZ28" si="57">ROUNDUP(M21/AY21,0)</f>
        <v>1</v>
      </c>
      <c r="BA21" s="377">
        <f t="shared" ref="BA21:BA28" si="58">IF(J21="nawiew",AZ21,IF(J21="naw.wyw.",AZ21,0))</f>
        <v>1</v>
      </c>
      <c r="BB21" s="377">
        <f t="shared" ref="BB21:BB28" si="59">IF(J21="wywiew",AZ21,IF(J21="naw.wyw.",AZ21,0))</f>
        <v>0</v>
      </c>
      <c r="BC21" s="377">
        <f t="shared" si="35"/>
        <v>1</v>
      </c>
      <c r="BD21" s="377">
        <f t="shared" ref="BD21:BD28" si="60">IF(J21="nawiew",BC21,IF(J21="naw.wyw.",BC21,0))</f>
        <v>1</v>
      </c>
      <c r="BE21" s="377">
        <f t="shared" ref="BE21:BE28" si="61">IF(J21="wywiew",BC21,IF(J21="naw.wyw.",BC21,0))</f>
        <v>0</v>
      </c>
      <c r="BF21" s="377"/>
      <c r="BG21" s="377"/>
      <c r="BH21" s="377"/>
      <c r="BI21" s="377"/>
    </row>
    <row r="22" spans="2:61">
      <c r="B22" s="367" t="str">
        <f>Dane!C126</f>
        <v>1.2</v>
      </c>
      <c r="C22" s="367" t="str">
        <f t="shared" si="15"/>
        <v>wywiew</v>
      </c>
      <c r="D22" s="367" t="str">
        <f>Dane!E126</f>
        <v>Łazienka</v>
      </c>
      <c r="E22" t="str">
        <f>IF(Dane!E127="","",Dane!E127)</f>
        <v/>
      </c>
      <c r="F22">
        <f>Dane!G128</f>
        <v>2</v>
      </c>
      <c r="G22">
        <f>IF(D22&lt;&gt;0,Dane!J127,0)</f>
        <v>7.6</v>
      </c>
      <c r="H22">
        <f>Dane!L127</f>
        <v>2.5</v>
      </c>
      <c r="I22" s="58">
        <f t="shared" si="16"/>
        <v>19</v>
      </c>
      <c r="J22" t="str">
        <f>Dane!R126</f>
        <v>wywiew</v>
      </c>
      <c r="K22">
        <f>Dane!Q127</f>
        <v>50</v>
      </c>
      <c r="L22" s="58">
        <f>Dane!Q128</f>
        <v>19</v>
      </c>
      <c r="M22" s="58">
        <f>IF(D22&lt;&gt;0,Dane!S127,0)</f>
        <v>50</v>
      </c>
      <c r="N22">
        <f t="shared" si="17"/>
        <v>0</v>
      </c>
      <c r="O22" s="371">
        <f t="shared" si="18"/>
        <v>0</v>
      </c>
      <c r="P22">
        <f t="shared" si="19"/>
        <v>50</v>
      </c>
      <c r="Q22" s="371">
        <f t="shared" si="20"/>
        <v>2.6315789473684212</v>
      </c>
      <c r="R22" s="377">
        <f t="shared" si="46"/>
        <v>25</v>
      </c>
      <c r="S22" s="377">
        <f t="shared" si="22"/>
        <v>2</v>
      </c>
      <c r="T22" s="377">
        <f t="shared" si="23"/>
        <v>0</v>
      </c>
      <c r="U22" s="377">
        <f t="shared" si="47"/>
        <v>2</v>
      </c>
      <c r="V22" s="377">
        <f t="shared" ref="V22" si="62">ROUNDUP(S22/3,0)</f>
        <v>1</v>
      </c>
      <c r="W22" s="377">
        <f t="shared" si="48"/>
        <v>0</v>
      </c>
      <c r="X22" s="377">
        <f t="shared" si="49"/>
        <v>1</v>
      </c>
      <c r="Y22" s="377"/>
      <c r="Z22" s="377"/>
      <c r="AA22" s="377"/>
      <c r="AB22" s="377"/>
      <c r="AC22" s="393">
        <v>20</v>
      </c>
      <c r="AD22" s="393">
        <f t="shared" si="50"/>
        <v>3</v>
      </c>
      <c r="AE22" s="393">
        <f t="shared" si="26"/>
        <v>0</v>
      </c>
      <c r="AF22" s="393">
        <f t="shared" si="27"/>
        <v>3</v>
      </c>
      <c r="AG22" s="393">
        <f t="shared" si="51"/>
        <v>1</v>
      </c>
      <c r="AH22" s="393">
        <f t="shared" si="52"/>
        <v>0</v>
      </c>
      <c r="AI22" s="393">
        <f t="shared" si="53"/>
        <v>1</v>
      </c>
      <c r="AJ22" s="393"/>
      <c r="AK22" s="393"/>
      <c r="AL22" s="393"/>
      <c r="AM22" s="393"/>
      <c r="AN22" s="377">
        <f t="shared" si="54"/>
        <v>34</v>
      </c>
      <c r="AO22" s="377">
        <f t="shared" si="55"/>
        <v>2</v>
      </c>
      <c r="AP22" s="377">
        <f t="shared" si="29"/>
        <v>0</v>
      </c>
      <c r="AQ22" s="377">
        <f t="shared" si="30"/>
        <v>2</v>
      </c>
      <c r="AR22" s="377">
        <f t="shared" si="31"/>
        <v>1</v>
      </c>
      <c r="AS22" s="377">
        <f t="shared" si="32"/>
        <v>0</v>
      </c>
      <c r="AT22" s="377">
        <f t="shared" si="33"/>
        <v>1</v>
      </c>
      <c r="AU22" s="377"/>
      <c r="AV22" s="377"/>
      <c r="AW22" s="377"/>
      <c r="AX22" s="377"/>
      <c r="AY22" s="377">
        <f t="shared" si="56"/>
        <v>51</v>
      </c>
      <c r="AZ22" s="377">
        <f t="shared" si="57"/>
        <v>1</v>
      </c>
      <c r="BA22" s="377">
        <f t="shared" si="58"/>
        <v>0</v>
      </c>
      <c r="BB22" s="377">
        <f t="shared" si="59"/>
        <v>1</v>
      </c>
      <c r="BC22" s="377">
        <f t="shared" si="35"/>
        <v>1</v>
      </c>
      <c r="BD22" s="377">
        <f t="shared" si="60"/>
        <v>0</v>
      </c>
      <c r="BE22" s="377">
        <f t="shared" si="61"/>
        <v>1</v>
      </c>
      <c r="BF22" s="377"/>
      <c r="BG22" s="377"/>
      <c r="BH22" s="377"/>
      <c r="BI22" s="377"/>
    </row>
    <row r="23" spans="2:61">
      <c r="B23" s="367" t="str">
        <f>Dane!C132</f>
        <v>1.3</v>
      </c>
      <c r="C23" s="367" t="str">
        <f t="shared" si="15"/>
        <v>n.d.</v>
      </c>
      <c r="D23" s="367">
        <f>Dane!E132</f>
        <v>0</v>
      </c>
      <c r="E23" t="str">
        <f>IF(Dane!E133="","",Dane!E133)</f>
        <v/>
      </c>
      <c r="F23">
        <f>Dane!G134</f>
        <v>1</v>
      </c>
      <c r="G23">
        <f>IF(D23&lt;&gt;0,Dane!J133,0)</f>
        <v>0</v>
      </c>
      <c r="H23">
        <f>Dane!L133</f>
        <v>2.5</v>
      </c>
      <c r="I23" s="58">
        <f t="shared" si="16"/>
        <v>0</v>
      </c>
      <c r="J23" t="str">
        <f>Dane!R132</f>
        <v>n.d.</v>
      </c>
      <c r="K23">
        <f>Dane!Q133</f>
        <v>0</v>
      </c>
      <c r="L23" s="58">
        <f>Dane!Q134</f>
        <v>0</v>
      </c>
      <c r="M23" s="58">
        <f>IF(D23&lt;&gt;0,Dane!S133,0)</f>
        <v>0</v>
      </c>
      <c r="N23">
        <f t="shared" si="17"/>
        <v>0</v>
      </c>
      <c r="O23" s="371">
        <f t="shared" si="18"/>
        <v>0</v>
      </c>
      <c r="P23">
        <f t="shared" si="19"/>
        <v>0</v>
      </c>
      <c r="Q23" s="371">
        <f t="shared" si="20"/>
        <v>0</v>
      </c>
      <c r="R23" s="377">
        <f t="shared" si="46"/>
        <v>25</v>
      </c>
      <c r="S23" s="377">
        <f t="shared" si="22"/>
        <v>0</v>
      </c>
      <c r="T23" s="377">
        <f t="shared" si="23"/>
        <v>0</v>
      </c>
      <c r="U23" s="377">
        <f t="shared" si="47"/>
        <v>0</v>
      </c>
      <c r="V23" s="377">
        <f t="shared" ref="V23" si="63">ROUNDUP(S23/3,0)</f>
        <v>0</v>
      </c>
      <c r="W23" s="377">
        <f t="shared" si="48"/>
        <v>0</v>
      </c>
      <c r="X23" s="377">
        <f t="shared" si="49"/>
        <v>0</v>
      </c>
      <c r="Y23" s="377"/>
      <c r="Z23" s="377"/>
      <c r="AA23" s="377"/>
      <c r="AB23" s="377"/>
      <c r="AC23" s="393">
        <v>20</v>
      </c>
      <c r="AD23" s="393">
        <f t="shared" si="50"/>
        <v>0</v>
      </c>
      <c r="AE23" s="393">
        <f t="shared" si="26"/>
        <v>0</v>
      </c>
      <c r="AF23" s="393">
        <f t="shared" si="27"/>
        <v>0</v>
      </c>
      <c r="AG23" s="393">
        <f t="shared" si="51"/>
        <v>0</v>
      </c>
      <c r="AH23" s="393">
        <f t="shared" si="52"/>
        <v>0</v>
      </c>
      <c r="AI23" s="393">
        <f t="shared" si="53"/>
        <v>0</v>
      </c>
      <c r="AJ23" s="393"/>
      <c r="AK23" s="393"/>
      <c r="AL23" s="393"/>
      <c r="AM23" s="393"/>
      <c r="AN23" s="377">
        <f t="shared" si="54"/>
        <v>34</v>
      </c>
      <c r="AO23" s="377">
        <f t="shared" si="55"/>
        <v>0</v>
      </c>
      <c r="AP23" s="377">
        <f t="shared" si="29"/>
        <v>0</v>
      </c>
      <c r="AQ23" s="377">
        <f t="shared" si="30"/>
        <v>0</v>
      </c>
      <c r="AR23" s="377">
        <f t="shared" si="31"/>
        <v>0</v>
      </c>
      <c r="AS23" s="377">
        <f t="shared" si="32"/>
        <v>0</v>
      </c>
      <c r="AT23" s="377">
        <f t="shared" si="33"/>
        <v>0</v>
      </c>
      <c r="AU23" s="377"/>
      <c r="AV23" s="377"/>
      <c r="AW23" s="377"/>
      <c r="AX23" s="377"/>
      <c r="AY23" s="377">
        <f t="shared" si="56"/>
        <v>51</v>
      </c>
      <c r="AZ23" s="377">
        <f t="shared" si="57"/>
        <v>0</v>
      </c>
      <c r="BA23" s="377">
        <f t="shared" si="58"/>
        <v>0</v>
      </c>
      <c r="BB23" s="377">
        <f t="shared" si="59"/>
        <v>0</v>
      </c>
      <c r="BC23" s="377">
        <f t="shared" si="35"/>
        <v>0</v>
      </c>
      <c r="BD23" s="377">
        <f t="shared" si="60"/>
        <v>0</v>
      </c>
      <c r="BE23" s="377">
        <f t="shared" si="61"/>
        <v>0</v>
      </c>
      <c r="BF23" s="377"/>
      <c r="BG23" s="377"/>
      <c r="BH23" s="377"/>
      <c r="BI23" s="377"/>
    </row>
    <row r="24" spans="2:61">
      <c r="B24" s="367" t="str">
        <f>Dane!C138</f>
        <v>1.4</v>
      </c>
      <c r="C24" s="367" t="str">
        <f t="shared" si="15"/>
        <v>n.d.</v>
      </c>
      <c r="D24" s="367">
        <f>Dane!E138</f>
        <v>0</v>
      </c>
      <c r="E24" t="str">
        <f>IF(Dane!E139="","",Dane!E139)</f>
        <v/>
      </c>
      <c r="F24">
        <f>Dane!G140</f>
        <v>1</v>
      </c>
      <c r="G24">
        <f>IF(D24&lt;&gt;0,Dane!J139,0)</f>
        <v>0</v>
      </c>
      <c r="H24">
        <f>Dane!L139</f>
        <v>2.5</v>
      </c>
      <c r="I24" s="58">
        <f t="shared" si="16"/>
        <v>0</v>
      </c>
      <c r="J24" t="str">
        <f>Dane!R138</f>
        <v>n.d.</v>
      </c>
      <c r="K24">
        <f>Dane!Q139</f>
        <v>0</v>
      </c>
      <c r="L24" s="58">
        <f>Dane!Q140</f>
        <v>0</v>
      </c>
      <c r="M24" s="58">
        <f>IF(D24&lt;&gt;0,Dane!S139,0)</f>
        <v>0</v>
      </c>
      <c r="N24">
        <f t="shared" si="17"/>
        <v>0</v>
      </c>
      <c r="O24" s="371">
        <f t="shared" si="18"/>
        <v>0</v>
      </c>
      <c r="P24">
        <f t="shared" si="19"/>
        <v>0</v>
      </c>
      <c r="Q24" s="371">
        <f t="shared" si="20"/>
        <v>0</v>
      </c>
      <c r="R24" s="377">
        <f t="shared" si="46"/>
        <v>25</v>
      </c>
      <c r="S24" s="377">
        <f t="shared" si="22"/>
        <v>0</v>
      </c>
      <c r="T24" s="377">
        <f t="shared" si="23"/>
        <v>0</v>
      </c>
      <c r="U24" s="377">
        <f t="shared" si="47"/>
        <v>0</v>
      </c>
      <c r="V24" s="377">
        <f t="shared" ref="V24" si="64">ROUNDUP(S24/3,0)</f>
        <v>0</v>
      </c>
      <c r="W24" s="377">
        <f t="shared" si="48"/>
        <v>0</v>
      </c>
      <c r="X24" s="377">
        <f t="shared" si="49"/>
        <v>0</v>
      </c>
      <c r="Y24" s="377"/>
      <c r="Z24" s="377"/>
      <c r="AA24" s="377"/>
      <c r="AB24" s="377"/>
      <c r="AC24" s="393">
        <v>20</v>
      </c>
      <c r="AD24" s="393">
        <f t="shared" si="50"/>
        <v>0</v>
      </c>
      <c r="AE24" s="393">
        <f t="shared" si="26"/>
        <v>0</v>
      </c>
      <c r="AF24" s="393">
        <f t="shared" si="27"/>
        <v>0</v>
      </c>
      <c r="AG24" s="393">
        <f t="shared" si="51"/>
        <v>0</v>
      </c>
      <c r="AH24" s="393">
        <f t="shared" si="52"/>
        <v>0</v>
      </c>
      <c r="AI24" s="393">
        <f t="shared" si="53"/>
        <v>0</v>
      </c>
      <c r="AJ24" s="393"/>
      <c r="AK24" s="393"/>
      <c r="AL24" s="393"/>
      <c r="AM24" s="393"/>
      <c r="AN24" s="377">
        <f t="shared" si="54"/>
        <v>34</v>
      </c>
      <c r="AO24" s="377">
        <f t="shared" si="55"/>
        <v>0</v>
      </c>
      <c r="AP24" s="377">
        <f t="shared" si="29"/>
        <v>0</v>
      </c>
      <c r="AQ24" s="377">
        <f t="shared" si="30"/>
        <v>0</v>
      </c>
      <c r="AR24" s="377">
        <f t="shared" si="31"/>
        <v>0</v>
      </c>
      <c r="AS24" s="377">
        <f t="shared" si="32"/>
        <v>0</v>
      </c>
      <c r="AT24" s="377">
        <f t="shared" si="33"/>
        <v>0</v>
      </c>
      <c r="AU24" s="377"/>
      <c r="AV24" s="377"/>
      <c r="AW24" s="377"/>
      <c r="AX24" s="377"/>
      <c r="AY24" s="377">
        <f t="shared" si="56"/>
        <v>51</v>
      </c>
      <c r="AZ24" s="377">
        <f t="shared" si="57"/>
        <v>0</v>
      </c>
      <c r="BA24" s="377">
        <f t="shared" si="58"/>
        <v>0</v>
      </c>
      <c r="BB24" s="377">
        <f t="shared" si="59"/>
        <v>0</v>
      </c>
      <c r="BC24" s="377">
        <f t="shared" si="35"/>
        <v>0</v>
      </c>
      <c r="BD24" s="377">
        <f t="shared" si="60"/>
        <v>0</v>
      </c>
      <c r="BE24" s="377">
        <f t="shared" si="61"/>
        <v>0</v>
      </c>
      <c r="BF24" s="377"/>
      <c r="BG24" s="377"/>
      <c r="BH24" s="377"/>
      <c r="BI24" s="377"/>
    </row>
    <row r="25" spans="2:61">
      <c r="B25" s="367" t="str">
        <f>Dane!C144</f>
        <v>1.5</v>
      </c>
      <c r="C25" s="367" t="str">
        <f t="shared" si="15"/>
        <v>n.d.</v>
      </c>
      <c r="D25" s="367">
        <f>Dane!E144</f>
        <v>0</v>
      </c>
      <c r="E25" t="str">
        <f>IF(Dane!E145="","",Dane!E145)</f>
        <v/>
      </c>
      <c r="F25">
        <f>Dane!G146</f>
        <v>1</v>
      </c>
      <c r="G25">
        <f>IF(D25&lt;&gt;0,Dane!J145,0)</f>
        <v>0</v>
      </c>
      <c r="H25">
        <f>Dane!L145</f>
        <v>2.5</v>
      </c>
      <c r="I25" s="58">
        <f t="shared" si="16"/>
        <v>0</v>
      </c>
      <c r="J25" t="str">
        <f>Dane!R144</f>
        <v>n.d.</v>
      </c>
      <c r="K25">
        <f>Dane!Q145</f>
        <v>0</v>
      </c>
      <c r="L25" s="58">
        <f>Dane!Q146</f>
        <v>0</v>
      </c>
      <c r="M25" s="58">
        <f>IF(D25&lt;&gt;0,Dane!S145,0)</f>
        <v>0</v>
      </c>
      <c r="N25">
        <f t="shared" si="17"/>
        <v>0</v>
      </c>
      <c r="O25" s="371">
        <f t="shared" si="18"/>
        <v>0</v>
      </c>
      <c r="P25">
        <f t="shared" si="19"/>
        <v>0</v>
      </c>
      <c r="Q25" s="371">
        <f t="shared" si="20"/>
        <v>0</v>
      </c>
      <c r="R25" s="377">
        <f t="shared" si="46"/>
        <v>25</v>
      </c>
      <c r="S25" s="377">
        <f t="shared" si="22"/>
        <v>0</v>
      </c>
      <c r="T25" s="377">
        <f t="shared" si="23"/>
        <v>0</v>
      </c>
      <c r="U25" s="377">
        <f t="shared" si="47"/>
        <v>0</v>
      </c>
      <c r="V25" s="377">
        <f t="shared" ref="V25" si="65">ROUNDUP(S25/3,0)</f>
        <v>0</v>
      </c>
      <c r="W25" s="377">
        <f t="shared" si="48"/>
        <v>0</v>
      </c>
      <c r="X25" s="377">
        <f t="shared" si="49"/>
        <v>0</v>
      </c>
      <c r="Y25" s="377"/>
      <c r="Z25" s="377"/>
      <c r="AA25" s="377"/>
      <c r="AB25" s="377"/>
      <c r="AC25" s="393">
        <v>20</v>
      </c>
      <c r="AD25" s="393">
        <f t="shared" si="50"/>
        <v>0</v>
      </c>
      <c r="AE25" s="393">
        <f t="shared" si="26"/>
        <v>0</v>
      </c>
      <c r="AF25" s="393">
        <f t="shared" si="27"/>
        <v>0</v>
      </c>
      <c r="AG25" s="393">
        <f t="shared" si="51"/>
        <v>0</v>
      </c>
      <c r="AH25" s="393">
        <f t="shared" si="52"/>
        <v>0</v>
      </c>
      <c r="AI25" s="393">
        <f t="shared" si="53"/>
        <v>0</v>
      </c>
      <c r="AJ25" s="393"/>
      <c r="AK25" s="393"/>
      <c r="AL25" s="393"/>
      <c r="AM25" s="393"/>
      <c r="AN25" s="377">
        <f t="shared" si="54"/>
        <v>34</v>
      </c>
      <c r="AO25" s="377">
        <f t="shared" si="55"/>
        <v>0</v>
      </c>
      <c r="AP25" s="377">
        <f t="shared" si="29"/>
        <v>0</v>
      </c>
      <c r="AQ25" s="377">
        <f t="shared" si="30"/>
        <v>0</v>
      </c>
      <c r="AR25" s="377">
        <f t="shared" si="31"/>
        <v>0</v>
      </c>
      <c r="AS25" s="377">
        <f t="shared" si="32"/>
        <v>0</v>
      </c>
      <c r="AT25" s="377">
        <f t="shared" si="33"/>
        <v>0</v>
      </c>
      <c r="AU25" s="377"/>
      <c r="AV25" s="377"/>
      <c r="AW25" s="377"/>
      <c r="AX25" s="377"/>
      <c r="AY25" s="377">
        <f t="shared" si="56"/>
        <v>51</v>
      </c>
      <c r="AZ25" s="377">
        <f t="shared" si="57"/>
        <v>0</v>
      </c>
      <c r="BA25" s="377">
        <f t="shared" si="58"/>
        <v>0</v>
      </c>
      <c r="BB25" s="377">
        <f t="shared" si="59"/>
        <v>0</v>
      </c>
      <c r="BC25" s="377">
        <f t="shared" si="35"/>
        <v>0</v>
      </c>
      <c r="BD25" s="377">
        <f t="shared" si="60"/>
        <v>0</v>
      </c>
      <c r="BE25" s="377">
        <f t="shared" si="61"/>
        <v>0</v>
      </c>
      <c r="BF25" s="377"/>
      <c r="BG25" s="377"/>
      <c r="BH25" s="377"/>
      <c r="BI25" s="377"/>
    </row>
    <row r="26" spans="2:61">
      <c r="B26" s="367" t="str">
        <f>Dane!C150</f>
        <v>1.6</v>
      </c>
      <c r="C26" s="367" t="str">
        <f t="shared" si="15"/>
        <v>n.d.</v>
      </c>
      <c r="D26" s="367">
        <f>Dane!E150</f>
        <v>0</v>
      </c>
      <c r="E26" t="str">
        <f>IF(Dane!E151="","",Dane!E151)</f>
        <v/>
      </c>
      <c r="F26">
        <f>Dane!G152</f>
        <v>4</v>
      </c>
      <c r="G26">
        <f>IF(D26&lt;&gt;0,Dane!J151,0)</f>
        <v>0</v>
      </c>
      <c r="H26">
        <f>Dane!L151</f>
        <v>2.7</v>
      </c>
      <c r="I26" s="58">
        <f t="shared" si="16"/>
        <v>0</v>
      </c>
      <c r="J26" t="str">
        <f>Dane!R150</f>
        <v>n.d.</v>
      </c>
      <c r="K26">
        <f>Dane!Q151</f>
        <v>0</v>
      </c>
      <c r="L26" s="58">
        <f>Dane!Q152</f>
        <v>0</v>
      </c>
      <c r="M26" s="58">
        <f>IF(D26&lt;&gt;0,Dane!S151,0)</f>
        <v>0</v>
      </c>
      <c r="N26">
        <f t="shared" si="17"/>
        <v>0</v>
      </c>
      <c r="O26" s="371">
        <f t="shared" si="18"/>
        <v>0</v>
      </c>
      <c r="P26">
        <f t="shared" si="19"/>
        <v>0</v>
      </c>
      <c r="Q26" s="371">
        <f t="shared" si="20"/>
        <v>0</v>
      </c>
      <c r="R26" s="377">
        <f t="shared" si="46"/>
        <v>25</v>
      </c>
      <c r="S26" s="377">
        <f t="shared" si="22"/>
        <v>0</v>
      </c>
      <c r="T26" s="377">
        <f t="shared" si="23"/>
        <v>0</v>
      </c>
      <c r="U26" s="377">
        <f t="shared" si="47"/>
        <v>0</v>
      </c>
      <c r="V26" s="377">
        <f t="shared" ref="V26" si="66">ROUNDUP(S26/3,0)</f>
        <v>0</v>
      </c>
      <c r="W26" s="377">
        <f t="shared" si="48"/>
        <v>0</v>
      </c>
      <c r="X26" s="377">
        <f t="shared" si="49"/>
        <v>0</v>
      </c>
      <c r="Y26" s="377"/>
      <c r="Z26" s="377"/>
      <c r="AA26" s="377"/>
      <c r="AB26" s="377"/>
      <c r="AC26" s="393">
        <v>20</v>
      </c>
      <c r="AD26" s="393">
        <f t="shared" si="50"/>
        <v>0</v>
      </c>
      <c r="AE26" s="393">
        <f t="shared" si="26"/>
        <v>0</v>
      </c>
      <c r="AF26" s="393">
        <f t="shared" si="27"/>
        <v>0</v>
      </c>
      <c r="AG26" s="393">
        <f t="shared" si="51"/>
        <v>0</v>
      </c>
      <c r="AH26" s="393">
        <f t="shared" si="52"/>
        <v>0</v>
      </c>
      <c r="AI26" s="393">
        <f t="shared" si="53"/>
        <v>0</v>
      </c>
      <c r="AJ26" s="393"/>
      <c r="AK26" s="393"/>
      <c r="AL26" s="393"/>
      <c r="AM26" s="393"/>
      <c r="AN26" s="377">
        <f t="shared" si="54"/>
        <v>34</v>
      </c>
      <c r="AO26" s="377">
        <f t="shared" si="55"/>
        <v>0</v>
      </c>
      <c r="AP26" s="377">
        <f t="shared" si="29"/>
        <v>0</v>
      </c>
      <c r="AQ26" s="377">
        <f t="shared" si="30"/>
        <v>0</v>
      </c>
      <c r="AR26" s="377">
        <f t="shared" si="31"/>
        <v>0</v>
      </c>
      <c r="AS26" s="377">
        <f t="shared" si="32"/>
        <v>0</v>
      </c>
      <c r="AT26" s="377">
        <f t="shared" si="33"/>
        <v>0</v>
      </c>
      <c r="AU26" s="377"/>
      <c r="AV26" s="377"/>
      <c r="AW26" s="377"/>
      <c r="AX26" s="377"/>
      <c r="AY26" s="377">
        <f t="shared" si="56"/>
        <v>51</v>
      </c>
      <c r="AZ26" s="377">
        <f t="shared" si="57"/>
        <v>0</v>
      </c>
      <c r="BA26" s="377">
        <f t="shared" si="58"/>
        <v>0</v>
      </c>
      <c r="BB26" s="377">
        <f t="shared" si="59"/>
        <v>0</v>
      </c>
      <c r="BC26" s="377">
        <f t="shared" si="35"/>
        <v>0</v>
      </c>
      <c r="BD26" s="377">
        <f t="shared" si="60"/>
        <v>0</v>
      </c>
      <c r="BE26" s="377">
        <f t="shared" si="61"/>
        <v>0</v>
      </c>
      <c r="BF26" s="377"/>
      <c r="BG26" s="377"/>
      <c r="BH26" s="377"/>
      <c r="BI26" s="377"/>
    </row>
    <row r="27" spans="2:61">
      <c r="B27" s="367" t="str">
        <f>Dane!C156</f>
        <v>1.7</v>
      </c>
      <c r="C27" s="367" t="str">
        <f t="shared" si="15"/>
        <v>n.d.</v>
      </c>
      <c r="D27" s="367">
        <f>Dane!E156</f>
        <v>0</v>
      </c>
      <c r="E27" t="str">
        <f>IF(Dane!E157="","",Dane!E157)</f>
        <v/>
      </c>
      <c r="F27">
        <f>Dane!G158</f>
        <v>4</v>
      </c>
      <c r="G27">
        <f>IF(D27&lt;&gt;0,Dane!J157,0)</f>
        <v>0</v>
      </c>
      <c r="H27">
        <f>Dane!L157</f>
        <v>2.75</v>
      </c>
      <c r="I27" s="58">
        <f t="shared" si="16"/>
        <v>0</v>
      </c>
      <c r="J27" t="str">
        <f>Dane!R156</f>
        <v>n.d.</v>
      </c>
      <c r="K27">
        <f>Dane!Q157</f>
        <v>0</v>
      </c>
      <c r="L27" s="58">
        <f>Dane!Q158</f>
        <v>0</v>
      </c>
      <c r="M27" s="58">
        <f>IF(D27&lt;&gt;0,Dane!S157,0)</f>
        <v>0</v>
      </c>
      <c r="N27">
        <f t="shared" si="17"/>
        <v>0</v>
      </c>
      <c r="O27" s="371">
        <f t="shared" si="18"/>
        <v>0</v>
      </c>
      <c r="P27">
        <f t="shared" si="19"/>
        <v>0</v>
      </c>
      <c r="Q27" s="371">
        <f t="shared" si="20"/>
        <v>0</v>
      </c>
      <c r="R27" s="377">
        <f t="shared" si="46"/>
        <v>25</v>
      </c>
      <c r="S27" s="377">
        <f t="shared" si="22"/>
        <v>0</v>
      </c>
      <c r="T27" s="377">
        <f t="shared" si="23"/>
        <v>0</v>
      </c>
      <c r="U27" s="377">
        <f t="shared" si="47"/>
        <v>0</v>
      </c>
      <c r="V27" s="377">
        <f t="shared" ref="V27" si="67">ROUNDUP(S27/3,0)</f>
        <v>0</v>
      </c>
      <c r="W27" s="377">
        <f t="shared" si="48"/>
        <v>0</v>
      </c>
      <c r="X27" s="377">
        <f t="shared" si="49"/>
        <v>0</v>
      </c>
      <c r="Y27" s="377"/>
      <c r="Z27" s="377"/>
      <c r="AA27" s="377"/>
      <c r="AB27" s="377"/>
      <c r="AC27" s="393">
        <v>20</v>
      </c>
      <c r="AD27" s="393">
        <f t="shared" si="50"/>
        <v>0</v>
      </c>
      <c r="AE27" s="393">
        <f t="shared" si="26"/>
        <v>0</v>
      </c>
      <c r="AF27" s="393">
        <f t="shared" si="27"/>
        <v>0</v>
      </c>
      <c r="AG27" s="393">
        <f t="shared" si="51"/>
        <v>0</v>
      </c>
      <c r="AH27" s="393">
        <f t="shared" si="52"/>
        <v>0</v>
      </c>
      <c r="AI27" s="393">
        <f t="shared" si="53"/>
        <v>0</v>
      </c>
      <c r="AJ27" s="393"/>
      <c r="AK27" s="393"/>
      <c r="AL27" s="393"/>
      <c r="AM27" s="393"/>
      <c r="AN27" s="377">
        <f t="shared" si="54"/>
        <v>34</v>
      </c>
      <c r="AO27" s="377">
        <f t="shared" si="55"/>
        <v>0</v>
      </c>
      <c r="AP27" s="377">
        <f t="shared" si="29"/>
        <v>0</v>
      </c>
      <c r="AQ27" s="377">
        <f t="shared" si="30"/>
        <v>0</v>
      </c>
      <c r="AR27" s="377">
        <f t="shared" si="31"/>
        <v>0</v>
      </c>
      <c r="AS27" s="377">
        <f t="shared" si="32"/>
        <v>0</v>
      </c>
      <c r="AT27" s="377">
        <f t="shared" si="33"/>
        <v>0</v>
      </c>
      <c r="AU27" s="377"/>
      <c r="AV27" s="377"/>
      <c r="AW27" s="377"/>
      <c r="AX27" s="377"/>
      <c r="AY27" s="377">
        <f t="shared" si="56"/>
        <v>51</v>
      </c>
      <c r="AZ27" s="377">
        <f t="shared" si="57"/>
        <v>0</v>
      </c>
      <c r="BA27" s="377">
        <f t="shared" si="58"/>
        <v>0</v>
      </c>
      <c r="BB27" s="377">
        <f t="shared" si="59"/>
        <v>0</v>
      </c>
      <c r="BC27" s="377">
        <f t="shared" si="35"/>
        <v>0</v>
      </c>
      <c r="BD27" s="377">
        <f t="shared" si="60"/>
        <v>0</v>
      </c>
      <c r="BE27" s="377">
        <f t="shared" si="61"/>
        <v>0</v>
      </c>
      <c r="BF27" s="377"/>
      <c r="BG27" s="377"/>
      <c r="BH27" s="377"/>
      <c r="BI27" s="377"/>
    </row>
    <row r="28" spans="2:61">
      <c r="B28" s="367" t="str">
        <f>Dane!C162</f>
        <v>1.8</v>
      </c>
      <c r="C28" s="367" t="str">
        <f t="shared" si="15"/>
        <v>n.d.</v>
      </c>
      <c r="D28" s="367">
        <f>Dane!E162</f>
        <v>0</v>
      </c>
      <c r="E28" t="str">
        <f>IF(Dane!E163="","",Dane!E163)</f>
        <v/>
      </c>
      <c r="F28">
        <f>Dane!G164</f>
        <v>3</v>
      </c>
      <c r="G28">
        <f>IF(D28&lt;&gt;0,Dane!J163,0)</f>
        <v>0</v>
      </c>
      <c r="H28">
        <f>Dane!L163</f>
        <v>2.7</v>
      </c>
      <c r="I28" s="58">
        <f t="shared" si="16"/>
        <v>0</v>
      </c>
      <c r="J28" t="str">
        <f>Dane!R162</f>
        <v>n.d.</v>
      </c>
      <c r="K28">
        <f>Dane!Q163</f>
        <v>0</v>
      </c>
      <c r="L28" s="58">
        <f>Dane!Q164</f>
        <v>0</v>
      </c>
      <c r="M28" s="58">
        <f>IF(D28&lt;&gt;0,Dane!S163,0)</f>
        <v>0</v>
      </c>
      <c r="N28">
        <f t="shared" si="17"/>
        <v>0</v>
      </c>
      <c r="O28" s="371">
        <f t="shared" si="18"/>
        <v>0</v>
      </c>
      <c r="P28">
        <f t="shared" si="19"/>
        <v>0</v>
      </c>
      <c r="Q28" s="371">
        <f t="shared" si="20"/>
        <v>0</v>
      </c>
      <c r="R28" s="377">
        <f t="shared" si="46"/>
        <v>25</v>
      </c>
      <c r="S28" s="377">
        <f t="shared" si="22"/>
        <v>0</v>
      </c>
      <c r="T28" s="377">
        <f t="shared" si="23"/>
        <v>0</v>
      </c>
      <c r="U28" s="377">
        <f t="shared" si="47"/>
        <v>0</v>
      </c>
      <c r="V28" s="377">
        <f t="shared" ref="V28" si="68">ROUNDUP(S28/3,0)</f>
        <v>0</v>
      </c>
      <c r="W28" s="377">
        <f t="shared" si="48"/>
        <v>0</v>
      </c>
      <c r="X28" s="377">
        <f t="shared" si="49"/>
        <v>0</v>
      </c>
      <c r="Y28" s="377"/>
      <c r="Z28" s="377"/>
      <c r="AA28" s="377"/>
      <c r="AB28" s="377"/>
      <c r="AC28" s="393">
        <v>20</v>
      </c>
      <c r="AD28" s="393">
        <f t="shared" si="50"/>
        <v>0</v>
      </c>
      <c r="AE28" s="393">
        <f t="shared" si="26"/>
        <v>0</v>
      </c>
      <c r="AF28" s="393">
        <f t="shared" si="27"/>
        <v>0</v>
      </c>
      <c r="AG28" s="393">
        <f t="shared" si="51"/>
        <v>0</v>
      </c>
      <c r="AH28" s="393">
        <f t="shared" si="52"/>
        <v>0</v>
      </c>
      <c r="AI28" s="393">
        <f t="shared" si="53"/>
        <v>0</v>
      </c>
      <c r="AJ28" s="393"/>
      <c r="AK28" s="393"/>
      <c r="AL28" s="393"/>
      <c r="AM28" s="393"/>
      <c r="AN28" s="377">
        <f t="shared" si="54"/>
        <v>34</v>
      </c>
      <c r="AO28" s="377">
        <f t="shared" si="55"/>
        <v>0</v>
      </c>
      <c r="AP28" s="377">
        <f t="shared" si="29"/>
        <v>0</v>
      </c>
      <c r="AQ28" s="377">
        <f t="shared" si="30"/>
        <v>0</v>
      </c>
      <c r="AR28" s="377">
        <f t="shared" si="31"/>
        <v>0</v>
      </c>
      <c r="AS28" s="377">
        <f t="shared" si="32"/>
        <v>0</v>
      </c>
      <c r="AT28" s="377">
        <f t="shared" si="33"/>
        <v>0</v>
      </c>
      <c r="AU28" s="377"/>
      <c r="AV28" s="377"/>
      <c r="AW28" s="377"/>
      <c r="AX28" s="377"/>
      <c r="AY28" s="377">
        <f t="shared" si="56"/>
        <v>51</v>
      </c>
      <c r="AZ28" s="377">
        <f t="shared" si="57"/>
        <v>0</v>
      </c>
      <c r="BA28" s="377">
        <f t="shared" si="58"/>
        <v>0</v>
      </c>
      <c r="BB28" s="377">
        <f t="shared" si="59"/>
        <v>0</v>
      </c>
      <c r="BC28" s="377">
        <f t="shared" si="35"/>
        <v>0</v>
      </c>
      <c r="BD28" s="377">
        <f t="shared" si="60"/>
        <v>0</v>
      </c>
      <c r="BE28" s="377">
        <f t="shared" si="61"/>
        <v>0</v>
      </c>
      <c r="BF28" s="377"/>
      <c r="BG28" s="377"/>
      <c r="BH28" s="377"/>
      <c r="BI28" s="377"/>
    </row>
    <row r="29" spans="2:61" s="377" customFormat="1">
      <c r="B29" s="376"/>
      <c r="C29" s="376"/>
      <c r="D29" s="377">
        <f>COUNTIFS(D17:D28,"&lt;&gt;0")</f>
        <v>6</v>
      </c>
      <c r="F29" s="377">
        <f>MAX(F21:F28)</f>
        <v>4</v>
      </c>
      <c r="G29" s="377">
        <f>SUM(G21:G28)</f>
        <v>19.100000000000001</v>
      </c>
      <c r="I29" s="378">
        <f>SUM(I21:I28)</f>
        <v>50.05</v>
      </c>
      <c r="L29" s="378"/>
      <c r="M29" s="378"/>
      <c r="N29" s="378">
        <f>SUM(N21:N28)</f>
        <v>40</v>
      </c>
      <c r="O29" s="379"/>
      <c r="P29" s="378">
        <f>SUM(P21:P28)</f>
        <v>50</v>
      </c>
      <c r="Q29" s="379"/>
      <c r="Y29" s="377" t="str">
        <f>IF(T30&lt;13,1,"więcej")</f>
        <v>więcej</v>
      </c>
      <c r="Z29" s="377">
        <f>IF(T30&lt;19,1,"więcej")</f>
        <v>1</v>
      </c>
      <c r="AA29" s="377" t="str">
        <f>IF(U30&lt;13,1,"więcej")</f>
        <v>więcej</v>
      </c>
      <c r="AB29" s="377">
        <f>IF(U30&lt;19,1,"więcej")</f>
        <v>1</v>
      </c>
      <c r="AC29" s="393"/>
      <c r="AD29" s="393"/>
      <c r="AE29" s="393"/>
      <c r="AF29" s="393"/>
      <c r="AG29" s="393"/>
      <c r="AH29" s="393"/>
      <c r="AI29" s="393"/>
      <c r="AJ29" s="393">
        <f>ROUNDUP(AE30/12,0)</f>
        <v>2</v>
      </c>
      <c r="AK29" s="393">
        <f>ROUNDUP(AE30/18,0)</f>
        <v>1</v>
      </c>
      <c r="AL29" s="393">
        <f>ROUNDUP(AF30/12,0)</f>
        <v>2</v>
      </c>
      <c r="AM29" s="393">
        <f>ROUNDUP(AF30/18,0)</f>
        <v>1</v>
      </c>
      <c r="BF29" s="377">
        <f>ROUNDUP(BA30/6,0)</f>
        <v>2</v>
      </c>
      <c r="BG29" s="377">
        <f>ROUNDUP(BA30/10,0)</f>
        <v>1</v>
      </c>
      <c r="BH29" s="377">
        <f>ROUNDUP(BB30/6,0)</f>
        <v>2</v>
      </c>
      <c r="BI29" s="377">
        <f>ROUNDUP(BB30/10,0)</f>
        <v>1</v>
      </c>
    </row>
    <row r="30" spans="2:61" s="250" customFormat="1">
      <c r="G30" s="382">
        <f>G20+G29</f>
        <v>133.4</v>
      </c>
      <c r="I30" s="382">
        <f>I20+I29</f>
        <v>403.65000000000003</v>
      </c>
      <c r="M30" s="375"/>
      <c r="N30" s="381">
        <f>N20+N29</f>
        <v>260</v>
      </c>
      <c r="O30" s="375"/>
      <c r="P30" s="381">
        <f>P20+P29</f>
        <v>260</v>
      </c>
      <c r="S30" s="250">
        <f>SUM(S8:S29)</f>
        <v>28</v>
      </c>
      <c r="T30" s="250">
        <f>SUM($T$8:$T$29)</f>
        <v>14</v>
      </c>
      <c r="U30" s="250">
        <f>SUM($U$8:$U$29)</f>
        <v>14</v>
      </c>
      <c r="V30" s="381">
        <f>W30+X30</f>
        <v>15</v>
      </c>
      <c r="W30" s="381">
        <f>SUM(W8:W29)</f>
        <v>7</v>
      </c>
      <c r="X30" s="381">
        <f>SUM(X8:X29)</f>
        <v>8</v>
      </c>
      <c r="Y30" s="381">
        <f>IF(Y29="więcej",1,Y29)</f>
        <v>1</v>
      </c>
      <c r="Z30" s="381">
        <f>IF(Z29="więcej",1,Z29)</f>
        <v>1</v>
      </c>
      <c r="AA30" s="381">
        <f>IF(AA29="więcej",1,AA29)</f>
        <v>1</v>
      </c>
      <c r="AB30" s="381">
        <f>IF(AB29="więcej",1,AB29)</f>
        <v>1</v>
      </c>
      <c r="AD30" s="250">
        <f>SUM(AD8:AD29)</f>
        <v>30</v>
      </c>
      <c r="AE30" s="250">
        <f>SUM(AE8:AE29)</f>
        <v>14</v>
      </c>
      <c r="AF30" s="250">
        <f>SUM(AF8:AF29)</f>
        <v>16</v>
      </c>
      <c r="AG30" s="381">
        <f>AH30+AI30</f>
        <v>15</v>
      </c>
      <c r="AH30" s="381">
        <f>SUM(AH8:AH29)</f>
        <v>7</v>
      </c>
      <c r="AI30" s="381">
        <f>SUM(AI8:AI29)</f>
        <v>8</v>
      </c>
      <c r="AJ30" s="822" t="str">
        <f>IF(AJ29=1,"12x63","18x63")</f>
        <v>18x63</v>
      </c>
      <c r="AK30" s="822"/>
      <c r="AL30" s="822" t="str">
        <f>IF(AL29=1,"12x63","18x63")</f>
        <v>18x63</v>
      </c>
      <c r="AM30" s="822"/>
      <c r="AO30" s="250">
        <f>SUM(AO8:AO29)</f>
        <v>21</v>
      </c>
      <c r="AP30" s="250">
        <f>SUM(AP8:AP29)</f>
        <v>10</v>
      </c>
      <c r="AQ30" s="250">
        <f>SUM(AQ8:AQ29)</f>
        <v>11</v>
      </c>
      <c r="AR30" s="381">
        <f>AS30+AT30</f>
        <v>15</v>
      </c>
      <c r="AS30" s="381">
        <f>SUM(AS8:AS29)</f>
        <v>7</v>
      </c>
      <c r="AT30" s="381">
        <f>SUM(AT8:AT29)</f>
        <v>8</v>
      </c>
      <c r="AU30" s="822" t="str">
        <f>IF(AP30&lt;9,"8x75",IF(AP30&lt;13,"12x75","więcej"))</f>
        <v>12x75</v>
      </c>
      <c r="AV30" s="822"/>
      <c r="AW30" s="822" t="str">
        <f>IF(AQ30&lt;9,"8x75",IF(AQ30&lt;13,"12x75","więcej"))</f>
        <v>12x75</v>
      </c>
      <c r="AX30" s="822"/>
      <c r="AZ30" s="250">
        <f>SUM(AZ8:AZ29)</f>
        <v>17</v>
      </c>
      <c r="BA30" s="250">
        <f>SUM(BA8:BA29)</f>
        <v>8</v>
      </c>
      <c r="BB30" s="250">
        <f>SUM(BB8:BB29)</f>
        <v>9</v>
      </c>
      <c r="BC30" s="381">
        <f>BD30+BE30</f>
        <v>17</v>
      </c>
      <c r="BD30" s="381">
        <f>SUM(BD8:BD29)</f>
        <v>8</v>
      </c>
      <c r="BE30" s="381">
        <f>SUM(BE8:BE29)</f>
        <v>9</v>
      </c>
      <c r="BF30" s="822" t="str">
        <f>IF(BA30&lt;9,"8x75",IF(BA30&lt;13,"12x75","więcej"))</f>
        <v>8x75</v>
      </c>
      <c r="BG30" s="822"/>
      <c r="BH30" s="822" t="str">
        <f>IF(BB30&lt;9,"8x75",IF(BB30&lt;13,"12x75","więcej"))</f>
        <v>12x75</v>
      </c>
      <c r="BI30" s="822"/>
    </row>
    <row r="31" spans="2:61">
      <c r="G31" t="s">
        <v>35</v>
      </c>
      <c r="I31" t="s">
        <v>36</v>
      </c>
      <c r="N31" t="str">
        <f>N7</f>
        <v>[m3/h]</v>
      </c>
      <c r="P31" t="str">
        <f>P7</f>
        <v>[m3/h]</v>
      </c>
      <c r="Y31">
        <f>IF((T30-12)&lt;13,IF((T30-12)&gt;0,1,0),"więcej")</f>
        <v>1</v>
      </c>
      <c r="Z31">
        <f>IF((T30-18)&lt;13,0,IF((T30-18)&lt;19,1,"więcej"))</f>
        <v>0</v>
      </c>
      <c r="AA31">
        <f>IF((U30-12)&lt;13,IF((V30-12)&gt;0,1,0),"więcej")</f>
        <v>1</v>
      </c>
      <c r="AB31">
        <f>IF((U30-18)&lt;13,0,IF((U30-18)&lt;19,1,"więcej"))</f>
        <v>0</v>
      </c>
      <c r="AU31" t="str">
        <f>IF(AP30&lt;9,AU38,IF(AP30&lt;13,AU40,AU40))</f>
        <v>Skrzynka rozdzielacza 12xDN75</v>
      </c>
      <c r="AV31" t="str">
        <f>IF(AU31=AU38,"8x75",IF(AU31=AU40,"12x75",""))</f>
        <v>12x75</v>
      </c>
      <c r="AW31" t="str">
        <f>IF(AQ30&lt;9,AU38,IF(AQ30&lt;13,AU40,AU40))</f>
        <v>Skrzynka rozdzielacza 12xDN75</v>
      </c>
      <c r="AX31" t="str">
        <f>IF(AW31=AU38,"8x75",IF(AW31=AU40,"12x75",""))</f>
        <v>12x75</v>
      </c>
      <c r="BF31" t="str">
        <f>IF(BA30&lt;9,BF38,IF(BA30&lt;13,BF40,BF40))</f>
        <v>Skrzynka rozdzielacza 8xDN75</v>
      </c>
      <c r="BG31" t="str">
        <f>IF(BF31=BF38,"8x75",IF(BF31=BF40,"12x75",""))</f>
        <v>8x75</v>
      </c>
      <c r="BH31" t="str">
        <f>IF(BB30&lt;9,BF38,IF(BB30&lt;13,BF40,BF40))</f>
        <v>Skrzynka rozdzielacza 12xDN75</v>
      </c>
      <c r="BI31" t="str">
        <f>IF(BH31=BF38,"8x75",IF(BH31=BF40,"12x75",""))</f>
        <v>12x75</v>
      </c>
    </row>
    <row r="32" spans="2:61">
      <c r="T32" s="250">
        <f>SUM($T$8:$T$29)</f>
        <v>14</v>
      </c>
      <c r="U32" s="250">
        <f>SUM($U$8:$U$29)</f>
        <v>14</v>
      </c>
      <c r="Y32" s="377"/>
      <c r="Z32" s="377"/>
      <c r="AA32" s="377"/>
      <c r="AB32" s="377"/>
    </row>
    <row r="33" spans="2:61">
      <c r="W33" t="s">
        <v>636</v>
      </c>
      <c r="Y33" s="417">
        <f>IF(Y29="więcej",IF(T30&lt;19,0,IF(T30&lt;25,Y30+Y31,IF(T30-18&lt;13,1,0))),IF(T30&lt;13,Y29))</f>
        <v>0</v>
      </c>
      <c r="AA33" s="417">
        <f>IF(AA29="więcej",IF(U30&lt;19,0,IF(U30&lt;25,AA30+AA31,IF(U30-18&lt;13,1,0))),IF(U30&lt;13,AA29))</f>
        <v>0</v>
      </c>
      <c r="AU33">
        <f>IF(AP30&gt;12,AP30-12,0)</f>
        <v>0</v>
      </c>
      <c r="AV33">
        <v>1</v>
      </c>
      <c r="AW33">
        <f>IF(AQ30&gt;12,AQ30-12,0)</f>
        <v>0</v>
      </c>
      <c r="AX33">
        <v>1</v>
      </c>
      <c r="BF33">
        <f>IF(BA30&gt;12,BA30-12,0)</f>
        <v>0</v>
      </c>
      <c r="BG33">
        <v>1</v>
      </c>
      <c r="BH33">
        <f>IF(BB30&gt;12,BB30-12,0)</f>
        <v>0</v>
      </c>
      <c r="BI33">
        <v>1</v>
      </c>
    </row>
    <row r="34" spans="2:61">
      <c r="N34">
        <f>IFERROR(IF(P30/N30&lt;=1,IF(P30/N30&gt;0.95,1,0),0),0)</f>
        <v>1</v>
      </c>
      <c r="W34" t="s">
        <v>635</v>
      </c>
      <c r="Z34" s="417">
        <f>IF(Y29=1,0,IF(Y33=2,0,IF(T30&lt;25,Z30+Z31,Z30+Z31)))</f>
        <v>1</v>
      </c>
      <c r="AB34" s="417">
        <f>IF(AA29=1,0,IF(AA33=2,0,IF(U30&lt;25,AB30+AB31,AB30+AB31)))</f>
        <v>1</v>
      </c>
      <c r="AU34" t="str">
        <f>IF(AU33=0,"",IF(AU33&lt;9,AU38,IF(AU33&lt;13,AU38,"więcej")))</f>
        <v/>
      </c>
      <c r="AV34" t="str">
        <f>IF(AU34=AU38,"8x75",IF(AU34=AU40,"12x75",""))</f>
        <v/>
      </c>
      <c r="AW34" t="str">
        <f>IF(AW33=0,"",IF(AW33&lt;9,AU38,IF(AW33&lt;13,AU40,"więcej")))</f>
        <v/>
      </c>
      <c r="AX34" t="str">
        <f>IF(AW34=AU38,"8x75",IF(AW34=AU40,"12x75",""))</f>
        <v/>
      </c>
      <c r="BF34" t="str">
        <f>IF(BF33=0,"",IF(BF33&lt;9,BF38,IF(BF33&lt;13,BF38,"więcej")))</f>
        <v/>
      </c>
      <c r="BG34" t="str">
        <f>IF(BF34=BF38,"8x75",IF(BF34=BF40,"12x75",""))</f>
        <v/>
      </c>
      <c r="BH34" t="str">
        <f>IF(BH33=0,"",IF(BH33&lt;9,BF38,IF(BH33&lt;13,BF40,"więcej")))</f>
        <v/>
      </c>
      <c r="BI34" t="str">
        <f>IF(BH34=BF38,"8x75",IF(BH34=BF40,"12x75",""))</f>
        <v/>
      </c>
    </row>
    <row r="35" spans="2:61">
      <c r="J35" s="9">
        <v>1</v>
      </c>
      <c r="K35" s="9">
        <v>2</v>
      </c>
      <c r="L35" s="9">
        <v>3</v>
      </c>
      <c r="M35" s="9">
        <v>4</v>
      </c>
      <c r="N35" s="9">
        <v>5</v>
      </c>
      <c r="O35" s="9">
        <v>6</v>
      </c>
      <c r="P35" s="9">
        <v>7</v>
      </c>
      <c r="Q35" s="9">
        <v>8</v>
      </c>
      <c r="R35" s="9">
        <v>9</v>
      </c>
      <c r="S35" s="9">
        <v>10</v>
      </c>
      <c r="T35" s="9">
        <v>11</v>
      </c>
      <c r="U35" s="9">
        <v>12</v>
      </c>
      <c r="V35" s="9">
        <v>13</v>
      </c>
      <c r="W35" s="9">
        <v>14</v>
      </c>
      <c r="X35" s="9">
        <v>15</v>
      </c>
      <c r="Y35" s="9">
        <v>16</v>
      </c>
      <c r="Z35" s="9">
        <v>17</v>
      </c>
      <c r="AA35" s="9">
        <v>18</v>
      </c>
      <c r="AB35" s="9">
        <v>19</v>
      </c>
      <c r="AC35" s="9">
        <v>20</v>
      </c>
      <c r="AD35" s="9">
        <v>21</v>
      </c>
      <c r="AE35" s="9">
        <v>22</v>
      </c>
      <c r="AU35" t="str">
        <f>IF(AU33=0,"",IF(AU33&lt;9,AV38,IF(AU33&lt;13,AV38,"więcej")))</f>
        <v/>
      </c>
      <c r="AV35" t="str">
        <f>IF(AU35=AV38,"8x75",IF(AU35=AV40,"12x75",""))</f>
        <v/>
      </c>
      <c r="AW35" t="str">
        <f>IF(AW33=0,"",IF(AW33&lt;9,AV38,IF(AW33&lt;13,AV40,"więcej")))</f>
        <v/>
      </c>
      <c r="AX35" t="str">
        <f>IF(AW35=AV38,"8x75",IF(AW35=AV40,"12x75",""))</f>
        <v/>
      </c>
      <c r="BF35" t="str">
        <f>IF(BF33=0,"",IF(BF33&lt;9,BG38,IF(BF33&lt;13,BG38,"więcej")))</f>
        <v/>
      </c>
      <c r="BG35" t="str">
        <f>IF(BF35=BG38,"8x75",IF(BF35=BG40,"12x75",""))</f>
        <v/>
      </c>
      <c r="BH35" t="str">
        <f>IF(BH33=0,"",IF(BH33&lt;9,BG38,IF(BH33&lt;13,BG40,"więcej")))</f>
        <v/>
      </c>
      <c r="BI35" t="str">
        <f>IF(BH35=BG38,"8x75",IF(BH35=BG40,"12x75",""))</f>
        <v/>
      </c>
    </row>
    <row r="36" spans="2:61" s="513" customFormat="1" ht="94.95" customHeight="1">
      <c r="B36" s="512" t="s">
        <v>370</v>
      </c>
      <c r="C36" s="512" t="s">
        <v>371</v>
      </c>
      <c r="D36" s="512" t="s">
        <v>292</v>
      </c>
      <c r="E36" s="512" t="s">
        <v>375</v>
      </c>
      <c r="F36" s="512"/>
      <c r="J36" s="512" t="s">
        <v>417</v>
      </c>
      <c r="K36" s="512"/>
      <c r="L36" s="512"/>
      <c r="M36" s="512" t="s">
        <v>427</v>
      </c>
      <c r="N36" s="512"/>
      <c r="O36" s="512" t="s">
        <v>403</v>
      </c>
      <c r="P36" s="512" t="s">
        <v>428</v>
      </c>
      <c r="Q36" s="512" t="s">
        <v>429</v>
      </c>
      <c r="R36" s="512" t="s">
        <v>430</v>
      </c>
      <c r="S36" s="512" t="s">
        <v>431</v>
      </c>
      <c r="T36" s="512" t="s">
        <v>434</v>
      </c>
      <c r="U36" s="512" t="s">
        <v>433</v>
      </c>
      <c r="V36" s="512" t="s">
        <v>437</v>
      </c>
      <c r="W36" s="512" t="s">
        <v>438</v>
      </c>
      <c r="X36" s="512" t="s">
        <v>440</v>
      </c>
      <c r="Y36" s="512" t="s">
        <v>441</v>
      </c>
      <c r="Z36" s="512" t="s">
        <v>442</v>
      </c>
      <c r="AA36" s="512" t="s">
        <v>443</v>
      </c>
      <c r="AB36" s="512" t="s">
        <v>402</v>
      </c>
      <c r="AC36" s="512" t="s">
        <v>464</v>
      </c>
      <c r="AD36" s="512" t="s">
        <v>463</v>
      </c>
      <c r="AE36" s="512" t="s">
        <v>520</v>
      </c>
      <c r="AU36" s="15">
        <f>IF(AU33&gt;0,AU33,0)</f>
        <v>0</v>
      </c>
      <c r="AV36" s="15">
        <f>IF(AU36=0,0,1)</f>
        <v>0</v>
      </c>
      <c r="AW36" s="15">
        <f>IF(AW33&gt;0,AW33,0)</f>
        <v>0</v>
      </c>
      <c r="AX36" s="15">
        <f>IF(AW36=0,0,1)</f>
        <v>0</v>
      </c>
      <c r="BF36" s="15">
        <f>IF(BF33&gt;0,BF33,0)</f>
        <v>0</v>
      </c>
      <c r="BG36" s="15">
        <f>IF(BF36=0,0,1)</f>
        <v>0</v>
      </c>
      <c r="BH36" s="15">
        <f>IF(BH33&gt;0,BH33,0)</f>
        <v>0</v>
      </c>
      <c r="BI36" s="15">
        <f>IF(BH36=0,0,1)</f>
        <v>0</v>
      </c>
    </row>
    <row r="37" spans="2:61">
      <c r="B37" s="377" t="str">
        <f t="shared" ref="B37:B48" si="69">IF(C8="nawiew",D8,IF(C8="naw.wyw.",D8,""))</f>
        <v/>
      </c>
      <c r="C37" t="str">
        <f t="shared" ref="C37:C48" si="70">IF(C8="nawiew",B8,IF(C8="naw.wyw.",B8,"10"))</f>
        <v>10</v>
      </c>
      <c r="D37" t="str">
        <f t="shared" ref="D37:D57" si="71">IF(C8="nawiew",E8,IF(C8="naw.wyw.",E8,""))</f>
        <v/>
      </c>
      <c r="E37" t="str" cm="1">
        <f t="array" ref="E37:E56">_xlfn.SORTBY(C37:C56,listaN,-1)</f>
        <v>0.9</v>
      </c>
      <c r="J37" s="662" t="str">
        <f>'Elementy DN63'!D3</f>
        <v>Vitovent 300-W 325m3/h lewa</v>
      </c>
      <c r="K37" s="662"/>
      <c r="L37" s="662"/>
      <c r="M37" s="662">
        <v>325</v>
      </c>
      <c r="N37" s="662">
        <f>IF($N$30&lt;M37*0.93,1,0)</f>
        <v>1</v>
      </c>
      <c r="O37" s="662">
        <v>41</v>
      </c>
      <c r="P37" s="662">
        <v>250</v>
      </c>
      <c r="Q37" s="662">
        <v>91</v>
      </c>
      <c r="R37" s="662" t="s">
        <v>235</v>
      </c>
      <c r="S37" s="662" t="s">
        <v>445</v>
      </c>
      <c r="T37" s="662" t="s">
        <v>436</v>
      </c>
      <c r="U37" s="662" t="s">
        <v>228</v>
      </c>
      <c r="V37" s="662" t="s">
        <v>228</v>
      </c>
      <c r="W37" s="662" t="s">
        <v>439</v>
      </c>
      <c r="X37" s="663" t="s">
        <v>444</v>
      </c>
      <c r="Y37" s="662" t="s">
        <v>8</v>
      </c>
      <c r="Z37" s="662" t="s">
        <v>218</v>
      </c>
      <c r="AA37" s="662" t="s">
        <v>218</v>
      </c>
      <c r="AB37" s="662" t="str">
        <f>J70</f>
        <v>Moduł obsługowy ścienny LB1</v>
      </c>
      <c r="AC37" s="662"/>
      <c r="AD37" s="662" t="str">
        <f>J71</f>
        <v>Przewód połączeniowy Vitocal (WO1C)</v>
      </c>
      <c r="AE37" s="662">
        <v>160</v>
      </c>
      <c r="AN37" t="s">
        <v>621</v>
      </c>
      <c r="AY37" t="s">
        <v>621</v>
      </c>
    </row>
    <row r="38" spans="2:61">
      <c r="B38" s="377" t="str">
        <f t="shared" si="69"/>
        <v/>
      </c>
      <c r="C38" t="str">
        <f t="shared" si="70"/>
        <v>10</v>
      </c>
      <c r="D38" t="str">
        <f t="shared" si="71"/>
        <v/>
      </c>
      <c r="E38" t="str">
        <v>0.12</v>
      </c>
      <c r="J38" s="662" t="str">
        <f>'Elementy DN63'!D4</f>
        <v>Vitovent 300-W 325m3/h prawa</v>
      </c>
      <c r="K38" s="662"/>
      <c r="L38" s="662"/>
      <c r="M38" s="662">
        <v>325</v>
      </c>
      <c r="N38" s="662">
        <f t="shared" ref="N38:N42" si="72">IF($N$30&lt;M38*0.93,1,0)</f>
        <v>1</v>
      </c>
      <c r="O38" s="662">
        <v>41</v>
      </c>
      <c r="P38" s="662">
        <v>250</v>
      </c>
      <c r="Q38" s="662">
        <v>91</v>
      </c>
      <c r="R38" s="662" t="s">
        <v>235</v>
      </c>
      <c r="S38" s="662" t="s">
        <v>445</v>
      </c>
      <c r="T38" s="662" t="s">
        <v>436</v>
      </c>
      <c r="U38" s="662" t="s">
        <v>228</v>
      </c>
      <c r="V38" s="662" t="s">
        <v>228</v>
      </c>
      <c r="W38" s="662" t="s">
        <v>439</v>
      </c>
      <c r="X38" s="663" t="s">
        <v>444</v>
      </c>
      <c r="Y38" s="662" t="s">
        <v>8</v>
      </c>
      <c r="Z38" s="662" t="s">
        <v>218</v>
      </c>
      <c r="AA38" s="662" t="s">
        <v>218</v>
      </c>
      <c r="AB38" s="662" t="str">
        <f>J70</f>
        <v>Moduł obsługowy ścienny LB1</v>
      </c>
      <c r="AC38" s="662"/>
      <c r="AD38" s="662" t="str">
        <f>J71</f>
        <v>Przewód połączeniowy Vitocal (WO1C)</v>
      </c>
      <c r="AE38" s="662">
        <v>160</v>
      </c>
      <c r="AO38">
        <v>8</v>
      </c>
      <c r="AP38">
        <f>AO38*35</f>
        <v>280</v>
      </c>
      <c r="AU38" s="430" t="str">
        <f>'Elementy DN75&amp;90 2024-09'!D22</f>
        <v>Skrzynka rozdzielacza 8xDN75</v>
      </c>
      <c r="AV38" t="str">
        <f>'Elementy DN75&amp;90 2024-09'!D27</f>
        <v>Bramka internetowa Vitoconnect V</v>
      </c>
      <c r="AZ38">
        <v>8</v>
      </c>
      <c r="BA38">
        <f>AZ38*35</f>
        <v>280</v>
      </c>
      <c r="BF38" s="430" t="str">
        <f>'Elementy DN75&amp;90 2024-09'!D22</f>
        <v>Skrzynka rozdzielacza 8xDN75</v>
      </c>
      <c r="BG38">
        <f>'Elementy DN75&amp;90 2024-09'!O27</f>
        <v>0</v>
      </c>
    </row>
    <row r="39" spans="2:61">
      <c r="B39" s="377" t="str">
        <f t="shared" si="69"/>
        <v/>
      </c>
      <c r="C39" t="str">
        <f t="shared" si="70"/>
        <v>10</v>
      </c>
      <c r="D39" t="str">
        <f t="shared" si="71"/>
        <v/>
      </c>
      <c r="E39" t="str">
        <v>1.1</v>
      </c>
      <c r="J39" s="662" t="str">
        <f>'Elementy DN63'!D5</f>
        <v>Vitovent 300-W 400m3/h lewa</v>
      </c>
      <c r="K39" s="662"/>
      <c r="L39" s="662"/>
      <c r="M39" s="662">
        <v>400</v>
      </c>
      <c r="N39" s="662">
        <f t="shared" si="72"/>
        <v>1</v>
      </c>
      <c r="O39" s="662">
        <v>50</v>
      </c>
      <c r="P39" s="662">
        <v>250</v>
      </c>
      <c r="Q39" s="662">
        <v>92</v>
      </c>
      <c r="R39" s="662" t="s">
        <v>235</v>
      </c>
      <c r="S39" s="662" t="s">
        <v>445</v>
      </c>
      <c r="T39" s="662" t="s">
        <v>436</v>
      </c>
      <c r="U39" s="662" t="s">
        <v>228</v>
      </c>
      <c r="V39" s="662" t="s">
        <v>228</v>
      </c>
      <c r="W39" s="662" t="s">
        <v>439</v>
      </c>
      <c r="X39" s="663" t="s">
        <v>444</v>
      </c>
      <c r="Y39" s="662" t="s">
        <v>8</v>
      </c>
      <c r="Z39" s="662" t="s">
        <v>218</v>
      </c>
      <c r="AA39" s="662" t="s">
        <v>218</v>
      </c>
      <c r="AB39" s="662" t="str">
        <f>J70</f>
        <v>Moduł obsługowy ścienny LB1</v>
      </c>
      <c r="AC39" s="662"/>
      <c r="AD39" s="662" t="str">
        <f>J71</f>
        <v>Przewód połączeniowy Vitocal (WO1C)</v>
      </c>
      <c r="AE39" s="662">
        <v>180</v>
      </c>
      <c r="AU39" s="430"/>
      <c r="BF39" s="430"/>
    </row>
    <row r="40" spans="2:61">
      <c r="B40" s="377" t="str">
        <f t="shared" si="69"/>
        <v>Pokój dzienny</v>
      </c>
      <c r="C40" t="str">
        <f t="shared" si="70"/>
        <v>0.4</v>
      </c>
      <c r="D40" t="str">
        <f t="shared" si="71"/>
        <v/>
      </c>
      <c r="E40" t="str">
        <v>0.4</v>
      </c>
      <c r="J40" s="662" t="str">
        <f>'Elementy DN63'!D6</f>
        <v>Vitovent 300-W 400m3/h prawa</v>
      </c>
      <c r="K40" s="662"/>
      <c r="L40" s="662"/>
      <c r="M40" s="662">
        <v>400</v>
      </c>
      <c r="N40" s="662">
        <f t="shared" si="72"/>
        <v>1</v>
      </c>
      <c r="O40" s="662">
        <v>50</v>
      </c>
      <c r="P40" s="662">
        <v>250</v>
      </c>
      <c r="Q40" s="662">
        <v>92</v>
      </c>
      <c r="R40" s="662" t="s">
        <v>235</v>
      </c>
      <c r="S40" s="662" t="s">
        <v>445</v>
      </c>
      <c r="T40" s="662" t="s">
        <v>436</v>
      </c>
      <c r="U40" s="662" t="s">
        <v>228</v>
      </c>
      <c r="V40" s="662" t="s">
        <v>228</v>
      </c>
      <c r="W40" s="662" t="s">
        <v>439</v>
      </c>
      <c r="X40" s="663" t="s">
        <v>444</v>
      </c>
      <c r="Y40" s="662" t="s">
        <v>8</v>
      </c>
      <c r="Z40" s="662" t="s">
        <v>218</v>
      </c>
      <c r="AA40" s="662" t="s">
        <v>218</v>
      </c>
      <c r="AB40" s="662" t="str">
        <f>J70</f>
        <v>Moduł obsługowy ścienny LB1</v>
      </c>
      <c r="AC40" s="662"/>
      <c r="AD40" s="662" t="str">
        <f>J71</f>
        <v>Przewód połączeniowy Vitocal (WO1C)</v>
      </c>
      <c r="AE40" s="662">
        <v>180</v>
      </c>
      <c r="AO40">
        <v>12</v>
      </c>
      <c r="AP40">
        <f>AO40*35</f>
        <v>420</v>
      </c>
      <c r="AU40" s="430" t="str">
        <f>'Elementy DN75&amp;90 2024-09'!D24</f>
        <v>Skrzynka rozdzielacza 12xDN75</v>
      </c>
      <c r="AV40">
        <f>'Elementy DN75&amp;90 2024-09'!D29</f>
        <v>0</v>
      </c>
      <c r="AZ40">
        <v>12</v>
      </c>
      <c r="BA40">
        <f>AZ40*35</f>
        <v>420</v>
      </c>
      <c r="BF40" s="430" t="str">
        <f>'Elementy DN75&amp;90 2024-09'!D24</f>
        <v>Skrzynka rozdzielacza 12xDN75</v>
      </c>
      <c r="BG40">
        <f>'Elementy DN75&amp;90 2024-09'!O29</f>
        <v>0</v>
      </c>
    </row>
    <row r="41" spans="2:61">
      <c r="B41" s="377" t="str">
        <f t="shared" si="69"/>
        <v/>
      </c>
      <c r="C41" t="str">
        <f t="shared" si="70"/>
        <v>10</v>
      </c>
      <c r="D41" t="str">
        <f t="shared" si="71"/>
        <v/>
      </c>
      <c r="E41" t="str">
        <v>0.8</v>
      </c>
      <c r="J41" s="662" t="str">
        <f>'Elementy DN63'!D7</f>
        <v>Vitovent 300-W 225m3/h lewa</v>
      </c>
      <c r="K41" s="662"/>
      <c r="L41" s="662"/>
      <c r="M41" s="662">
        <v>225</v>
      </c>
      <c r="N41" s="662">
        <f t="shared" si="72"/>
        <v>0</v>
      </c>
      <c r="O41" s="662">
        <v>39</v>
      </c>
      <c r="P41" s="662">
        <v>250</v>
      </c>
      <c r="Q41" s="662">
        <v>92</v>
      </c>
      <c r="R41" s="662" t="s">
        <v>235</v>
      </c>
      <c r="S41" s="662" t="s">
        <v>446</v>
      </c>
      <c r="T41" s="662" t="s">
        <v>436</v>
      </c>
      <c r="U41" s="662" t="s">
        <v>228</v>
      </c>
      <c r="V41" s="662" t="s">
        <v>228</v>
      </c>
      <c r="W41" s="662" t="s">
        <v>439</v>
      </c>
      <c r="X41" s="663" t="s">
        <v>444</v>
      </c>
      <c r="Y41" s="662" t="s">
        <v>8</v>
      </c>
      <c r="Z41" s="662" t="s">
        <v>218</v>
      </c>
      <c r="AA41" s="662" t="s">
        <v>218</v>
      </c>
      <c r="AB41" s="662" t="str">
        <f>J70</f>
        <v>Moduł obsługowy ścienny LB1</v>
      </c>
      <c r="AC41" s="662"/>
      <c r="AD41" s="662" t="str">
        <f>J71</f>
        <v>Przewód połączeniowy Vitocal (WO1C)</v>
      </c>
      <c r="AE41" s="662">
        <v>125</v>
      </c>
      <c r="AU41" s="430"/>
      <c r="BF41" s="430"/>
    </row>
    <row r="42" spans="2:61">
      <c r="B42" s="377" t="str">
        <f t="shared" si="69"/>
        <v>Gabinet</v>
      </c>
      <c r="C42" t="str">
        <f t="shared" si="70"/>
        <v>0.6</v>
      </c>
      <c r="D42" t="str">
        <f t="shared" si="71"/>
        <v/>
      </c>
      <c r="E42" t="str">
        <v>0.6</v>
      </c>
      <c r="J42" s="662" t="str">
        <f>'Elementy DN63'!D8</f>
        <v>Vitovent 300-W 225m3/h prawa</v>
      </c>
      <c r="K42" s="662"/>
      <c r="L42" s="662"/>
      <c r="M42" s="662">
        <v>225</v>
      </c>
      <c r="N42" s="662">
        <f t="shared" si="72"/>
        <v>0</v>
      </c>
      <c r="O42" s="662">
        <v>39</v>
      </c>
      <c r="P42" s="662">
        <v>250</v>
      </c>
      <c r="Q42" s="662">
        <v>92</v>
      </c>
      <c r="R42" s="662" t="s">
        <v>235</v>
      </c>
      <c r="S42" s="662" t="s">
        <v>446</v>
      </c>
      <c r="T42" s="662" t="s">
        <v>436</v>
      </c>
      <c r="U42" s="662" t="s">
        <v>228</v>
      </c>
      <c r="V42" s="662" t="s">
        <v>228</v>
      </c>
      <c r="W42" s="662" t="s">
        <v>439</v>
      </c>
      <c r="X42" s="663" t="s">
        <v>444</v>
      </c>
      <c r="Y42" s="662" t="s">
        <v>8</v>
      </c>
      <c r="Z42" s="662" t="s">
        <v>218</v>
      </c>
      <c r="AA42" s="662" t="s">
        <v>218</v>
      </c>
      <c r="AB42" s="662" t="str">
        <f>J70</f>
        <v>Moduł obsługowy ścienny LB1</v>
      </c>
      <c r="AC42" s="662"/>
      <c r="AD42" s="662" t="str">
        <f>J71</f>
        <v>Przewód połączeniowy Vitocal (WO1C)</v>
      </c>
      <c r="AE42" s="662">
        <v>125</v>
      </c>
      <c r="AU42" s="430" t="str">
        <f>IF(AV42=180,'Elementy DN75&amp;90 2024-09'!$D$39,IF(AV42=160,'Elementy DN75&amp;90 2024-09'!$D$38,'Elementy DN75&amp;90 2024-09'!$D$37))</f>
        <v>Element przyłączeniowy rozdzielacza DN180</v>
      </c>
      <c r="AV42">
        <f>VLOOKUP($Y$57,J37:AE45,22,0)</f>
        <v>180</v>
      </c>
      <c r="BF42" s="430" t="str">
        <f>IF(BG42=180,'Elementy DN75&amp;90 2024-09'!$D$39,IF(BG42=160,'Elementy DN75&amp;90 2024-09'!$D$38,'Elementy DN75&amp;90 2024-09'!$D$37))</f>
        <v>Element przyłączeniowy rozdzielacza DN180</v>
      </c>
      <c r="BG42">
        <f>VLOOKUP($Y$57,J37:AE45,22,0)</f>
        <v>180</v>
      </c>
    </row>
    <row r="43" spans="2:61">
      <c r="B43" s="377" t="str">
        <f t="shared" si="69"/>
        <v/>
      </c>
      <c r="C43" t="str">
        <f t="shared" si="70"/>
        <v>10</v>
      </c>
      <c r="D43" t="str">
        <f t="shared" si="71"/>
        <v/>
      </c>
      <c r="E43" t="str">
        <v>10</v>
      </c>
      <c r="J43" s="662" t="str">
        <f>'Elementy DN63'!D9</f>
        <v>Vitovent 300-W 600m3/h lewa</v>
      </c>
      <c r="K43" s="662"/>
      <c r="L43" s="662"/>
      <c r="M43" s="662">
        <v>600</v>
      </c>
      <c r="N43" s="662">
        <f t="shared" ref="N43:N44" si="73">IF($N$30&lt;M43*0.93,1,0)</f>
        <v>1</v>
      </c>
      <c r="O43" s="662">
        <v>49</v>
      </c>
      <c r="P43" s="662">
        <v>250</v>
      </c>
      <c r="Q43" s="662">
        <v>92</v>
      </c>
      <c r="R43" s="662" t="s">
        <v>235</v>
      </c>
      <c r="S43" s="662" t="s">
        <v>626</v>
      </c>
      <c r="T43" s="662" t="s">
        <v>436</v>
      </c>
      <c r="U43" s="662" t="s">
        <v>228</v>
      </c>
      <c r="V43" s="662" t="s">
        <v>228</v>
      </c>
      <c r="W43" s="662" t="s">
        <v>439</v>
      </c>
      <c r="X43" s="663" t="s">
        <v>444</v>
      </c>
      <c r="Y43" s="662" t="s">
        <v>8</v>
      </c>
      <c r="Z43" s="662" t="s">
        <v>8</v>
      </c>
      <c r="AA43" s="662" t="s">
        <v>218</v>
      </c>
      <c r="AB43" s="662" t="str">
        <f>J70</f>
        <v>Moduł obsługowy ścienny LB1</v>
      </c>
      <c r="AC43" s="662"/>
      <c r="AD43" s="662" t="str">
        <f>J71</f>
        <v>Przewód połączeniowy Vitocal (WO1C)</v>
      </c>
      <c r="AE43" s="662">
        <v>180</v>
      </c>
      <c r="AU43" s="430"/>
    </row>
    <row r="44" spans="2:61">
      <c r="B44" s="377" t="str">
        <f t="shared" si="69"/>
        <v>Jadalnia - nawiew</v>
      </c>
      <c r="C44" t="str">
        <f t="shared" si="70"/>
        <v>0.8</v>
      </c>
      <c r="D44" t="str">
        <f t="shared" si="71"/>
        <v/>
      </c>
      <c r="E44" t="str">
        <v>10</v>
      </c>
      <c r="J44" s="662" t="str">
        <f>'Elementy DN63'!D10</f>
        <v>Vitovent 300-W 600m3/h prawa</v>
      </c>
      <c r="K44" s="662"/>
      <c r="L44" s="662"/>
      <c r="M44" s="662">
        <v>600</v>
      </c>
      <c r="N44" s="662">
        <f t="shared" si="73"/>
        <v>1</v>
      </c>
      <c r="O44" s="662">
        <v>49</v>
      </c>
      <c r="P44" s="662">
        <v>250</v>
      </c>
      <c r="Q44" s="662">
        <v>92</v>
      </c>
      <c r="R44" s="662" t="s">
        <v>235</v>
      </c>
      <c r="S44" s="662" t="s">
        <v>626</v>
      </c>
      <c r="T44" s="662" t="s">
        <v>436</v>
      </c>
      <c r="U44" s="662" t="s">
        <v>228</v>
      </c>
      <c r="V44" s="662" t="s">
        <v>228</v>
      </c>
      <c r="W44" s="662" t="s">
        <v>439</v>
      </c>
      <c r="X44" s="663" t="s">
        <v>444</v>
      </c>
      <c r="Y44" s="662" t="s">
        <v>8</v>
      </c>
      <c r="Z44" s="662" t="s">
        <v>8</v>
      </c>
      <c r="AA44" s="662" t="s">
        <v>218</v>
      </c>
      <c r="AB44" s="662" t="str">
        <f>J70</f>
        <v>Moduł obsługowy ścienny LB1</v>
      </c>
      <c r="AC44" s="662"/>
      <c r="AD44" s="662" t="str">
        <f>J71</f>
        <v>Przewód połączeniowy Vitocal (WO1C)</v>
      </c>
      <c r="AE44" s="662">
        <v>180</v>
      </c>
      <c r="AU44" s="430"/>
    </row>
    <row r="45" spans="2:61">
      <c r="B45" s="377" t="str">
        <f t="shared" si="69"/>
        <v>Sypialnia</v>
      </c>
      <c r="C45" t="str">
        <f t="shared" si="70"/>
        <v>0.9</v>
      </c>
      <c r="D45" t="str">
        <f t="shared" si="71"/>
        <v/>
      </c>
      <c r="E45" t="str">
        <v>10</v>
      </c>
      <c r="J45" s="662" t="str">
        <f>'Elementy DN63'!D11</f>
        <v>Vitoair FS 300E MA 300m3/h</v>
      </c>
      <c r="K45" s="662"/>
      <c r="L45" s="662"/>
      <c r="M45" s="662">
        <v>300</v>
      </c>
      <c r="N45" s="662">
        <f>IF($N$30&lt;M45*0.93,1,0)</f>
        <v>1</v>
      </c>
      <c r="O45" s="662">
        <v>39</v>
      </c>
      <c r="P45" s="662">
        <v>215</v>
      </c>
      <c r="Q45" s="662">
        <v>80</v>
      </c>
      <c r="R45" s="662">
        <v>74</v>
      </c>
      <c r="S45" s="662" t="s">
        <v>432</v>
      </c>
      <c r="T45" s="662" t="s">
        <v>435</v>
      </c>
      <c r="U45" s="662" t="s">
        <v>230</v>
      </c>
      <c r="V45" s="662" t="s">
        <v>228</v>
      </c>
      <c r="W45" s="662" t="s">
        <v>451</v>
      </c>
      <c r="X45" s="663" t="s">
        <v>444</v>
      </c>
      <c r="Y45" s="662" t="s">
        <v>8</v>
      </c>
      <c r="Z45" s="662" t="s">
        <v>8</v>
      </c>
      <c r="AA45" s="662" t="s">
        <v>8</v>
      </c>
      <c r="AB45" s="662" t="str">
        <f>J68</f>
        <v>Vitotrol 300-E</v>
      </c>
      <c r="AC45" s="662" t="str">
        <f>J69</f>
        <v>Przełącznik 4-stopniowy</v>
      </c>
      <c r="AD45" s="662" t="s">
        <v>413</v>
      </c>
      <c r="AE45" s="662">
        <v>160</v>
      </c>
    </row>
    <row r="46" spans="2:61">
      <c r="B46" s="377" t="str">
        <f t="shared" si="69"/>
        <v/>
      </c>
      <c r="C46" t="str">
        <f t="shared" si="70"/>
        <v>10</v>
      </c>
      <c r="D46" t="str">
        <f t="shared" si="71"/>
        <v/>
      </c>
      <c r="E46" t="str">
        <v>10</v>
      </c>
      <c r="J46" t="str">
        <f t="shared" ref="J46:J53" si="74">IF(N37=0,"",J37)</f>
        <v>Vitovent 300-W 325m3/h lewa</v>
      </c>
      <c r="N46">
        <f>N37</f>
        <v>1</v>
      </c>
    </row>
    <row r="47" spans="2:61">
      <c r="B47" s="377" t="str">
        <f t="shared" si="69"/>
        <v/>
      </c>
      <c r="C47" t="str">
        <f t="shared" si="70"/>
        <v>10</v>
      </c>
      <c r="D47" t="str">
        <f t="shared" si="71"/>
        <v/>
      </c>
      <c r="E47" t="str">
        <v>10</v>
      </c>
      <c r="J47" t="str">
        <f t="shared" si="74"/>
        <v>Vitovent 300-W 325m3/h prawa</v>
      </c>
      <c r="N47">
        <f t="shared" ref="N47:N53" si="75">N38</f>
        <v>1</v>
      </c>
      <c r="Y47" t="str">
        <f>IF(Y33&gt;0,"12x63",IF(Y33=0,IF(Z34&gt;1,"18x63","")))</f>
        <v/>
      </c>
      <c r="Z47" t="str">
        <f>IF(Z33&gt;0,"12x63","")</f>
        <v/>
      </c>
      <c r="AA47" t="str">
        <f>IF(AA33&gt;0,"12x63",IF(AA33=0,IF(AB34&gt;1,"18x63","")))</f>
        <v/>
      </c>
    </row>
    <row r="48" spans="2:61">
      <c r="B48" s="377" t="str">
        <f t="shared" si="69"/>
        <v>Sypialnia</v>
      </c>
      <c r="C48" t="str">
        <f t="shared" si="70"/>
        <v>0.12</v>
      </c>
      <c r="D48" t="str">
        <f t="shared" si="71"/>
        <v/>
      </c>
      <c r="E48" t="str">
        <v>10</v>
      </c>
      <c r="J48" t="str">
        <f t="shared" si="74"/>
        <v>Vitovent 300-W 400m3/h lewa</v>
      </c>
      <c r="N48">
        <f t="shared" si="75"/>
        <v>1</v>
      </c>
      <c r="Y48" t="str">
        <f>IF(Y33&gt;1,"12x63",IF(Z34&gt;=1,"18x63",""))</f>
        <v>18x63</v>
      </c>
      <c r="AA48" t="str">
        <f>IF(AA33&gt;1,"12x63",IF(AB34&gt;=1,"18x63",""))</f>
        <v>18x63</v>
      </c>
    </row>
    <row r="49" spans="2:40">
      <c r="B49" s="377" t="str">
        <f t="shared" ref="B49:B56" si="76">IF(C21="nawiew",D21,IF(C21="naw.wyw.",D21,""))</f>
        <v>Sypialnia</v>
      </c>
      <c r="C49" t="str">
        <f t="shared" ref="C49:C56" si="77">IF(C21="nawiew",B21,IF(C21="naw.wyw.",B21,"10"))</f>
        <v>1.1</v>
      </c>
      <c r="D49" t="str">
        <f t="shared" si="71"/>
        <v/>
      </c>
      <c r="E49" t="str">
        <v>10</v>
      </c>
      <c r="J49" t="str">
        <f t="shared" si="74"/>
        <v>Vitovent 300-W 400m3/h prawa</v>
      </c>
      <c r="N49">
        <f t="shared" si="75"/>
        <v>1</v>
      </c>
    </row>
    <row r="50" spans="2:40">
      <c r="B50" s="377" t="str">
        <f t="shared" si="76"/>
        <v/>
      </c>
      <c r="C50" t="str">
        <f t="shared" si="77"/>
        <v>10</v>
      </c>
      <c r="D50" t="str">
        <f t="shared" si="71"/>
        <v/>
      </c>
      <c r="E50" t="str">
        <v>10</v>
      </c>
      <c r="J50" t="str">
        <f t="shared" si="74"/>
        <v/>
      </c>
      <c r="N50">
        <f t="shared" si="75"/>
        <v>0</v>
      </c>
    </row>
    <row r="51" spans="2:40">
      <c r="B51" s="377" t="str">
        <f t="shared" si="76"/>
        <v/>
      </c>
      <c r="C51" t="str">
        <f t="shared" si="77"/>
        <v>10</v>
      </c>
      <c r="D51" t="str">
        <f t="shared" si="71"/>
        <v/>
      </c>
      <c r="E51" t="str">
        <v>10</v>
      </c>
      <c r="J51" t="str">
        <f t="shared" si="74"/>
        <v/>
      </c>
      <c r="N51">
        <f t="shared" si="75"/>
        <v>0</v>
      </c>
    </row>
    <row r="52" spans="2:40">
      <c r="B52" s="377" t="str">
        <f t="shared" si="76"/>
        <v/>
      </c>
      <c r="C52" t="str">
        <f t="shared" si="77"/>
        <v>10</v>
      </c>
      <c r="D52" t="str">
        <f t="shared" si="71"/>
        <v/>
      </c>
      <c r="E52" t="str">
        <v>10</v>
      </c>
      <c r="J52" t="str">
        <f t="shared" si="74"/>
        <v>Vitovent 300-W 600m3/h lewa</v>
      </c>
      <c r="N52">
        <f t="shared" si="75"/>
        <v>1</v>
      </c>
    </row>
    <row r="53" spans="2:40">
      <c r="B53" s="377" t="str">
        <f t="shared" si="76"/>
        <v/>
      </c>
      <c r="C53" t="str">
        <f t="shared" si="77"/>
        <v>10</v>
      </c>
      <c r="D53" t="str">
        <f t="shared" si="71"/>
        <v/>
      </c>
      <c r="E53" t="str">
        <v>10</v>
      </c>
      <c r="J53" t="str">
        <f t="shared" si="74"/>
        <v>Vitovent 300-W 600m3/h prawa</v>
      </c>
      <c r="N53">
        <f t="shared" si="75"/>
        <v>1</v>
      </c>
    </row>
    <row r="54" spans="2:40">
      <c r="B54" s="377" t="str">
        <f t="shared" si="76"/>
        <v/>
      </c>
      <c r="C54" t="str">
        <f t="shared" si="77"/>
        <v>10</v>
      </c>
      <c r="D54" t="str">
        <f t="shared" si="71"/>
        <v/>
      </c>
      <c r="E54" t="str">
        <v>10</v>
      </c>
      <c r="J54" t="str">
        <f>IF(N45=0,"",J45)</f>
        <v>Vitoair FS 300E MA 300m3/h</v>
      </c>
      <c r="N54">
        <f>N45</f>
        <v>1</v>
      </c>
    </row>
    <row r="55" spans="2:40">
      <c r="B55" s="377" t="str">
        <f t="shared" si="76"/>
        <v/>
      </c>
      <c r="C55" t="str">
        <f t="shared" si="77"/>
        <v>10</v>
      </c>
      <c r="D55" t="str">
        <f t="shared" si="71"/>
        <v/>
      </c>
      <c r="E55" t="str">
        <v>10</v>
      </c>
    </row>
    <row r="56" spans="2:40">
      <c r="B56" s="377" t="str">
        <f t="shared" si="76"/>
        <v/>
      </c>
      <c r="C56" t="str">
        <f t="shared" si="77"/>
        <v>10</v>
      </c>
      <c r="D56" t="str">
        <f t="shared" si="71"/>
        <v/>
      </c>
      <c r="E56" t="str">
        <v>10</v>
      </c>
      <c r="J56" s="377" t="str" cm="1">
        <f t="array" ref="J56:J64">_xlfn.SORTBY(J46:J54,N46:N54,-1)</f>
        <v>Vitovent 300-W 325m3/h lewa</v>
      </c>
      <c r="K56" s="377"/>
      <c r="L56" s="377"/>
      <c r="N56" s="511" t="s">
        <v>521</v>
      </c>
      <c r="Y56" s="511" t="s">
        <v>527</v>
      </c>
      <c r="AN56" s="511" t="s">
        <v>637</v>
      </c>
    </row>
    <row r="57" spans="2:40">
      <c r="D57" t="str">
        <f t="shared" si="71"/>
        <v/>
      </c>
      <c r="J57" s="377" t="str">
        <v>Vitovent 300-W 325m3/h prawa</v>
      </c>
      <c r="K57" s="377"/>
      <c r="L57" s="377"/>
      <c r="N57" t="str">
        <f>'System DN63'!X137</f>
        <v>Vitoair FS 300E MA 300m3/h</v>
      </c>
      <c r="Y57" t="str">
        <f>'System DN75'!X137</f>
        <v>Vitovent 300-W 400m3/h lewa</v>
      </c>
      <c r="AN57" t="str">
        <f>'System DN90'!X137</f>
        <v>Vitovent 300-W 400m3/h lewa</v>
      </c>
    </row>
    <row r="58" spans="2:40">
      <c r="B58" s="381">
        <f>21-COUNTBLANK(listaN)</f>
        <v>7</v>
      </c>
      <c r="J58" s="377" t="str">
        <v>Vitovent 300-W 400m3/h lewa</v>
      </c>
      <c r="K58" s="377"/>
      <c r="L58" s="377"/>
      <c r="N58" s="9" t="s">
        <v>522</v>
      </c>
      <c r="Y58" s="9" t="s">
        <v>528</v>
      </c>
      <c r="AN58" s="9" t="s">
        <v>528</v>
      </c>
    </row>
    <row r="59" spans="2:40">
      <c r="J59" s="377" t="str">
        <v>Vitovent 300-W 400m3/h prawa</v>
      </c>
      <c r="K59" s="377"/>
      <c r="L59" s="377"/>
      <c r="N59">
        <f>VLOOKUP(N57,J37:AE45,22,0)</f>
        <v>160</v>
      </c>
      <c r="Y59">
        <f>VLOOKUP(Y57,J37:AE45,22,0)</f>
        <v>180</v>
      </c>
      <c r="AN59">
        <f>VLOOKUP(AN57,J37:AE45,22,0)</f>
        <v>180</v>
      </c>
    </row>
    <row r="60" spans="2:40">
      <c r="B60" s="9" t="s">
        <v>372</v>
      </c>
      <c r="C60" s="9" t="s">
        <v>371</v>
      </c>
      <c r="D60" s="9" t="s">
        <v>292</v>
      </c>
      <c r="E60" s="9" t="s">
        <v>376</v>
      </c>
      <c r="F60" s="9"/>
      <c r="J60" s="377" t="str">
        <v>Vitovent 300-W 600m3/h lewa</v>
      </c>
      <c r="K60" s="377"/>
      <c r="L60" s="377"/>
    </row>
    <row r="61" spans="2:40">
      <c r="B61" s="377" t="str">
        <f t="shared" ref="B61:B72" si="78">IF(C8="wywiew",D8,IF(C8="naw.wyw.",D8,""))</f>
        <v>Wiatrołap</v>
      </c>
      <c r="C61" t="str">
        <f t="shared" ref="C61:C72" si="79">IF(C8="wywiew",B8,IF(C8="naw.wyw.",B8,"10"))</f>
        <v>0.1</v>
      </c>
      <c r="D61" t="str">
        <f t="shared" ref="D61:D81" si="80">IF(C8="wywiew",E8,IF(C8="naw.wyw.",E8,""))</f>
        <v/>
      </c>
      <c r="E61" t="str" cm="1">
        <f t="array" ref="E61:E80">_xlfn.SORTBY(C61:C80,B61:B80,-1)</f>
        <v>0.1</v>
      </c>
      <c r="J61" s="377" t="str">
        <v>Vitovent 300-W 600m3/h prawa</v>
      </c>
      <c r="K61" s="377"/>
      <c r="L61" s="377"/>
    </row>
    <row r="62" spans="2:40">
      <c r="B62" s="377" t="str">
        <f t="shared" si="78"/>
        <v>Kuchnia otwarta z kuchenką elektryczną</v>
      </c>
      <c r="C62" t="str">
        <f t="shared" si="79"/>
        <v>0.2</v>
      </c>
      <c r="D62" t="str">
        <f t="shared" si="80"/>
        <v/>
      </c>
      <c r="E62" t="str">
        <v>0.5</v>
      </c>
      <c r="J62" s="377" t="str">
        <v>Vitoair FS 300E MA 300m3/h</v>
      </c>
      <c r="K62" s="377"/>
      <c r="L62" s="377"/>
    </row>
    <row r="63" spans="2:40">
      <c r="B63" s="377" t="str">
        <f t="shared" si="78"/>
        <v>Spiżarnia</v>
      </c>
      <c r="C63" t="str">
        <f t="shared" si="79"/>
        <v>0.3</v>
      </c>
      <c r="D63" t="str">
        <f t="shared" si="80"/>
        <v/>
      </c>
      <c r="E63" t="str">
        <v>0.3</v>
      </c>
      <c r="J63" t="str">
        <v/>
      </c>
    </row>
    <row r="64" spans="2:40">
      <c r="B64" s="377" t="str">
        <f t="shared" si="78"/>
        <v/>
      </c>
      <c r="C64" t="str">
        <f t="shared" si="79"/>
        <v>10</v>
      </c>
      <c r="D64" t="str">
        <f t="shared" si="80"/>
        <v/>
      </c>
      <c r="E64" t="str">
        <v>0.7</v>
      </c>
      <c r="J64" t="str">
        <v/>
      </c>
    </row>
    <row r="65" spans="2:44">
      <c r="B65" s="377" t="str">
        <f t="shared" si="78"/>
        <v>WC (bez wanny lub kabiny prysznicowej)</v>
      </c>
      <c r="C65" t="str">
        <f t="shared" si="79"/>
        <v>0.5</v>
      </c>
      <c r="D65" t="str">
        <f t="shared" si="80"/>
        <v/>
      </c>
      <c r="E65" t="str">
        <v>0.11</v>
      </c>
    </row>
    <row r="66" spans="2:44">
      <c r="B66" s="377" t="str">
        <f t="shared" si="78"/>
        <v/>
      </c>
      <c r="C66" t="str">
        <f t="shared" si="79"/>
        <v>10</v>
      </c>
      <c r="D66" t="str">
        <f t="shared" si="80"/>
        <v/>
      </c>
      <c r="E66" t="str">
        <v>1.2</v>
      </c>
    </row>
    <row r="67" spans="2:44">
      <c r="B67" s="377" t="str">
        <f t="shared" si="78"/>
        <v>Pomieszczenie gospodarcze</v>
      </c>
      <c r="C67" t="str">
        <f t="shared" si="79"/>
        <v>0.7</v>
      </c>
      <c r="D67" t="str">
        <f t="shared" si="80"/>
        <v/>
      </c>
      <c r="E67" t="str">
        <v>0.2</v>
      </c>
      <c r="J67" s="9" t="s">
        <v>402</v>
      </c>
      <c r="K67" s="9"/>
      <c r="L67" s="9"/>
      <c r="M67" s="9"/>
      <c r="O67" t="s">
        <v>423</v>
      </c>
      <c r="P67" t="s">
        <v>424</v>
      </c>
      <c r="Q67" t="s">
        <v>426</v>
      </c>
      <c r="V67" s="9" t="s">
        <v>402</v>
      </c>
      <c r="W67" s="9"/>
      <c r="X67" s="9"/>
      <c r="Y67" s="9"/>
      <c r="AA67" t="s">
        <v>423</v>
      </c>
      <c r="AB67" t="s">
        <v>424</v>
      </c>
      <c r="AC67" t="s">
        <v>426</v>
      </c>
      <c r="AK67" s="9" t="s">
        <v>402</v>
      </c>
      <c r="AL67" s="9"/>
      <c r="AM67" s="9"/>
      <c r="AN67" s="9"/>
      <c r="AP67" t="s">
        <v>423</v>
      </c>
      <c r="AQ67" t="s">
        <v>424</v>
      </c>
      <c r="AR67" t="s">
        <v>426</v>
      </c>
    </row>
    <row r="68" spans="2:44">
      <c r="B68" s="377" t="str">
        <f t="shared" si="78"/>
        <v/>
      </c>
      <c r="C68" t="str">
        <f t="shared" si="79"/>
        <v>10</v>
      </c>
      <c r="D68" t="str">
        <f t="shared" si="80"/>
        <v/>
      </c>
      <c r="E68" t="str">
        <v>0.10</v>
      </c>
      <c r="J68" s="18" t="s">
        <v>416</v>
      </c>
      <c r="O68" t="s">
        <v>425</v>
      </c>
      <c r="Q68">
        <f>IF($N$57="Vitoair FS 300E MA 300m3/h",1,0)</f>
        <v>1</v>
      </c>
      <c r="V68" s="18" t="s">
        <v>416</v>
      </c>
      <c r="AA68" t="s">
        <v>425</v>
      </c>
      <c r="AC68">
        <f>IF($Y$57="Vitoair FS 300E MA 300m3/h",1,0)</f>
        <v>0</v>
      </c>
      <c r="AK68" s="18" t="s">
        <v>416</v>
      </c>
      <c r="AP68" t="s">
        <v>425</v>
      </c>
      <c r="AR68">
        <f>IF($Y$57="Vitoair FS 300E MA 300m3/h",1,0)</f>
        <v>0</v>
      </c>
    </row>
    <row r="69" spans="2:44">
      <c r="B69" s="377" t="str">
        <f t="shared" si="78"/>
        <v/>
      </c>
      <c r="C69" t="str">
        <f t="shared" si="79"/>
        <v>10</v>
      </c>
      <c r="D69" t="str">
        <f t="shared" si="80"/>
        <v/>
      </c>
      <c r="E69" t="str">
        <v>10</v>
      </c>
      <c r="J69" s="18" t="s">
        <v>420</v>
      </c>
      <c r="O69" t="s">
        <v>425</v>
      </c>
      <c r="Q69">
        <f>IF($N$57="Vitoair FS 300E MA 300m3/h",1,0)</f>
        <v>1</v>
      </c>
      <c r="V69" s="18" t="s">
        <v>420</v>
      </c>
      <c r="AA69" t="s">
        <v>425</v>
      </c>
      <c r="AC69">
        <f>IF($Y$57="Vitoair FS 300E MA 300m3/h",1,0)</f>
        <v>0</v>
      </c>
      <c r="AK69" s="18" t="s">
        <v>420</v>
      </c>
      <c r="AP69" t="s">
        <v>425</v>
      </c>
      <c r="AR69">
        <f>IF($Y$57="Vitoair FS 300E MA 300m3/h",1,0)</f>
        <v>0</v>
      </c>
    </row>
    <row r="70" spans="2:44">
      <c r="B70" s="377" t="str">
        <f t="shared" si="78"/>
        <v>Garderoba</v>
      </c>
      <c r="C70" t="str">
        <f t="shared" si="79"/>
        <v>0.10</v>
      </c>
      <c r="D70" t="str">
        <f t="shared" si="80"/>
        <v/>
      </c>
      <c r="E70" t="str">
        <v>10</v>
      </c>
      <c r="J70" s="18" t="s">
        <v>422</v>
      </c>
      <c r="P70" t="s">
        <v>425</v>
      </c>
      <c r="Q70">
        <f>IF($N$57&lt;&gt;"Vitoair FS 300E MA 300m3/h",1,0)</f>
        <v>0</v>
      </c>
      <c r="V70" s="18" t="s">
        <v>422</v>
      </c>
      <c r="AB70" t="s">
        <v>425</v>
      </c>
      <c r="AC70">
        <f>IF($Y$57&lt;&gt;"Vitoair FS 300E MA 300m3/h",1,0)</f>
        <v>1</v>
      </c>
      <c r="AK70" s="18" t="s">
        <v>422</v>
      </c>
      <c r="AQ70" t="s">
        <v>425</v>
      </c>
      <c r="AR70">
        <f>IF($Y$57&lt;&gt;"Vitoair FS 300E MA 300m3/h",1,0)</f>
        <v>1</v>
      </c>
    </row>
    <row r="71" spans="2:44">
      <c r="B71" s="377" t="str">
        <f t="shared" si="78"/>
        <v>Łazienka</v>
      </c>
      <c r="C71" t="str">
        <f t="shared" si="79"/>
        <v>0.11</v>
      </c>
      <c r="D71" t="str">
        <f t="shared" si="80"/>
        <v/>
      </c>
      <c r="E71" t="str">
        <v>10</v>
      </c>
      <c r="J71" s="18" t="s">
        <v>407</v>
      </c>
      <c r="P71" t="s">
        <v>425</v>
      </c>
      <c r="Q71">
        <f>IF($N$57&lt;&gt;"Vitoair FS 300E MA 300m3/h",1,0)</f>
        <v>0</v>
      </c>
      <c r="V71" s="18" t="s">
        <v>407</v>
      </c>
      <c r="AB71" t="s">
        <v>425</v>
      </c>
      <c r="AC71">
        <f>IF($Y$57&lt;&gt;"Vitoair FS 300E MA 300m3/h",1,0)</f>
        <v>1</v>
      </c>
      <c r="AK71" s="18" t="s">
        <v>407</v>
      </c>
      <c r="AQ71" t="s">
        <v>425</v>
      </c>
      <c r="AR71">
        <f>IF($Y$57&lt;&gt;"Vitoair FS 300E MA 300m3/h",1,0)</f>
        <v>1</v>
      </c>
    </row>
    <row r="72" spans="2:44">
      <c r="B72" s="377" t="str">
        <f t="shared" si="78"/>
        <v/>
      </c>
      <c r="C72" t="str">
        <f t="shared" si="79"/>
        <v>10</v>
      </c>
      <c r="D72" t="str">
        <f t="shared" si="80"/>
        <v/>
      </c>
      <c r="E72" t="str">
        <v>10</v>
      </c>
      <c r="J72" t="s">
        <v>483</v>
      </c>
      <c r="V72" t="s">
        <v>483</v>
      </c>
      <c r="AK72" t="s">
        <v>483</v>
      </c>
    </row>
    <row r="73" spans="2:44">
      <c r="B73" s="377" t="str">
        <f t="shared" ref="B73:B80" si="81">IF(C21="wywiew",D21,IF(C21="naw.wyw.",D21,""))</f>
        <v/>
      </c>
      <c r="C73" t="str">
        <f t="shared" ref="C73:C80" si="82">IF(C21="wywiew",B21,IF(C21="naw.wyw.",B21,"10"))</f>
        <v>10</v>
      </c>
      <c r="D73" t="str">
        <f t="shared" si="80"/>
        <v/>
      </c>
      <c r="E73" t="str">
        <v>10</v>
      </c>
      <c r="J73" s="18" t="s">
        <v>689</v>
      </c>
      <c r="V73" s="18" t="s">
        <v>689</v>
      </c>
      <c r="AB73" t="s">
        <v>425</v>
      </c>
      <c r="AC73">
        <f>IF($Y$57&lt;&gt;"Vitoair FS 300E MA 300m3/h",1,0)</f>
        <v>1</v>
      </c>
      <c r="AK73" s="18" t="s">
        <v>689</v>
      </c>
    </row>
    <row r="74" spans="2:44">
      <c r="B74" s="377" t="str">
        <f t="shared" si="81"/>
        <v>Łazienka</v>
      </c>
      <c r="C74" t="str">
        <f t="shared" si="82"/>
        <v>1.2</v>
      </c>
      <c r="D74" t="str">
        <f t="shared" si="80"/>
        <v/>
      </c>
      <c r="E74" t="str">
        <v>10</v>
      </c>
      <c r="J74" s="377" t="str">
        <f>IF(N57&lt;&gt;"Vitoair FS 300E MA 300m3/h",J70,J68)</f>
        <v>Vitotrol 300-E</v>
      </c>
      <c r="K74" s="377"/>
      <c r="L74" s="377"/>
      <c r="M74" s="377"/>
      <c r="N74" s="511" t="s">
        <v>421</v>
      </c>
      <c r="V74" s="377" t="str">
        <f>IF(Y57&lt;&gt;"Vitoair FS 300E MA 300m3/h",V70,V68)</f>
        <v>Moduł obsługowy ścienny LB1</v>
      </c>
      <c r="W74" s="377"/>
      <c r="X74" s="377"/>
      <c r="Y74" s="377"/>
      <c r="Z74" s="511" t="s">
        <v>421</v>
      </c>
      <c r="AK74" s="377" t="str">
        <f>IF(AN57&lt;&gt;"Vitoair FS 300E MA 300m3/h",AK70,AK68)</f>
        <v>Moduł obsługowy ścienny LB1</v>
      </c>
      <c r="AL74" s="377"/>
      <c r="AM74" s="377"/>
      <c r="AN74" s="377"/>
      <c r="AO74" s="511" t="s">
        <v>421</v>
      </c>
    </row>
    <row r="75" spans="2:44">
      <c r="B75" s="377" t="str">
        <f t="shared" si="81"/>
        <v/>
      </c>
      <c r="C75" t="str">
        <f t="shared" si="82"/>
        <v>10</v>
      </c>
      <c r="D75" t="str">
        <f t="shared" si="80"/>
        <v/>
      </c>
      <c r="E75" t="str">
        <v>10</v>
      </c>
      <c r="J75" s="377" t="str">
        <f>IF(N57&lt;&gt;"Vitoair FS 300E MA 300m3/h",J71,J69)</f>
        <v>Przełącznik 4-stopniowy</v>
      </c>
      <c r="K75" s="377"/>
      <c r="L75" s="377"/>
      <c r="M75" s="377"/>
      <c r="N75" t="str">
        <f>'System DN63'!X154</f>
        <v>Sterowanie przez aplikację ViCare</v>
      </c>
      <c r="V75" s="377" t="str">
        <f>IF(Y57&lt;&gt;"Vitoair FS 300E MA 300m3/h",V71,V69)</f>
        <v>Przewód połączeniowy Vitocal (WO1C)</v>
      </c>
      <c r="W75" s="377"/>
      <c r="X75" s="377"/>
      <c r="Y75" s="377"/>
      <c r="Z75" t="str">
        <f>'System DN75'!X154</f>
        <v>Moduł obsługowy ścienny LB1</v>
      </c>
      <c r="AK75" s="377" t="str">
        <f>IF(AN57&lt;&gt;"Vitoair FS 300E MA 300m3/h",AK71,AK69)</f>
        <v>Przewód połączeniowy Vitocal (WO1C)</v>
      </c>
      <c r="AL75" s="377"/>
      <c r="AM75" s="377"/>
      <c r="AN75" s="377"/>
      <c r="AO75" t="str">
        <f>'System DN90'!X154</f>
        <v>Przewód połączeniowy Vitocal (WO1C)</v>
      </c>
    </row>
    <row r="76" spans="2:44">
      <c r="B76" s="377" t="str">
        <f t="shared" si="81"/>
        <v/>
      </c>
      <c r="C76" t="str">
        <f t="shared" si="82"/>
        <v>10</v>
      </c>
      <c r="D76" t="str">
        <f t="shared" si="80"/>
        <v/>
      </c>
      <c r="E76" t="str">
        <v>10</v>
      </c>
      <c r="J76" t="str">
        <f>IF(N57="Vitoair FS 300E MA 300m3/h","Sterowanie przez aplikację ViCare","")</f>
        <v>Sterowanie przez aplikację ViCare</v>
      </c>
      <c r="V76" t="str">
        <f>IF(Z57="Vitoair FS 300E MA 300m3/h","Sterowanie przez aplikację ViCare","")</f>
        <v/>
      </c>
      <c r="AK76" t="str">
        <f>IF(AO57="Vitoair FS 300E MA 300m3/h","Sterowanie przez aplikację ViCare","")</f>
        <v/>
      </c>
    </row>
    <row r="77" spans="2:44">
      <c r="B77" s="377" t="str">
        <f t="shared" si="81"/>
        <v/>
      </c>
      <c r="C77" t="str">
        <f t="shared" si="82"/>
        <v>10</v>
      </c>
      <c r="D77" t="str">
        <f t="shared" si="80"/>
        <v/>
      </c>
      <c r="E77" t="str">
        <v>10</v>
      </c>
      <c r="J77" t="str">
        <f>IF(N57="Vitoair FS 300E MA 300m3/h","Przewód komunikacyjny Can-Bus 5m","")</f>
        <v>Przewód komunikacyjny Can-Bus 5m</v>
      </c>
      <c r="V77" t="str">
        <f>IF(Y57="Vitoair FS 300E MA 300m3/h","Przewód komunikacyjny Can-Bus 5m","")</f>
        <v/>
      </c>
      <c r="AK77" t="str">
        <f>IF(AN57="Vitoair FS 300E MA 300m3/h","Przewód komunikacyjny Can-Bus 5m","")</f>
        <v/>
      </c>
    </row>
    <row r="78" spans="2:44">
      <c r="B78" s="377" t="str">
        <f t="shared" si="81"/>
        <v/>
      </c>
      <c r="C78" t="str">
        <f t="shared" si="82"/>
        <v>10</v>
      </c>
      <c r="D78" t="str">
        <f t="shared" si="80"/>
        <v/>
      </c>
      <c r="E78" t="str">
        <v>10</v>
      </c>
      <c r="J78" t="str">
        <f>IF(N57="Vitoair FS 300E MA 300m3/h","Bez komunikacji z pompą ciepła","")</f>
        <v>Bez komunikacji z pompą ciepła</v>
      </c>
      <c r="V78" t="str">
        <f>IF(Y57="Vitoair FS 300E MA 300m3/h","Bez komunikacji z pompą ciepła","")</f>
        <v/>
      </c>
      <c r="AK78" t="str">
        <f>IF(AN57="Vitoair FS 300E MA 300m3/h","Bez komunikacji z pompą ciepła","")</f>
        <v/>
      </c>
    </row>
    <row r="79" spans="2:44">
      <c r="B79" s="377" t="str">
        <f t="shared" si="81"/>
        <v/>
      </c>
      <c r="C79" t="str">
        <f t="shared" si="82"/>
        <v>10</v>
      </c>
      <c r="D79" t="str">
        <f t="shared" si="80"/>
        <v/>
      </c>
      <c r="E79" t="str">
        <v>10</v>
      </c>
      <c r="V79" t="str">
        <f>IF(Y57&lt;&gt;"Vitoair FS 300E MA 300m3/h",V73,"")</f>
        <v>Bramka internetowa Vitoconnect V</v>
      </c>
    </row>
    <row r="80" spans="2:44">
      <c r="B80" s="377" t="str">
        <f t="shared" si="81"/>
        <v/>
      </c>
      <c r="C80" t="str">
        <f t="shared" si="82"/>
        <v>10</v>
      </c>
      <c r="D80" t="str">
        <f t="shared" si="80"/>
        <v/>
      </c>
      <c r="E80" t="str">
        <v>10</v>
      </c>
    </row>
    <row r="81" spans="2:39">
      <c r="D81" t="str">
        <f t="shared" si="80"/>
        <v/>
      </c>
      <c r="J81" s="9" t="s">
        <v>465</v>
      </c>
      <c r="K81" s="9"/>
      <c r="L81" s="9"/>
      <c r="V81" s="9" t="s">
        <v>465</v>
      </c>
      <c r="W81" s="9"/>
      <c r="X81" s="9"/>
      <c r="AK81" s="9" t="s">
        <v>465</v>
      </c>
      <c r="AL81" s="9"/>
      <c r="AM81" s="9"/>
    </row>
    <row r="82" spans="2:39">
      <c r="B82" s="381">
        <f>21-COUNTBLANK(B61:B80)</f>
        <v>9</v>
      </c>
      <c r="J82" t="str">
        <f>IF(N57="Vitoair FS 300E MA 300m3/h",IF(N75=J68,"",IF(N75=J69,"",IF(N75=J72,"","Uwaga! Niewłaściwe dopasowanie sposobu sterowania do wybranej centrali"))),IF(N75=J70,"",IF(N75=J71,"","Uwaga! Niewłaściwe dopasowanie sposobu sterowania do wybranej centrali")))</f>
        <v/>
      </c>
      <c r="V82" t="str">
        <f>IF(Y57="Vitoair FS 300E MA 300m3/h",IF(Z75=V68,"",IF(Z75=V69,"",IF(Z75=V72,"","Uwaga! Niewłaściwe dopasowanie sposobu sterowania do wybranej centrali"))),IF(Z75=V70,"",IF(Z75=V73,"",IF(Z75=V71,"","Uwaga! Niewłaściwe dopasowanie sposobu sterowania do wybranej centrali"))))</f>
        <v/>
      </c>
      <c r="AK82" t="str">
        <f>IF(AN57="Vitoair FS 300E MA 300m3/h",IF(AO75=AK68,"",IF(AO75=AK69,"",IF(AO75=AK72,"","Uwaga! Niewłaściwe dopasowanie sposobu sterowania do wybranej centrali"))),IF(AO75=AK70,"",IF(AO75=AK71,"","Uwaga! Niewłaściwe dopasowanie sposobu sterowania do wybranej centrali")))</f>
        <v/>
      </c>
    </row>
    <row r="83" spans="2:39">
      <c r="B83" s="367"/>
      <c r="J83" s="142" t="str">
        <f>IF(N57=J56,"",IF(N57=J57,"",IF(N57=J58,"",IF(N57=J59,"",IF(N57=J60,"",IF(N57=J61,"",IF(N57=J64,"",IF(N57=J63,"",IF(N57=J62,"","Uwaga! Błąd doboru centrali")))))))))</f>
        <v/>
      </c>
    </row>
    <row r="84" spans="2:39">
      <c r="B84" s="367"/>
      <c r="V84" s="142" t="str">
        <f>IF(Y57=J56,"",IF(Y57=J57,"",IF(Y57=J58,"",IF(Y57=J59,"",IF(Y57=J60,"",IF(Y57=J61,"",IF(Y57=J62,"",IF(Y57=J63,"",IF(Y57=J64,"","Uwaga! Błąd doboru centrali")))))))))</f>
        <v/>
      </c>
      <c r="AK84" s="142" t="str">
        <f>IF(AN57=J56,"",IF(AN57=J57,"",IF(AN57=J58,"",IF(AN57=J59,"",IF(AN57=J60,"",IF(AN57=J61,"",IF(AN57=J62,"",IF(AN57=J63,"",IF(AN57=J64,"","Uwaga! Błąd doboru centrali")))))))))</f>
        <v/>
      </c>
    </row>
    <row r="85" spans="2:39">
      <c r="B85" s="367"/>
    </row>
    <row r="86" spans="2:39">
      <c r="B86" s="367"/>
    </row>
    <row r="87" spans="2:39">
      <c r="B87" s="447" t="s">
        <v>182</v>
      </c>
      <c r="C87" s="448"/>
      <c r="D87" s="448"/>
      <c r="E87" s="448"/>
      <c r="F87" s="448"/>
      <c r="G87" s="448"/>
      <c r="H87" s="448"/>
    </row>
    <row r="88" spans="2:39">
      <c r="B88" s="367" t="s">
        <v>79</v>
      </c>
      <c r="D88" s="58">
        <f>Dane!H184</f>
        <v>403.65000000000003</v>
      </c>
      <c r="E88" t="s">
        <v>386</v>
      </c>
    </row>
    <row r="89" spans="2:39">
      <c r="B89" s="367" t="s">
        <v>385</v>
      </c>
      <c r="D89">
        <f>D88*0.5</f>
        <v>201.82500000000002</v>
      </c>
      <c r="E89" t="s">
        <v>3</v>
      </c>
    </row>
    <row r="90" spans="2:39">
      <c r="B90" s="367"/>
    </row>
    <row r="91" spans="2:39">
      <c r="B91" s="207" t="s">
        <v>189</v>
      </c>
      <c r="C91" s="147">
        <f>$D$89*1.2/3600*D91*24*31</f>
        <v>575.60490000000004</v>
      </c>
      <c r="D91" s="147">
        <f t="shared" ref="D91:D97" si="83">$J$92-E91</f>
        <v>11.5</v>
      </c>
      <c r="E91" s="147">
        <v>8.5</v>
      </c>
      <c r="G91" s="147" t="s">
        <v>190</v>
      </c>
      <c r="H91" s="147"/>
      <c r="I91" s="147"/>
      <c r="J91" s="147"/>
    </row>
    <row r="92" spans="2:39">
      <c r="B92" s="207" t="s">
        <v>156</v>
      </c>
      <c r="C92" s="147">
        <f t="shared" ref="C92:C97" si="84">$D$89*1.2/3600*D92*24*31</f>
        <v>845.88894000000005</v>
      </c>
      <c r="D92" s="147">
        <f t="shared" si="83"/>
        <v>16.899999999999999</v>
      </c>
      <c r="E92" s="147">
        <v>3.1</v>
      </c>
      <c r="G92" s="147" t="s">
        <v>191</v>
      </c>
      <c r="H92" s="147"/>
      <c r="J92" s="147">
        <v>20</v>
      </c>
      <c r="K92" s="147" t="s">
        <v>192</v>
      </c>
    </row>
    <row r="93" spans="2:39">
      <c r="B93" s="207" t="s">
        <v>157</v>
      </c>
      <c r="C93" s="147">
        <f t="shared" si="84"/>
        <v>1036.0888199999999</v>
      </c>
      <c r="D93" s="147">
        <f t="shared" si="83"/>
        <v>20.7</v>
      </c>
      <c r="E93" s="147">
        <v>-0.7</v>
      </c>
      <c r="F93" s="147"/>
      <c r="G93" s="147"/>
      <c r="H93" s="147"/>
      <c r="I93" s="147"/>
      <c r="J93" s="147"/>
    </row>
    <row r="94" spans="2:39">
      <c r="B94" s="207" t="s">
        <v>158</v>
      </c>
      <c r="C94" s="147">
        <f t="shared" si="84"/>
        <v>1046.09934</v>
      </c>
      <c r="D94" s="147">
        <f t="shared" si="83"/>
        <v>20.9</v>
      </c>
      <c r="E94" s="147">
        <v>-0.9</v>
      </c>
      <c r="F94" s="147"/>
      <c r="G94" s="147"/>
      <c r="H94" s="147"/>
      <c r="I94" s="147"/>
      <c r="J94" s="147"/>
    </row>
    <row r="95" spans="2:39">
      <c r="B95" s="207" t="s">
        <v>159</v>
      </c>
      <c r="C95" s="147">
        <f t="shared" si="84"/>
        <v>1051.1046000000001</v>
      </c>
      <c r="D95" s="147">
        <f t="shared" si="83"/>
        <v>21</v>
      </c>
      <c r="E95" s="147">
        <v>-1</v>
      </c>
      <c r="F95" s="147"/>
      <c r="G95" s="147"/>
      <c r="H95" s="147"/>
      <c r="I95" s="147"/>
      <c r="J95" s="147"/>
    </row>
    <row r="96" spans="2:39">
      <c r="B96" s="207" t="s">
        <v>160</v>
      </c>
      <c r="C96" s="147">
        <f t="shared" si="84"/>
        <v>865.90998000000002</v>
      </c>
      <c r="D96" s="147">
        <f t="shared" si="83"/>
        <v>17.3</v>
      </c>
      <c r="E96" s="147">
        <v>2.7</v>
      </c>
      <c r="F96" s="147"/>
      <c r="G96" s="147"/>
      <c r="H96" s="147"/>
      <c r="I96" s="147"/>
      <c r="J96" s="147"/>
    </row>
    <row r="97" spans="2:10">
      <c r="B97" s="207" t="s">
        <v>161</v>
      </c>
      <c r="C97" s="147">
        <f t="shared" si="84"/>
        <v>570.59964000000002</v>
      </c>
      <c r="D97" s="147">
        <f t="shared" si="83"/>
        <v>11.4</v>
      </c>
      <c r="E97" s="147">
        <v>8.6</v>
      </c>
      <c r="F97" s="147"/>
      <c r="G97" s="147"/>
      <c r="H97" s="147"/>
      <c r="I97" s="147"/>
      <c r="J97" s="147"/>
    </row>
    <row r="98" spans="2:10">
      <c r="B98" s="147"/>
      <c r="C98" s="147"/>
      <c r="D98" s="147"/>
      <c r="E98" s="147"/>
      <c r="F98" s="147"/>
      <c r="G98" s="147"/>
      <c r="H98" s="147"/>
      <c r="I98" s="147"/>
      <c r="J98" s="147"/>
    </row>
    <row r="99" spans="2:10">
      <c r="B99" s="207" t="s">
        <v>193</v>
      </c>
      <c r="C99" s="205">
        <f>SUM(C91:C98)</f>
        <v>5991.2962200000002</v>
      </c>
      <c r="D99" s="147" t="s">
        <v>181</v>
      </c>
      <c r="E99" s="147"/>
      <c r="F99" s="147"/>
      <c r="G99" s="147"/>
      <c r="H99" s="147"/>
      <c r="I99" s="147"/>
      <c r="J99" s="147"/>
    </row>
    <row r="100" spans="2:10">
      <c r="B100" s="367"/>
    </row>
    <row r="101" spans="2:10">
      <c r="B101" s="367"/>
    </row>
    <row r="102" spans="2:10">
      <c r="B102" s="367"/>
    </row>
    <row r="103" spans="2:10">
      <c r="B103" s="367"/>
    </row>
    <row r="104" spans="2:10">
      <c r="B104" s="204" t="s">
        <v>211</v>
      </c>
      <c r="C104" s="204"/>
      <c r="D104" s="204"/>
      <c r="E104" s="204"/>
      <c r="F104" s="204"/>
      <c r="G104" s="204"/>
      <c r="H104" s="204"/>
      <c r="I104" s="204"/>
      <c r="J104" s="204"/>
    </row>
    <row r="105" spans="2:10">
      <c r="B105" s="147" t="s">
        <v>183</v>
      </c>
      <c r="C105" s="147"/>
      <c r="D105" s="147"/>
      <c r="E105" s="147"/>
      <c r="F105" s="147"/>
      <c r="G105" s="147"/>
      <c r="H105" s="147"/>
      <c r="I105" s="147"/>
      <c r="J105" s="147"/>
    </row>
    <row r="106" spans="2:10">
      <c r="B106" s="147" t="s">
        <v>184</v>
      </c>
      <c r="C106" s="147">
        <f>D88</f>
        <v>403.65000000000003</v>
      </c>
      <c r="D106" s="147">
        <f>D90</f>
        <v>0</v>
      </c>
      <c r="E106" s="147" t="s">
        <v>195</v>
      </c>
      <c r="F106" s="147"/>
      <c r="G106" s="147"/>
      <c r="H106" s="147"/>
      <c r="I106" s="147"/>
      <c r="J106" s="147"/>
    </row>
    <row r="107" spans="2:10">
      <c r="B107" s="147"/>
      <c r="C107" s="147"/>
      <c r="D107" s="147"/>
      <c r="E107" s="147"/>
      <c r="F107" s="147"/>
      <c r="G107" s="147"/>
      <c r="H107" s="147"/>
      <c r="I107" s="147"/>
      <c r="J107" s="147"/>
    </row>
    <row r="108" spans="2:10">
      <c r="B108" s="147" t="s">
        <v>194</v>
      </c>
      <c r="C108" s="147"/>
      <c r="D108" s="147"/>
      <c r="E108" s="147"/>
      <c r="F108" s="147"/>
      <c r="G108" s="147"/>
      <c r="H108" s="147"/>
      <c r="I108" s="147"/>
      <c r="J108" s="147"/>
    </row>
    <row r="109" spans="2:10">
      <c r="B109" s="147" t="s">
        <v>196</v>
      </c>
      <c r="C109" s="147">
        <v>0.85</v>
      </c>
      <c r="D109" s="147"/>
      <c r="E109" s="147"/>
      <c r="F109" s="147"/>
      <c r="G109" s="147"/>
      <c r="H109" s="147"/>
      <c r="I109" s="147"/>
      <c r="J109" s="147"/>
    </row>
    <row r="110" spans="2:10">
      <c r="B110" s="147">
        <f>1.5*365/2*C106*(1-C109)*3*1.2*24/3600</f>
        <v>397.79707500000006</v>
      </c>
      <c r="C110" s="147" t="s">
        <v>197</v>
      </c>
      <c r="D110" s="147" t="s">
        <v>198</v>
      </c>
      <c r="E110" s="147"/>
      <c r="F110" s="147"/>
      <c r="G110" s="147"/>
      <c r="H110" s="147"/>
      <c r="I110" s="147"/>
      <c r="J110" s="147"/>
    </row>
    <row r="111" spans="2:10">
      <c r="B111" s="147"/>
      <c r="C111" s="147"/>
      <c r="D111" s="147"/>
      <c r="E111" s="147"/>
      <c r="F111" s="147"/>
      <c r="G111" s="147"/>
      <c r="H111" s="147"/>
      <c r="I111" s="147"/>
      <c r="J111" s="147"/>
    </row>
    <row r="112" spans="2:10">
      <c r="B112" s="147" t="s">
        <v>199</v>
      </c>
      <c r="C112" s="147"/>
      <c r="D112" s="147"/>
      <c r="E112" s="147"/>
      <c r="F112" s="147"/>
      <c r="G112" s="147"/>
      <c r="H112" s="147"/>
      <c r="I112" s="147"/>
      <c r="J112" s="147"/>
    </row>
    <row r="113" spans="2:10">
      <c r="B113" s="147" t="s">
        <v>242</v>
      </c>
      <c r="C113" s="147">
        <v>27</v>
      </c>
      <c r="D113" s="147" t="s">
        <v>200</v>
      </c>
      <c r="E113" s="147" t="s">
        <v>201</v>
      </c>
      <c r="F113" s="147"/>
      <c r="G113" s="147">
        <f>C113*8760/2000*0.85*2</f>
        <v>201.042</v>
      </c>
      <c r="H113" s="147" t="s">
        <v>181</v>
      </c>
      <c r="I113" s="147"/>
      <c r="J113" s="147"/>
    </row>
    <row r="114" spans="2:10">
      <c r="B114" s="147" t="s">
        <v>243</v>
      </c>
      <c r="C114" s="147">
        <v>27</v>
      </c>
      <c r="D114" s="147" t="s">
        <v>200</v>
      </c>
      <c r="E114" s="147" t="s">
        <v>201</v>
      </c>
      <c r="F114" s="147"/>
      <c r="G114" s="147">
        <f>C114*8760/2000*0.9*2</f>
        <v>212.86800000000002</v>
      </c>
      <c r="H114" s="147" t="s">
        <v>181</v>
      </c>
      <c r="I114" s="147"/>
      <c r="J114" s="147"/>
    </row>
    <row r="115" spans="2:10">
      <c r="B115" s="147"/>
      <c r="C115" s="147"/>
      <c r="D115" s="147"/>
      <c r="E115" s="147"/>
      <c r="F115" s="147"/>
      <c r="G115" s="147"/>
      <c r="H115" s="147"/>
      <c r="I115" s="147"/>
      <c r="J115" s="147"/>
    </row>
    <row r="116" spans="2:10">
      <c r="B116" s="147"/>
      <c r="C116" s="147"/>
      <c r="D116" s="147"/>
      <c r="E116" s="147"/>
      <c r="F116" s="147" t="s">
        <v>193</v>
      </c>
      <c r="G116" s="147">
        <f>SUM(G113:G115)</f>
        <v>413.91</v>
      </c>
      <c r="H116" s="147" t="s">
        <v>181</v>
      </c>
      <c r="I116" s="147"/>
      <c r="J116" s="178">
        <f>G116*0.62</f>
        <v>256.62420000000003</v>
      </c>
    </row>
    <row r="117" spans="2:10">
      <c r="B117" s="147"/>
      <c r="C117" s="147"/>
      <c r="D117" s="147"/>
      <c r="E117" s="147"/>
      <c r="F117" s="147"/>
      <c r="G117" s="147"/>
      <c r="H117" s="147"/>
      <c r="I117" s="147"/>
      <c r="J117" s="147"/>
    </row>
    <row r="118" spans="2:10">
      <c r="B118" s="147" t="s">
        <v>202</v>
      </c>
      <c r="C118" s="147"/>
      <c r="D118" s="147"/>
      <c r="E118" s="147" t="s">
        <v>248</v>
      </c>
      <c r="F118" s="147"/>
      <c r="G118" s="147" t="s">
        <v>249</v>
      </c>
      <c r="H118" s="147"/>
      <c r="I118" s="147"/>
      <c r="J118" s="147"/>
    </row>
    <row r="119" spans="2:10">
      <c r="B119" s="147" t="s">
        <v>203</v>
      </c>
      <c r="C119" s="147">
        <f>1868-540</f>
        <v>1328</v>
      </c>
      <c r="D119" s="147" t="s">
        <v>204</v>
      </c>
      <c r="E119" s="147">
        <v>-1</v>
      </c>
      <c r="F119" s="147"/>
      <c r="G119" s="205">
        <f>($C$125/2*1.2/3600*($C$126-E119)*C119/2)+($C$125*1.2/3600*($C$126-E119)*C119/2)</f>
        <v>134.01179999999999</v>
      </c>
      <c r="H119" s="147" t="s">
        <v>181</v>
      </c>
      <c r="I119" s="147"/>
      <c r="J119" s="147"/>
    </row>
    <row r="120" spans="2:10">
      <c r="B120" s="147" t="s">
        <v>205</v>
      </c>
      <c r="C120" s="147">
        <f>540-108</f>
        <v>432</v>
      </c>
      <c r="D120" s="147" t="s">
        <v>204</v>
      </c>
      <c r="E120" s="147">
        <v>-6.5</v>
      </c>
      <c r="F120" s="147"/>
      <c r="G120" s="205">
        <f>($C$125/2*1.2/3600*($C$126-E120)*C120/2)+($C$125*1.2/3600*($C$126-E120)*C120/2)</f>
        <v>283.3623</v>
      </c>
      <c r="H120" s="147" t="s">
        <v>181</v>
      </c>
      <c r="I120" s="147"/>
      <c r="J120" s="147"/>
    </row>
    <row r="121" spans="2:10">
      <c r="B121" s="147" t="s">
        <v>206</v>
      </c>
      <c r="C121" s="147">
        <v>108</v>
      </c>
      <c r="D121" s="147" t="s">
        <v>204</v>
      </c>
      <c r="E121" s="147">
        <v>-12</v>
      </c>
      <c r="F121" s="147"/>
      <c r="G121" s="205">
        <f>($C$125/2*1.2/3600*($C$126-E121)*C121/2)+($C$125*1.2/3600*($C$126-E121)*C121/2)</f>
        <v>130.7826</v>
      </c>
      <c r="H121" s="147" t="s">
        <v>181</v>
      </c>
      <c r="I121" s="147"/>
      <c r="J121" s="147"/>
    </row>
    <row r="122" spans="2:10">
      <c r="B122" s="147"/>
      <c r="C122" s="147"/>
      <c r="D122" s="147"/>
      <c r="E122" s="147"/>
      <c r="F122" s="147"/>
      <c r="G122" s="147"/>
      <c r="H122" s="147"/>
      <c r="I122" s="147"/>
      <c r="J122" s="147"/>
    </row>
    <row r="123" spans="2:10">
      <c r="B123" s="147"/>
      <c r="C123" s="147"/>
      <c r="D123" s="147"/>
      <c r="E123" s="147"/>
      <c r="F123" s="147" t="s">
        <v>193</v>
      </c>
      <c r="G123" s="205">
        <f>SUM(G119:G122)</f>
        <v>548.1567</v>
      </c>
      <c r="H123" s="147" t="s">
        <v>181</v>
      </c>
      <c r="I123" s="147"/>
      <c r="J123" s="147"/>
    </row>
    <row r="124" spans="2:10">
      <c r="B124" s="147" t="s">
        <v>183</v>
      </c>
      <c r="C124" s="147"/>
      <c r="D124" s="147"/>
      <c r="E124" s="147"/>
      <c r="F124" s="147"/>
      <c r="G124" s="147"/>
      <c r="H124" s="147"/>
      <c r="I124" s="147"/>
      <c r="J124" s="147"/>
    </row>
    <row r="125" spans="2:10">
      <c r="B125" s="147" t="s">
        <v>184</v>
      </c>
      <c r="C125" s="449">
        <f>D88</f>
        <v>403.65000000000003</v>
      </c>
      <c r="D125" s="147" t="s">
        <v>19</v>
      </c>
      <c r="E125" s="206"/>
      <c r="F125" s="147" t="s">
        <v>187</v>
      </c>
      <c r="G125" s="147"/>
      <c r="H125" s="147"/>
      <c r="I125" s="147"/>
      <c r="J125" s="147"/>
    </row>
    <row r="126" spans="2:10">
      <c r="B126" s="147"/>
      <c r="C126" s="147">
        <v>0</v>
      </c>
      <c r="D126" s="147" t="s">
        <v>192</v>
      </c>
      <c r="E126" s="147"/>
      <c r="F126" s="147" t="s">
        <v>212</v>
      </c>
      <c r="G126" s="147"/>
      <c r="H126" s="147"/>
      <c r="I126" s="147"/>
      <c r="J126" s="147"/>
    </row>
  </sheetData>
  <sheetProtection algorithmName="SHA-512" hashValue="7CxA1K9gWiv0HPcGmluxoh8/z8HUA3glDYweu+2OBgouL0PsHnhxTqutPoQNHmBk5YIzwQa+2OmnBS1MkJhV/g==" saltValue="i7ZGSO1JiyneS4DBds2DJw==" spinCount="100000" sheet="1" objects="1" scenarios="1"/>
  <sortState xmlns:xlrd2="http://schemas.microsoft.com/office/spreadsheetml/2017/richdata2" ref="B61:C81">
    <sortCondition ref="C61:C81" customList="nawiew"/>
  </sortState>
  <mergeCells count="13">
    <mergeCell ref="AY4:BI4"/>
    <mergeCell ref="AY5:BI5"/>
    <mergeCell ref="BF30:BG30"/>
    <mergeCell ref="BH30:BI30"/>
    <mergeCell ref="AN5:AX5"/>
    <mergeCell ref="AU30:AV30"/>
    <mergeCell ref="AW30:AX30"/>
    <mergeCell ref="AN4:AX4"/>
    <mergeCell ref="AJ30:AK30"/>
    <mergeCell ref="AL30:AM30"/>
    <mergeCell ref="R4:AM4"/>
    <mergeCell ref="R5:AB5"/>
    <mergeCell ref="AC5:AM5"/>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usz2">
    <tabColor rgb="FF0070C0"/>
  </sheetPr>
  <dimension ref="B2:K58"/>
  <sheetViews>
    <sheetView showGridLines="0" zoomScale="85" zoomScaleNormal="85" workbookViewId="0">
      <selection activeCell="L9" sqref="L9"/>
    </sheetView>
  </sheetViews>
  <sheetFormatPr defaultColWidth="9.109375" defaultRowHeight="13.8"/>
  <cols>
    <col min="1" max="1" width="9.109375" style="1"/>
    <col min="2" max="2" width="53.5546875" style="1" bestFit="1" customWidth="1"/>
    <col min="3" max="3" width="14.5546875" style="148" bestFit="1" customWidth="1"/>
    <col min="4" max="5" width="9.5546875" style="1" hidden="1" customWidth="1"/>
    <col min="6" max="8" width="9.5546875" style="1" bestFit="1" customWidth="1"/>
    <col min="9" max="9" width="0" style="175" hidden="1" customWidth="1"/>
    <col min="10" max="11" width="9.109375" style="175"/>
    <col min="12" max="16384" width="9.109375" style="1"/>
  </cols>
  <sheetData>
    <row r="2" spans="2:11" s="217" customFormat="1">
      <c r="C2" s="224"/>
      <c r="D2" s="217" t="s">
        <v>252</v>
      </c>
      <c r="E2" s="217" t="s">
        <v>252</v>
      </c>
      <c r="F2" s="225" t="s">
        <v>252</v>
      </c>
      <c r="G2" s="225" t="s">
        <v>252</v>
      </c>
      <c r="H2" s="225" t="s">
        <v>252</v>
      </c>
      <c r="I2" s="225" t="s">
        <v>240</v>
      </c>
      <c r="J2" s="225" t="s">
        <v>241</v>
      </c>
      <c r="K2" s="225" t="s">
        <v>529</v>
      </c>
    </row>
    <row r="3" spans="2:11" s="218" customFormat="1">
      <c r="B3" s="218" t="s">
        <v>0</v>
      </c>
      <c r="C3" s="219"/>
      <c r="D3" s="220" t="s">
        <v>13</v>
      </c>
      <c r="E3" s="221" t="s">
        <v>12</v>
      </c>
      <c r="F3" s="220" t="s">
        <v>268</v>
      </c>
      <c r="G3" s="221" t="s">
        <v>267</v>
      </c>
      <c r="H3" s="221" t="s">
        <v>630</v>
      </c>
      <c r="I3" s="222" t="s">
        <v>253</v>
      </c>
      <c r="J3" s="223" t="s">
        <v>241</v>
      </c>
      <c r="K3" s="223" t="s">
        <v>530</v>
      </c>
    </row>
    <row r="4" spans="2:11" s="158" customFormat="1">
      <c r="B4" s="158" t="s">
        <v>239</v>
      </c>
      <c r="C4" s="174" t="s">
        <v>3</v>
      </c>
      <c r="D4" s="170">
        <v>300</v>
      </c>
      <c r="E4" s="164">
        <v>400</v>
      </c>
      <c r="F4" s="170">
        <v>325</v>
      </c>
      <c r="G4" s="164">
        <v>400</v>
      </c>
      <c r="H4" s="164">
        <v>600</v>
      </c>
      <c r="I4" s="164">
        <v>280</v>
      </c>
      <c r="J4" s="170">
        <v>150</v>
      </c>
      <c r="K4" s="170">
        <v>300</v>
      </c>
    </row>
    <row r="5" spans="2:11">
      <c r="B5" s="154" t="s">
        <v>220</v>
      </c>
      <c r="D5" s="165"/>
      <c r="E5" s="159"/>
      <c r="F5" s="165"/>
      <c r="G5" s="159"/>
      <c r="H5" s="159"/>
      <c r="I5" s="162"/>
      <c r="J5" s="168"/>
      <c r="K5" s="168"/>
    </row>
    <row r="6" spans="2:11">
      <c r="B6" s="153" t="s">
        <v>216</v>
      </c>
      <c r="C6" s="148" t="s">
        <v>1</v>
      </c>
      <c r="D6" s="165">
        <v>-38</v>
      </c>
      <c r="E6" s="159">
        <v>-37</v>
      </c>
      <c r="F6" s="165">
        <v>-42</v>
      </c>
      <c r="G6" s="159">
        <v>-41</v>
      </c>
      <c r="H6" s="159"/>
      <c r="I6" s="162">
        <v>-36</v>
      </c>
      <c r="J6" s="168">
        <v>-34</v>
      </c>
      <c r="K6" s="168">
        <v>-37</v>
      </c>
    </row>
    <row r="7" spans="2:11">
      <c r="B7" s="153" t="s">
        <v>217</v>
      </c>
      <c r="C7" s="148" t="s">
        <v>1</v>
      </c>
      <c r="D7" s="165">
        <v>-40</v>
      </c>
      <c r="E7" s="159">
        <v>-39</v>
      </c>
      <c r="F7" s="165">
        <v>-43</v>
      </c>
      <c r="G7" s="159">
        <v>-43</v>
      </c>
      <c r="H7" s="159"/>
      <c r="I7" s="162">
        <v>-38</v>
      </c>
      <c r="J7" s="168">
        <v>-36</v>
      </c>
      <c r="K7" s="168">
        <v>-39</v>
      </c>
    </row>
    <row r="8" spans="2:11" s="156" customFormat="1">
      <c r="B8" s="157" t="s">
        <v>219</v>
      </c>
      <c r="C8" s="171" t="s">
        <v>1</v>
      </c>
      <c r="D8" s="166">
        <v>-43</v>
      </c>
      <c r="E8" s="160">
        <v>-42</v>
      </c>
      <c r="F8" s="166">
        <v>-45</v>
      </c>
      <c r="G8" s="160">
        <v>-45</v>
      </c>
      <c r="H8" s="160"/>
      <c r="I8" s="163">
        <v>-42</v>
      </c>
      <c r="J8" s="169">
        <v>-41</v>
      </c>
      <c r="K8" s="169">
        <v>-42</v>
      </c>
    </row>
    <row r="9" spans="2:11">
      <c r="B9" s="154" t="s">
        <v>221</v>
      </c>
      <c r="D9" s="165"/>
      <c r="E9" s="159"/>
      <c r="F9" s="165"/>
      <c r="G9" s="159"/>
      <c r="H9" s="159"/>
      <c r="I9" s="162"/>
      <c r="J9" s="168"/>
      <c r="K9" s="168"/>
    </row>
    <row r="10" spans="2:11">
      <c r="B10" s="153" t="s">
        <v>216</v>
      </c>
      <c r="C10" s="148" t="s">
        <v>1</v>
      </c>
      <c r="D10" s="165">
        <v>-76</v>
      </c>
      <c r="E10" s="159">
        <v>-74</v>
      </c>
      <c r="F10" s="165">
        <v>-80</v>
      </c>
      <c r="G10" s="159">
        <v>-81</v>
      </c>
      <c r="H10" s="159"/>
      <c r="I10" s="162">
        <v>-74</v>
      </c>
      <c r="J10" s="168">
        <v>-71</v>
      </c>
      <c r="K10" s="168">
        <v>-73</v>
      </c>
    </row>
    <row r="11" spans="2:11">
      <c r="B11" s="153" t="s">
        <v>217</v>
      </c>
      <c r="C11" s="148" t="s">
        <v>1</v>
      </c>
      <c r="D11" s="165">
        <v>-78</v>
      </c>
      <c r="E11" s="159">
        <v>-77</v>
      </c>
      <c r="F11" s="165">
        <v>-82</v>
      </c>
      <c r="G11" s="159">
        <v>-82</v>
      </c>
      <c r="H11" s="159"/>
      <c r="I11" s="162">
        <v>-77</v>
      </c>
      <c r="J11" s="168">
        <v>-74</v>
      </c>
      <c r="K11" s="168">
        <v>-75</v>
      </c>
    </row>
    <row r="12" spans="2:11" s="156" customFormat="1">
      <c r="B12" s="157" t="s">
        <v>219</v>
      </c>
      <c r="C12" s="171" t="s">
        <v>1</v>
      </c>
      <c r="D12" s="166">
        <v>-82</v>
      </c>
      <c r="E12" s="160">
        <v>-81</v>
      </c>
      <c r="F12" s="166">
        <v>-84</v>
      </c>
      <c r="G12" s="160">
        <v>-85</v>
      </c>
      <c r="H12" s="160"/>
      <c r="I12" s="163">
        <v>-81</v>
      </c>
      <c r="J12" s="169">
        <v>-79</v>
      </c>
      <c r="K12" s="169">
        <v>-79</v>
      </c>
    </row>
    <row r="13" spans="2:11">
      <c r="B13" s="154" t="s">
        <v>279</v>
      </c>
      <c r="D13" s="167"/>
      <c r="E13" s="161"/>
      <c r="F13" s="167"/>
      <c r="G13" s="161"/>
      <c r="H13" s="161"/>
      <c r="I13" s="162"/>
      <c r="J13" s="168"/>
      <c r="K13" s="168"/>
    </row>
    <row r="14" spans="2:11">
      <c r="B14" s="153" t="s">
        <v>216</v>
      </c>
      <c r="D14" s="168" t="s">
        <v>8</v>
      </c>
      <c r="E14" s="162" t="s">
        <v>8</v>
      </c>
      <c r="F14" s="168" t="s">
        <v>8</v>
      </c>
      <c r="G14" s="162" t="s">
        <v>8</v>
      </c>
      <c r="H14" s="162" t="s">
        <v>8</v>
      </c>
      <c r="I14" s="162" t="s">
        <v>8</v>
      </c>
      <c r="J14" s="168" t="s">
        <v>8</v>
      </c>
      <c r="K14" s="168" t="s">
        <v>8</v>
      </c>
    </row>
    <row r="15" spans="2:11">
      <c r="B15" s="153" t="s">
        <v>217</v>
      </c>
      <c r="D15" s="168" t="s">
        <v>8</v>
      </c>
      <c r="E15" s="162" t="s">
        <v>8</v>
      </c>
      <c r="F15" s="168" t="s">
        <v>218</v>
      </c>
      <c r="G15" s="162" t="s">
        <v>218</v>
      </c>
      <c r="H15" s="162" t="s">
        <v>8</v>
      </c>
      <c r="I15" s="162" t="s">
        <v>8</v>
      </c>
      <c r="J15" s="168" t="s">
        <v>8</v>
      </c>
      <c r="K15" s="168" t="s">
        <v>8</v>
      </c>
    </row>
    <row r="16" spans="2:11" s="156" customFormat="1">
      <c r="B16" s="157" t="s">
        <v>219</v>
      </c>
      <c r="C16" s="171"/>
      <c r="D16" s="169" t="s">
        <v>218</v>
      </c>
      <c r="E16" s="163" t="s">
        <v>218</v>
      </c>
      <c r="F16" s="169" t="s">
        <v>218</v>
      </c>
      <c r="G16" s="163" t="s">
        <v>218</v>
      </c>
      <c r="H16" s="163" t="s">
        <v>218</v>
      </c>
      <c r="I16" s="163" t="s">
        <v>218</v>
      </c>
      <c r="J16" s="169" t="s">
        <v>8</v>
      </c>
      <c r="K16" s="169" t="s">
        <v>8</v>
      </c>
    </row>
    <row r="17" spans="2:11" s="158" customFormat="1">
      <c r="B17" s="158" t="s">
        <v>222</v>
      </c>
      <c r="C17" s="172" t="s">
        <v>11</v>
      </c>
      <c r="D17" s="170">
        <v>0.86</v>
      </c>
      <c r="E17" s="164">
        <v>0.85</v>
      </c>
      <c r="F17" s="603">
        <v>0.91</v>
      </c>
      <c r="G17" s="603">
        <v>0.92</v>
      </c>
      <c r="H17" s="603">
        <v>0.92</v>
      </c>
      <c r="I17" s="603">
        <v>0.89</v>
      </c>
      <c r="J17" s="603">
        <v>0.83</v>
      </c>
      <c r="K17" s="603">
        <v>0.8</v>
      </c>
    </row>
    <row r="18" spans="2:11" s="158" customFormat="1">
      <c r="B18" s="158" t="s">
        <v>535</v>
      </c>
      <c r="C18" s="172" t="s">
        <v>11</v>
      </c>
      <c r="D18" s="170"/>
      <c r="E18" s="164"/>
      <c r="F18" s="170" t="s">
        <v>235</v>
      </c>
      <c r="G18" s="170" t="s">
        <v>235</v>
      </c>
      <c r="H18" s="170" t="s">
        <v>235</v>
      </c>
      <c r="I18" s="170" t="s">
        <v>235</v>
      </c>
      <c r="J18" s="170" t="s">
        <v>235</v>
      </c>
      <c r="K18" s="603">
        <v>0.74</v>
      </c>
    </row>
    <row r="19" spans="2:11" s="158" customFormat="1">
      <c r="B19" s="158" t="s">
        <v>2</v>
      </c>
      <c r="C19" s="172" t="s">
        <v>3</v>
      </c>
      <c r="D19" s="170">
        <v>300</v>
      </c>
      <c r="E19" s="164">
        <v>400</v>
      </c>
      <c r="F19" s="170">
        <v>325</v>
      </c>
      <c r="G19" s="164">
        <v>400</v>
      </c>
      <c r="H19" s="164">
        <v>600</v>
      </c>
      <c r="I19" s="164">
        <v>280</v>
      </c>
      <c r="J19" s="170">
        <v>150</v>
      </c>
      <c r="K19" s="170">
        <v>300</v>
      </c>
    </row>
    <row r="20" spans="2:11" s="158" customFormat="1">
      <c r="B20" s="158" t="s">
        <v>280</v>
      </c>
      <c r="C20" s="172" t="s">
        <v>4</v>
      </c>
      <c r="D20" s="170">
        <v>92</v>
      </c>
      <c r="E20" s="164">
        <v>142</v>
      </c>
      <c r="F20" s="170">
        <v>145</v>
      </c>
      <c r="G20" s="164">
        <v>193</v>
      </c>
      <c r="H20" s="164">
        <v>288</v>
      </c>
      <c r="I20" s="164">
        <v>138</v>
      </c>
      <c r="J20" s="170">
        <v>64</v>
      </c>
      <c r="K20" s="170">
        <v>150</v>
      </c>
    </row>
    <row r="21" spans="2:11" s="158" customFormat="1">
      <c r="B21" s="158" t="s">
        <v>223</v>
      </c>
      <c r="C21" s="172" t="s">
        <v>5</v>
      </c>
      <c r="D21" s="170">
        <v>44</v>
      </c>
      <c r="E21" s="164">
        <v>48</v>
      </c>
      <c r="F21" s="170">
        <v>41</v>
      </c>
      <c r="G21" s="164">
        <v>50</v>
      </c>
      <c r="H21" s="164">
        <v>49</v>
      </c>
      <c r="I21" s="164">
        <v>44</v>
      </c>
      <c r="J21" s="170">
        <v>38</v>
      </c>
      <c r="K21" s="170">
        <v>39</v>
      </c>
    </row>
    <row r="22" spans="2:11" s="158" customFormat="1">
      <c r="B22" s="158" t="s">
        <v>224</v>
      </c>
      <c r="C22" s="172" t="s">
        <v>225</v>
      </c>
      <c r="D22" s="170">
        <v>0.21</v>
      </c>
      <c r="E22" s="164">
        <v>0.24</v>
      </c>
      <c r="F22" s="170">
        <v>0.15</v>
      </c>
      <c r="G22" s="164">
        <v>0.17</v>
      </c>
      <c r="H22" s="164">
        <v>0.25</v>
      </c>
      <c r="I22" s="164">
        <v>0.32</v>
      </c>
      <c r="J22" s="170">
        <v>0.33</v>
      </c>
      <c r="K22" s="170">
        <v>0.19</v>
      </c>
    </row>
    <row r="23" spans="2:11">
      <c r="B23" s="1" t="s">
        <v>9</v>
      </c>
      <c r="C23" s="148" t="s">
        <v>11</v>
      </c>
      <c r="D23" s="168">
        <v>0.8</v>
      </c>
      <c r="E23" s="162">
        <v>0.4</v>
      </c>
      <c r="F23" s="168">
        <v>2.85</v>
      </c>
      <c r="G23" s="162">
        <v>2.85</v>
      </c>
      <c r="H23" s="162"/>
      <c r="I23" s="162">
        <v>0.54</v>
      </c>
      <c r="J23" s="168">
        <v>0.9</v>
      </c>
      <c r="K23" s="168">
        <v>0.9</v>
      </c>
    </row>
    <row r="24" spans="2:11" s="156" customFormat="1">
      <c r="B24" s="156" t="s">
        <v>10</v>
      </c>
      <c r="C24" s="171" t="s">
        <v>11</v>
      </c>
      <c r="D24" s="169">
        <v>2.1</v>
      </c>
      <c r="E24" s="163">
        <v>1.3</v>
      </c>
      <c r="F24" s="169">
        <v>2.85</v>
      </c>
      <c r="G24" s="163">
        <v>2.85</v>
      </c>
      <c r="H24" s="163"/>
      <c r="I24" s="163">
        <v>0.99</v>
      </c>
      <c r="J24" s="169">
        <v>2.2999999999999998</v>
      </c>
      <c r="K24" s="169">
        <v>1.3</v>
      </c>
    </row>
    <row r="25" spans="2:11">
      <c r="B25" s="154" t="s">
        <v>213</v>
      </c>
      <c r="D25" s="168"/>
      <c r="E25" s="162"/>
      <c r="F25" s="168"/>
      <c r="G25" s="162"/>
      <c r="H25" s="162"/>
      <c r="I25" s="162"/>
      <c r="J25" s="168"/>
      <c r="K25" s="168"/>
    </row>
    <row r="26" spans="2:11">
      <c r="B26" s="153" t="s">
        <v>216</v>
      </c>
      <c r="C26" s="148" t="s">
        <v>215</v>
      </c>
      <c r="D26" s="168">
        <v>282</v>
      </c>
      <c r="E26" s="162">
        <v>316</v>
      </c>
      <c r="F26" s="168">
        <v>215</v>
      </c>
      <c r="G26" s="162">
        <v>237</v>
      </c>
      <c r="H26" s="162"/>
      <c r="I26" s="162">
        <v>407</v>
      </c>
      <c r="J26" s="168">
        <v>418</v>
      </c>
      <c r="K26" s="168">
        <v>260</v>
      </c>
    </row>
    <row r="27" spans="2:11">
      <c r="B27" s="153" t="s">
        <v>217</v>
      </c>
      <c r="C27" s="148" t="s">
        <v>215</v>
      </c>
      <c r="D27" s="168">
        <v>235</v>
      </c>
      <c r="E27" s="162">
        <v>262</v>
      </c>
      <c r="F27" s="168">
        <v>181</v>
      </c>
      <c r="G27" s="162">
        <v>199</v>
      </c>
      <c r="H27" s="162"/>
      <c r="I27" s="162">
        <v>335</v>
      </c>
      <c r="J27" s="168">
        <v>344</v>
      </c>
      <c r="K27" s="168">
        <v>218</v>
      </c>
    </row>
    <row r="28" spans="2:11" s="156" customFormat="1">
      <c r="B28" s="157" t="s">
        <v>219</v>
      </c>
      <c r="C28" s="171" t="s">
        <v>215</v>
      </c>
      <c r="D28" s="169">
        <v>156</v>
      </c>
      <c r="E28" s="163">
        <v>172</v>
      </c>
      <c r="F28" s="169">
        <v>124</v>
      </c>
      <c r="G28" s="163">
        <v>135</v>
      </c>
      <c r="H28" s="163"/>
      <c r="I28" s="163">
        <v>214</v>
      </c>
      <c r="J28" s="169">
        <v>220</v>
      </c>
      <c r="K28" s="169">
        <v>105</v>
      </c>
    </row>
    <row r="29" spans="2:11">
      <c r="B29" s="154" t="s">
        <v>214</v>
      </c>
      <c r="D29" s="168"/>
      <c r="E29" s="162"/>
      <c r="F29" s="168"/>
      <c r="G29" s="162"/>
      <c r="H29" s="162"/>
      <c r="I29" s="162"/>
      <c r="J29" s="168"/>
      <c r="K29" s="168"/>
    </row>
    <row r="30" spans="2:11">
      <c r="B30" s="153" t="s">
        <v>216</v>
      </c>
      <c r="C30" s="148" t="s">
        <v>215</v>
      </c>
      <c r="D30" s="168">
        <v>819</v>
      </c>
      <c r="E30" s="162">
        <v>853</v>
      </c>
      <c r="F30" s="168">
        <v>752</v>
      </c>
      <c r="G30" s="162">
        <v>774</v>
      </c>
      <c r="H30" s="162"/>
      <c r="I30" s="162">
        <v>944</v>
      </c>
      <c r="J30" s="168">
        <v>955</v>
      </c>
      <c r="K30" s="168">
        <v>797</v>
      </c>
    </row>
    <row r="31" spans="2:11">
      <c r="B31" s="153" t="s">
        <v>217</v>
      </c>
      <c r="C31" s="148" t="s">
        <v>215</v>
      </c>
      <c r="D31" s="168">
        <v>772</v>
      </c>
      <c r="E31" s="162">
        <v>799</v>
      </c>
      <c r="F31" s="168">
        <v>718</v>
      </c>
      <c r="G31" s="162">
        <v>736</v>
      </c>
      <c r="H31" s="162"/>
      <c r="I31" s="162">
        <v>872</v>
      </c>
      <c r="J31" s="168">
        <v>881</v>
      </c>
      <c r="K31" s="168">
        <v>754</v>
      </c>
    </row>
    <row r="32" spans="2:11" s="156" customFormat="1">
      <c r="B32" s="157" t="s">
        <v>219</v>
      </c>
      <c r="C32" s="171" t="s">
        <v>215</v>
      </c>
      <c r="D32" s="169">
        <v>693</v>
      </c>
      <c r="E32" s="163">
        <v>709</v>
      </c>
      <c r="F32" s="169">
        <v>661</v>
      </c>
      <c r="G32" s="163">
        <v>672</v>
      </c>
      <c r="H32" s="163"/>
      <c r="I32" s="163">
        <v>751</v>
      </c>
      <c r="J32" s="169">
        <v>757</v>
      </c>
      <c r="K32" s="169">
        <v>683</v>
      </c>
    </row>
    <row r="33" spans="2:11">
      <c r="B33" s="154" t="s">
        <v>6</v>
      </c>
      <c r="D33" s="168"/>
      <c r="E33" s="162"/>
      <c r="F33" s="168"/>
      <c r="G33" s="162"/>
      <c r="H33" s="162"/>
      <c r="I33" s="162"/>
      <c r="J33" s="168"/>
      <c r="K33" s="168"/>
    </row>
    <row r="34" spans="2:11">
      <c r="B34" s="153" t="s">
        <v>216</v>
      </c>
      <c r="C34" s="148" t="s">
        <v>215</v>
      </c>
      <c r="D34" s="168">
        <v>4477</v>
      </c>
      <c r="E34" s="162">
        <v>4447</v>
      </c>
      <c r="F34" s="168">
        <v>4628</v>
      </c>
      <c r="G34" s="162">
        <v>4658</v>
      </c>
      <c r="H34" s="162"/>
      <c r="I34" s="162">
        <v>4562</v>
      </c>
      <c r="J34" s="168">
        <v>4386</v>
      </c>
      <c r="K34" s="168">
        <v>4295</v>
      </c>
    </row>
    <row r="35" spans="2:11">
      <c r="B35" s="153" t="s">
        <v>217</v>
      </c>
      <c r="C35" s="148" t="s">
        <v>215</v>
      </c>
      <c r="D35" s="168">
        <v>4521</v>
      </c>
      <c r="E35" s="162">
        <v>4494</v>
      </c>
      <c r="F35" s="168">
        <v>4657</v>
      </c>
      <c r="G35" s="162">
        <v>4684</v>
      </c>
      <c r="H35" s="162"/>
      <c r="I35" s="162">
        <v>4597</v>
      </c>
      <c r="J35" s="168">
        <v>4440</v>
      </c>
      <c r="K35" s="168">
        <v>4359</v>
      </c>
    </row>
    <row r="36" spans="2:11" s="156" customFormat="1">
      <c r="B36" s="157" t="s">
        <v>219</v>
      </c>
      <c r="C36" s="171" t="s">
        <v>215</v>
      </c>
      <c r="D36" s="169">
        <v>4611</v>
      </c>
      <c r="E36" s="163">
        <v>4590</v>
      </c>
      <c r="F36" s="169">
        <v>4714</v>
      </c>
      <c r="G36" s="163">
        <v>4735</v>
      </c>
      <c r="H36" s="163"/>
      <c r="I36" s="163">
        <v>4669</v>
      </c>
      <c r="J36" s="169">
        <v>4548</v>
      </c>
      <c r="K36" s="169">
        <v>4486</v>
      </c>
    </row>
    <row r="37" spans="2:11">
      <c r="B37" s="154" t="s">
        <v>7</v>
      </c>
      <c r="D37" s="168"/>
      <c r="E37" s="162"/>
      <c r="F37" s="168"/>
      <c r="G37" s="162"/>
      <c r="H37" s="162"/>
      <c r="I37" s="162"/>
      <c r="J37" s="168"/>
      <c r="K37" s="168"/>
    </row>
    <row r="38" spans="2:11">
      <c r="B38" s="153" t="s">
        <v>216</v>
      </c>
      <c r="C38" s="148" t="s">
        <v>215</v>
      </c>
      <c r="D38" s="168">
        <v>8758</v>
      </c>
      <c r="E38" s="162">
        <v>8699</v>
      </c>
      <c r="F38" s="168">
        <v>9054</v>
      </c>
      <c r="G38" s="162">
        <v>9133</v>
      </c>
      <c r="H38" s="162"/>
      <c r="I38" s="162">
        <v>8924</v>
      </c>
      <c r="J38" s="168">
        <v>8580</v>
      </c>
      <c r="K38" s="168">
        <v>8403</v>
      </c>
    </row>
    <row r="39" spans="2:11">
      <c r="B39" s="153" t="s">
        <v>217</v>
      </c>
      <c r="C39" s="148" t="s">
        <v>215</v>
      </c>
      <c r="D39" s="168">
        <v>8845</v>
      </c>
      <c r="E39" s="162">
        <v>8792</v>
      </c>
      <c r="F39" s="168">
        <v>9110</v>
      </c>
      <c r="G39" s="162">
        <v>9163</v>
      </c>
      <c r="H39" s="162"/>
      <c r="I39" s="162">
        <v>8993</v>
      </c>
      <c r="J39" s="168">
        <v>8686</v>
      </c>
      <c r="K39" s="168">
        <v>8527</v>
      </c>
    </row>
    <row r="40" spans="2:11" s="156" customFormat="1">
      <c r="B40" s="157" t="s">
        <v>219</v>
      </c>
      <c r="C40" s="171" t="s">
        <v>215</v>
      </c>
      <c r="D40" s="169">
        <v>9019</v>
      </c>
      <c r="E40" s="163">
        <v>8979</v>
      </c>
      <c r="F40" s="169">
        <v>9222</v>
      </c>
      <c r="G40" s="163">
        <v>9263</v>
      </c>
      <c r="H40" s="163"/>
      <c r="I40" s="163">
        <v>9133</v>
      </c>
      <c r="J40" s="169">
        <v>8898</v>
      </c>
      <c r="K40" s="169">
        <v>8776</v>
      </c>
    </row>
    <row r="41" spans="2:11">
      <c r="B41" s="155" t="s">
        <v>226</v>
      </c>
      <c r="D41" s="168"/>
      <c r="E41" s="161"/>
      <c r="F41" s="168"/>
      <c r="G41" s="161"/>
      <c r="H41" s="161"/>
      <c r="I41" s="162"/>
      <c r="J41" s="168"/>
      <c r="K41" s="168"/>
    </row>
    <row r="42" spans="2:11">
      <c r="B42" s="1" t="s">
        <v>227</v>
      </c>
      <c r="D42" s="168" t="s">
        <v>228</v>
      </c>
      <c r="E42" s="162" t="s">
        <v>228</v>
      </c>
      <c r="F42" s="168" t="s">
        <v>228</v>
      </c>
      <c r="G42" s="162" t="s">
        <v>228</v>
      </c>
      <c r="H42" s="162" t="s">
        <v>228</v>
      </c>
      <c r="I42" s="162" t="s">
        <v>228</v>
      </c>
      <c r="J42" s="168" t="s">
        <v>228</v>
      </c>
      <c r="K42" s="168" t="s">
        <v>531</v>
      </c>
    </row>
    <row r="43" spans="2:11">
      <c r="B43" s="1" t="s">
        <v>14</v>
      </c>
      <c r="D43" s="168" t="s">
        <v>228</v>
      </c>
      <c r="E43" s="162" t="s">
        <v>228</v>
      </c>
      <c r="F43" s="168" t="s">
        <v>228</v>
      </c>
      <c r="G43" s="162" t="s">
        <v>228</v>
      </c>
      <c r="H43" s="162" t="s">
        <v>228</v>
      </c>
      <c r="I43" s="162" t="s">
        <v>228</v>
      </c>
      <c r="J43" s="168" t="s">
        <v>228</v>
      </c>
      <c r="K43" s="168" t="s">
        <v>532</v>
      </c>
    </row>
    <row r="44" spans="2:11">
      <c r="B44" s="1" t="s">
        <v>231</v>
      </c>
      <c r="D44" s="168" t="s">
        <v>230</v>
      </c>
      <c r="E44" s="162" t="s">
        <v>230</v>
      </c>
      <c r="F44" s="168" t="s">
        <v>230</v>
      </c>
      <c r="G44" s="162" t="s">
        <v>230</v>
      </c>
      <c r="H44" s="162" t="s">
        <v>230</v>
      </c>
      <c r="I44" s="162" t="s">
        <v>230</v>
      </c>
      <c r="J44" s="168" t="s">
        <v>230</v>
      </c>
      <c r="K44" s="168" t="s">
        <v>458</v>
      </c>
    </row>
    <row r="45" spans="2:11" s="257" customFormat="1">
      <c r="B45" s="257" t="s">
        <v>232</v>
      </c>
      <c r="C45" s="258"/>
      <c r="D45" s="259" t="s">
        <v>233</v>
      </c>
      <c r="E45" s="260" t="s">
        <v>233</v>
      </c>
      <c r="F45" s="254" t="s">
        <v>233</v>
      </c>
      <c r="G45" s="255" t="s">
        <v>233</v>
      </c>
      <c r="H45" s="255" t="s">
        <v>233</v>
      </c>
      <c r="I45" s="256" t="s">
        <v>235</v>
      </c>
      <c r="J45" s="254" t="s">
        <v>233</v>
      </c>
      <c r="K45" s="254" t="s">
        <v>533</v>
      </c>
    </row>
    <row r="46" spans="2:11" ht="12.75" customHeight="1">
      <c r="B46" s="1" t="s">
        <v>234</v>
      </c>
      <c r="D46" s="168" t="s">
        <v>228</v>
      </c>
      <c r="E46" s="162" t="s">
        <v>228</v>
      </c>
      <c r="F46" s="168" t="s">
        <v>228</v>
      </c>
      <c r="G46" s="162" t="s">
        <v>228</v>
      </c>
      <c r="H46" s="162" t="s">
        <v>228</v>
      </c>
      <c r="I46" s="162" t="s">
        <v>228</v>
      </c>
      <c r="J46" s="168" t="s">
        <v>228</v>
      </c>
      <c r="K46" s="168" t="s">
        <v>534</v>
      </c>
    </row>
    <row r="47" spans="2:11" ht="12.75" customHeight="1">
      <c r="B47" s="1" t="s">
        <v>229</v>
      </c>
      <c r="C47" s="173"/>
      <c r="D47" s="168" t="s">
        <v>230</v>
      </c>
      <c r="E47" s="162" t="s">
        <v>230</v>
      </c>
      <c r="F47" s="168" t="s">
        <v>230</v>
      </c>
      <c r="G47" s="162" t="s">
        <v>230</v>
      </c>
      <c r="H47" s="162" t="s">
        <v>230</v>
      </c>
      <c r="I47" s="162" t="s">
        <v>230</v>
      </c>
      <c r="J47" s="168" t="s">
        <v>230</v>
      </c>
      <c r="K47" s="168" t="s">
        <v>230</v>
      </c>
    </row>
    <row r="48" spans="2:11" s="226" customFormat="1" ht="12.75" customHeight="1">
      <c r="B48" s="227" t="s">
        <v>254</v>
      </c>
      <c r="C48" s="228"/>
      <c r="D48" s="229"/>
      <c r="E48" s="230"/>
      <c r="F48" s="229"/>
      <c r="G48" s="230"/>
      <c r="H48" s="230"/>
      <c r="I48" s="231"/>
      <c r="J48" s="229"/>
      <c r="K48" s="229"/>
    </row>
    <row r="49" spans="2:11" ht="12.75" customHeight="1">
      <c r="B49" s="1" t="s">
        <v>255</v>
      </c>
      <c r="C49" s="148" t="s">
        <v>258</v>
      </c>
      <c r="D49" s="168">
        <v>677</v>
      </c>
      <c r="E49" s="168">
        <v>677</v>
      </c>
      <c r="F49" s="168">
        <v>750</v>
      </c>
      <c r="G49" s="168">
        <v>750</v>
      </c>
      <c r="H49" s="168">
        <v>850</v>
      </c>
      <c r="I49" s="162">
        <v>400</v>
      </c>
      <c r="J49" s="168"/>
      <c r="K49" s="168">
        <v>808</v>
      </c>
    </row>
    <row r="50" spans="2:11" ht="12.75" customHeight="1">
      <c r="B50" s="1" t="s">
        <v>143</v>
      </c>
      <c r="C50" s="148" t="s">
        <v>258</v>
      </c>
      <c r="D50" s="168">
        <v>843</v>
      </c>
      <c r="E50" s="168">
        <v>843</v>
      </c>
      <c r="F50" s="168">
        <v>650</v>
      </c>
      <c r="G50" s="168">
        <v>650</v>
      </c>
      <c r="H50" s="168">
        <v>800</v>
      </c>
      <c r="I50" s="162">
        <v>1486</v>
      </c>
      <c r="J50" s="168"/>
      <c r="K50" s="168">
        <v>248</v>
      </c>
    </row>
    <row r="51" spans="2:11" ht="12.75" customHeight="1">
      <c r="B51" s="1" t="s">
        <v>256</v>
      </c>
      <c r="C51" s="148" t="s">
        <v>258</v>
      </c>
      <c r="D51" s="168">
        <v>540</v>
      </c>
      <c r="E51" s="168">
        <v>540</v>
      </c>
      <c r="F51" s="168">
        <v>560</v>
      </c>
      <c r="G51" s="168">
        <v>560</v>
      </c>
      <c r="H51" s="168">
        <v>660</v>
      </c>
      <c r="I51" s="162">
        <v>680</v>
      </c>
      <c r="J51" s="168"/>
      <c r="K51" s="168">
        <v>1254</v>
      </c>
    </row>
    <row r="52" spans="2:11" s="156" customFormat="1" ht="12.75" customHeight="1">
      <c r="B52" s="156" t="s">
        <v>257</v>
      </c>
      <c r="C52" s="171" t="s">
        <v>259</v>
      </c>
      <c r="D52" s="169">
        <v>39</v>
      </c>
      <c r="E52" s="169">
        <v>39</v>
      </c>
      <c r="F52" s="169">
        <v>41</v>
      </c>
      <c r="G52" s="169">
        <v>42.5</v>
      </c>
      <c r="H52" s="169">
        <v>53</v>
      </c>
      <c r="I52" s="163">
        <v>80</v>
      </c>
      <c r="J52" s="169"/>
      <c r="K52" s="169">
        <v>51</v>
      </c>
    </row>
    <row r="53" spans="2:11" ht="12.75" customHeight="1">
      <c r="B53" s="154" t="s">
        <v>281</v>
      </c>
      <c r="C53" s="148" t="s">
        <v>11</v>
      </c>
      <c r="D53" s="175"/>
      <c r="E53" s="175"/>
      <c r="F53" s="162" t="s">
        <v>282</v>
      </c>
      <c r="G53" s="162" t="s">
        <v>283</v>
      </c>
      <c r="H53" s="162" t="s">
        <v>283</v>
      </c>
      <c r="I53" s="162"/>
      <c r="J53" s="162"/>
      <c r="K53" s="229"/>
    </row>
    <row r="54" spans="2:11" ht="12.75" customHeight="1">
      <c r="D54" s="232"/>
      <c r="E54" s="232"/>
      <c r="F54" s="232"/>
      <c r="G54" s="232"/>
      <c r="H54" s="232"/>
      <c r="I54" s="232"/>
      <c r="J54" s="232"/>
      <c r="K54" s="232"/>
    </row>
    <row r="55" spans="2:11">
      <c r="D55" s="175"/>
      <c r="E55" s="175"/>
      <c r="F55" s="175"/>
      <c r="G55" s="175"/>
      <c r="H55" s="175"/>
    </row>
    <row r="56" spans="2:11">
      <c r="D56" s="232"/>
      <c r="E56" s="232"/>
      <c r="F56" s="232"/>
      <c r="G56" s="232"/>
      <c r="H56" s="232"/>
      <c r="I56" s="232"/>
      <c r="J56" s="232"/>
      <c r="K56" s="232"/>
    </row>
    <row r="57" spans="2:11" ht="14.4">
      <c r="C57" s="173"/>
      <c r="D57" s="175"/>
      <c r="E57" s="175"/>
      <c r="F57" s="175"/>
      <c r="G57" s="175"/>
      <c r="H57" s="175"/>
    </row>
    <row r="58" spans="2:11" ht="14.4">
      <c r="C58" s="137"/>
      <c r="D58" s="232"/>
      <c r="E58" s="232"/>
      <c r="F58" s="232"/>
      <c r="G58" s="232"/>
      <c r="H58" s="232"/>
      <c r="I58" s="232"/>
      <c r="J58" s="232"/>
      <c r="K58" s="232"/>
    </row>
  </sheetData>
  <sheetProtection algorithmName="SHA-512" hashValue="4S6HPnHqkZ6+LHtg44MAK0/vyKzJ4nPgnpdaJhgJlexA0QMl/tNQwhCo6kXhpI5KL4xxhdwnxnHB2R9cyLZupw==" saltValue="VkhqbFHyb3CWjuGe/eU73w==" spinCount="100000" sheet="1" objects="1" scenarios="1"/>
  <customSheetViews>
    <customSheetView guid="{5F1CD432-8628-43E5-87A3-F90570D5BEB1}" scale="85" showGridLines="0">
      <selection activeCell="G30" sqref="G30"/>
      <pageMargins left="0.7" right="0.7" top="0.75" bottom="0.75" header="0.3" footer="0.3"/>
      <pageSetup paperSize="9" orientation="portrait" r:id="rId1"/>
    </customSheetView>
  </customSheetViews>
  <pageMargins left="0.7" right="0.7" top="0.75" bottom="0.75" header="0.3" footer="0.3"/>
  <pageSetup paperSize="9"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28B0C-BCD5-476E-82F1-D72AC6DB6458}">
  <sheetPr codeName="Arkusz13">
    <tabColor rgb="FFFFFF00"/>
  </sheetPr>
  <dimension ref="A1:ER207"/>
  <sheetViews>
    <sheetView workbookViewId="0">
      <selection activeCell="C11" sqref="C11:J12"/>
    </sheetView>
  </sheetViews>
  <sheetFormatPr defaultRowHeight="14.4"/>
  <cols>
    <col min="1" max="1" width="0.6640625" customWidth="1"/>
    <col min="19" max="19" width="10.109375" customWidth="1"/>
    <col min="20" max="20" width="6.88671875" customWidth="1"/>
    <col min="21" max="21" width="0.6640625" customWidth="1"/>
    <col min="22" max="148" width="8.88671875" style="13"/>
  </cols>
  <sheetData>
    <row r="1" spans="1:148" ht="4.2" customHeight="1">
      <c r="A1" s="261"/>
      <c r="B1" s="261"/>
      <c r="C1" s="261"/>
      <c r="D1" s="261"/>
      <c r="E1" s="261"/>
      <c r="F1" s="261"/>
      <c r="G1" s="261"/>
      <c r="H1" s="261"/>
      <c r="I1" s="261"/>
      <c r="J1" s="261"/>
      <c r="K1" s="261"/>
      <c r="L1" s="261"/>
      <c r="M1" s="261"/>
      <c r="N1" s="261"/>
      <c r="O1" s="261"/>
      <c r="P1" s="261"/>
      <c r="Q1" s="261"/>
      <c r="R1" s="261"/>
      <c r="S1" s="261"/>
      <c r="T1" s="261"/>
      <c r="U1" s="261"/>
    </row>
    <row r="2" spans="1:148">
      <c r="A2" s="261"/>
      <c r="B2" s="267"/>
      <c r="C2" s="267"/>
      <c r="D2" s="267"/>
      <c r="E2" s="267"/>
      <c r="F2" s="267"/>
      <c r="G2" s="267"/>
      <c r="H2" s="267"/>
      <c r="I2" s="267"/>
      <c r="J2" s="267"/>
      <c r="K2" s="267"/>
      <c r="L2" s="267"/>
      <c r="M2" s="267"/>
      <c r="N2" s="267"/>
      <c r="O2" s="267"/>
      <c r="P2" s="262"/>
      <c r="Q2" s="268"/>
      <c r="R2" s="267"/>
      <c r="S2" s="267"/>
      <c r="T2" s="262"/>
      <c r="U2" s="261"/>
    </row>
    <row r="3" spans="1:148">
      <c r="A3" s="261"/>
      <c r="B3" s="267"/>
      <c r="C3" s="267"/>
      <c r="D3" s="267"/>
      <c r="E3" s="267"/>
      <c r="F3" s="267"/>
      <c r="G3" s="267"/>
      <c r="H3" s="267"/>
      <c r="I3" s="267"/>
      <c r="J3" s="267"/>
      <c r="K3" s="267"/>
      <c r="L3" s="267"/>
      <c r="M3" s="720" t="s">
        <v>294</v>
      </c>
      <c r="N3" s="729">
        <f ca="1">TODAY()</f>
        <v>45546</v>
      </c>
      <c r="O3" s="729"/>
      <c r="P3" s="13"/>
      <c r="Q3" s="13"/>
      <c r="R3" s="722" t="str">
        <f>Dane!S3</f>
        <v>wersja 17/09/2024</v>
      </c>
      <c r="S3" s="722"/>
      <c r="T3" s="262"/>
      <c r="U3" s="261"/>
    </row>
    <row r="4" spans="1:148">
      <c r="A4" s="261"/>
      <c r="B4" s="267"/>
      <c r="C4" s="267"/>
      <c r="D4" s="267"/>
      <c r="E4" s="267"/>
      <c r="F4" s="267"/>
      <c r="G4" s="267"/>
      <c r="H4" s="267"/>
      <c r="I4" s="267"/>
      <c r="J4" s="267"/>
      <c r="K4" s="267"/>
      <c r="L4" s="267"/>
      <c r="M4" s="720"/>
      <c r="N4" s="729"/>
      <c r="O4" s="729"/>
      <c r="P4" s="13"/>
      <c r="Q4" s="13"/>
      <c r="R4" s="722"/>
      <c r="S4" s="722"/>
      <c r="T4" s="262"/>
      <c r="U4" s="261"/>
    </row>
    <row r="5" spans="1:148">
      <c r="A5" s="261"/>
      <c r="B5" s="262"/>
      <c r="C5" s="262"/>
      <c r="D5" s="262"/>
      <c r="E5" s="262"/>
      <c r="F5" s="262"/>
      <c r="G5" s="262"/>
      <c r="H5" s="262"/>
      <c r="I5" s="262"/>
      <c r="J5" s="262"/>
      <c r="K5" s="262"/>
      <c r="L5" s="262"/>
      <c r="M5" s="262"/>
      <c r="N5" s="262"/>
      <c r="O5" s="262"/>
      <c r="P5" s="262"/>
      <c r="Q5" s="262"/>
      <c r="R5" s="262"/>
      <c r="S5" s="262"/>
      <c r="T5" s="262"/>
      <c r="U5" s="261"/>
    </row>
    <row r="6" spans="1:148">
      <c r="A6" s="261"/>
      <c r="B6" s="263"/>
      <c r="C6" s="263"/>
      <c r="D6" s="263"/>
      <c r="E6" s="263"/>
      <c r="F6" s="263"/>
      <c r="G6" s="263"/>
      <c r="H6" s="263"/>
      <c r="I6" s="263"/>
      <c r="J6" s="263"/>
      <c r="K6" s="263"/>
      <c r="L6" s="263"/>
      <c r="M6" s="263"/>
      <c r="N6" s="263"/>
      <c r="O6" s="263"/>
      <c r="P6" s="263"/>
      <c r="Q6" s="263"/>
      <c r="R6" s="263"/>
      <c r="S6" s="263"/>
      <c r="T6" s="263"/>
      <c r="U6" s="261"/>
    </row>
    <row r="7" spans="1:148">
      <c r="A7" s="261"/>
      <c r="B7" s="263"/>
      <c r="C7" s="263"/>
      <c r="D7" s="263"/>
      <c r="E7" s="263"/>
      <c r="F7" s="263"/>
      <c r="G7" s="263"/>
      <c r="H7" s="263"/>
      <c r="I7" s="263"/>
      <c r="J7" s="263"/>
      <c r="K7" s="263"/>
      <c r="L7" s="263"/>
      <c r="M7" s="263"/>
      <c r="N7" s="263"/>
      <c r="O7" s="263"/>
      <c r="P7" s="263"/>
      <c r="Q7" s="263"/>
      <c r="R7" s="263"/>
      <c r="S7" s="263"/>
      <c r="T7" s="263"/>
      <c r="U7" s="261"/>
    </row>
    <row r="8" spans="1:148" ht="14.4" customHeight="1">
      <c r="A8" s="261"/>
      <c r="B8" s="263"/>
      <c r="C8" s="723" t="s">
        <v>328</v>
      </c>
      <c r="D8" s="723"/>
      <c r="E8" s="723"/>
      <c r="F8" s="723"/>
      <c r="G8" s="723"/>
      <c r="H8" s="723"/>
      <c r="I8" s="723"/>
      <c r="J8" s="723"/>
      <c r="K8" s="723"/>
      <c r="L8" s="723"/>
      <c r="M8" s="723"/>
      <c r="N8" s="723"/>
      <c r="O8" s="723"/>
      <c r="P8" s="263"/>
      <c r="Q8" s="263"/>
      <c r="R8" s="263"/>
      <c r="S8" s="263"/>
      <c r="T8" s="263"/>
      <c r="U8" s="261"/>
    </row>
    <row r="9" spans="1:148" ht="14.4" customHeight="1">
      <c r="A9" s="261"/>
      <c r="B9" s="263"/>
      <c r="C9" s="723"/>
      <c r="D9" s="723"/>
      <c r="E9" s="723"/>
      <c r="F9" s="723"/>
      <c r="G9" s="723"/>
      <c r="H9" s="723"/>
      <c r="I9" s="723"/>
      <c r="J9" s="723"/>
      <c r="K9" s="723"/>
      <c r="L9" s="723"/>
      <c r="M9" s="723"/>
      <c r="N9" s="723"/>
      <c r="O9" s="723"/>
      <c r="P9" s="263"/>
      <c r="Q9" s="263"/>
      <c r="R9" s="263"/>
      <c r="S9" s="263"/>
      <c r="T9" s="263"/>
      <c r="U9" s="261"/>
    </row>
    <row r="10" spans="1:148">
      <c r="A10" s="261"/>
      <c r="B10" s="263"/>
      <c r="C10" s="263"/>
      <c r="D10" s="263"/>
      <c r="E10" s="263"/>
      <c r="F10" s="263"/>
      <c r="G10" s="263"/>
      <c r="H10" s="263"/>
      <c r="I10" s="263"/>
      <c r="J10" s="263"/>
      <c r="K10" s="263"/>
      <c r="L10" s="263"/>
      <c r="M10" s="263"/>
      <c r="N10" s="263"/>
      <c r="O10" s="263"/>
      <c r="P10" s="263"/>
      <c r="Q10" s="263"/>
      <c r="R10" s="263"/>
      <c r="S10" s="263"/>
      <c r="T10" s="263"/>
      <c r="U10" s="261"/>
    </row>
    <row r="11" spans="1:148">
      <c r="A11" s="261"/>
      <c r="B11" s="263"/>
      <c r="C11" s="724" t="s">
        <v>537</v>
      </c>
      <c r="D11" s="724"/>
      <c r="E11" s="724"/>
      <c r="F11" s="724"/>
      <c r="G11" s="724"/>
      <c r="H11" s="724"/>
      <c r="I11" s="724"/>
      <c r="J11" s="724"/>
      <c r="K11" s="263"/>
      <c r="L11" s="263"/>
      <c r="M11" s="263"/>
      <c r="N11" s="263"/>
      <c r="O11" s="263"/>
      <c r="P11" s="263"/>
      <c r="Q11" s="263"/>
      <c r="R11" s="263"/>
      <c r="S11" s="263"/>
      <c r="T11" s="263"/>
      <c r="U11" s="261"/>
    </row>
    <row r="12" spans="1:148">
      <c r="A12" s="261"/>
      <c r="B12" s="263"/>
      <c r="C12" s="725"/>
      <c r="D12" s="725"/>
      <c r="E12" s="725"/>
      <c r="F12" s="725"/>
      <c r="G12" s="725"/>
      <c r="H12" s="725"/>
      <c r="I12" s="725"/>
      <c r="J12" s="725"/>
      <c r="K12" s="263"/>
      <c r="L12" s="263"/>
      <c r="M12" s="263"/>
      <c r="N12" s="263"/>
      <c r="O12" s="263"/>
      <c r="P12" s="263"/>
      <c r="Q12" s="263"/>
      <c r="R12" s="263"/>
      <c r="S12" s="263"/>
      <c r="T12" s="263"/>
      <c r="U12" s="261"/>
    </row>
    <row r="13" spans="1:148">
      <c r="A13" s="261"/>
      <c r="B13" s="263"/>
      <c r="C13" s="263"/>
      <c r="D13" s="263"/>
      <c r="E13" s="263"/>
      <c r="F13" s="263"/>
      <c r="G13" s="263"/>
      <c r="H13" s="263"/>
      <c r="I13" s="263"/>
      <c r="J13" s="263"/>
      <c r="K13" s="263"/>
      <c r="L13" s="263"/>
      <c r="M13" s="263"/>
      <c r="N13" s="263"/>
      <c r="O13" s="263"/>
      <c r="P13" s="263"/>
      <c r="Q13" s="263"/>
      <c r="R13" s="263"/>
      <c r="S13" s="263"/>
      <c r="T13" s="263"/>
      <c r="U13" s="261"/>
    </row>
    <row r="14" spans="1:148">
      <c r="A14" s="261"/>
      <c r="B14" s="263"/>
      <c r="C14" s="263"/>
      <c r="D14" s="263"/>
      <c r="E14" s="263"/>
      <c r="F14" s="263"/>
      <c r="G14" s="263"/>
      <c r="H14" s="263"/>
      <c r="I14" s="263"/>
      <c r="J14" s="263"/>
      <c r="K14" s="263"/>
      <c r="L14" s="263"/>
      <c r="M14" s="263"/>
      <c r="N14" s="263"/>
      <c r="O14" s="263"/>
      <c r="P14" s="263"/>
      <c r="Q14" s="263"/>
      <c r="R14" s="263"/>
      <c r="S14" s="263"/>
      <c r="T14" s="263"/>
      <c r="U14" s="261"/>
    </row>
    <row r="15" spans="1:148" ht="14.4" customHeight="1">
      <c r="A15" s="261"/>
      <c r="B15" s="262"/>
      <c r="C15" s="262"/>
      <c r="D15" s="262"/>
      <c r="E15" s="262"/>
      <c r="F15" s="262"/>
      <c r="G15" s="262"/>
      <c r="H15" s="262"/>
      <c r="I15" s="262"/>
      <c r="J15" s="262"/>
      <c r="K15" s="262"/>
      <c r="L15" s="262"/>
      <c r="M15" s="262"/>
      <c r="N15" s="262"/>
      <c r="O15" s="262"/>
      <c r="P15" s="262"/>
      <c r="Q15" s="262"/>
      <c r="R15" s="262"/>
      <c r="S15" s="262"/>
      <c r="T15" s="262"/>
      <c r="U15" s="261"/>
    </row>
    <row r="16" spans="1:148" s="646" customFormat="1" ht="19.2" customHeight="1">
      <c r="A16" s="637"/>
      <c r="B16" s="638"/>
      <c r="C16" s="829" t="s">
        <v>562</v>
      </c>
      <c r="D16" s="829"/>
      <c r="E16" s="639"/>
      <c r="F16" s="830" t="s">
        <v>563</v>
      </c>
      <c r="G16" s="830"/>
      <c r="H16" s="640"/>
      <c r="I16" s="641"/>
      <c r="J16" s="641"/>
      <c r="K16" s="639"/>
      <c r="L16" s="639"/>
      <c r="M16" s="642"/>
      <c r="N16" s="643"/>
      <c r="O16" s="641"/>
      <c r="P16" s="642"/>
      <c r="Q16" s="644"/>
      <c r="R16" s="829" t="s">
        <v>566</v>
      </c>
      <c r="S16" s="829"/>
      <c r="T16" s="638"/>
      <c r="U16" s="637"/>
      <c r="V16" s="645"/>
      <c r="W16" s="645"/>
      <c r="X16" s="645"/>
      <c r="Y16" s="645"/>
      <c r="Z16" s="645"/>
      <c r="AA16" s="645"/>
      <c r="AB16" s="645"/>
      <c r="AC16" s="645"/>
      <c r="AD16" s="645"/>
      <c r="AE16" s="645"/>
      <c r="AF16" s="645"/>
      <c r="AG16" s="645"/>
      <c r="AH16" s="645"/>
      <c r="AI16" s="645"/>
      <c r="AJ16" s="645"/>
      <c r="AK16" s="645"/>
      <c r="AL16" s="645"/>
      <c r="AM16" s="645"/>
      <c r="AN16" s="645"/>
      <c r="AO16" s="645"/>
      <c r="AP16" s="645"/>
      <c r="AQ16" s="645"/>
      <c r="AR16" s="645"/>
      <c r="AS16" s="645"/>
      <c r="AT16" s="645"/>
      <c r="AU16" s="645"/>
      <c r="AV16" s="645"/>
      <c r="AW16" s="645"/>
      <c r="AX16" s="645"/>
      <c r="AY16" s="645"/>
      <c r="AZ16" s="645"/>
      <c r="BA16" s="645"/>
      <c r="BB16" s="645"/>
      <c r="BC16" s="645"/>
      <c r="BD16" s="645"/>
      <c r="BE16" s="645"/>
      <c r="BF16" s="645"/>
      <c r="BG16" s="645"/>
      <c r="BH16" s="645"/>
      <c r="BI16" s="645"/>
      <c r="BJ16" s="645"/>
      <c r="BK16" s="645"/>
      <c r="BL16" s="645"/>
      <c r="BM16" s="645"/>
      <c r="BN16" s="645"/>
      <c r="BO16" s="645"/>
      <c r="BP16" s="645"/>
      <c r="BQ16" s="645"/>
      <c r="BR16" s="645"/>
      <c r="BS16" s="645"/>
      <c r="BT16" s="645"/>
      <c r="BU16" s="645"/>
      <c r="BV16" s="645"/>
      <c r="BW16" s="645"/>
      <c r="BX16" s="645"/>
      <c r="BY16" s="645"/>
      <c r="BZ16" s="645"/>
      <c r="CA16" s="645"/>
      <c r="CB16" s="645"/>
      <c r="CC16" s="645"/>
      <c r="CD16" s="645"/>
      <c r="CE16" s="645"/>
      <c r="CF16" s="645"/>
      <c r="CG16" s="645"/>
      <c r="CH16" s="645"/>
      <c r="CI16" s="645"/>
      <c r="CJ16" s="645"/>
      <c r="CK16" s="645"/>
      <c r="CL16" s="645"/>
      <c r="CM16" s="645"/>
      <c r="CN16" s="645"/>
      <c r="CO16" s="645"/>
      <c r="CP16" s="645"/>
      <c r="CQ16" s="645"/>
      <c r="CR16" s="645"/>
      <c r="CS16" s="645"/>
      <c r="CT16" s="645"/>
      <c r="CU16" s="645"/>
      <c r="CV16" s="645"/>
      <c r="CW16" s="645"/>
      <c r="CX16" s="645"/>
      <c r="CY16" s="645"/>
      <c r="CZ16" s="645"/>
      <c r="DA16" s="645"/>
      <c r="DB16" s="645"/>
      <c r="DC16" s="645"/>
      <c r="DD16" s="645"/>
      <c r="DE16" s="645"/>
      <c r="DF16" s="645"/>
      <c r="DG16" s="645"/>
      <c r="DH16" s="645"/>
      <c r="DI16" s="645"/>
      <c r="DJ16" s="645"/>
      <c r="DK16" s="645"/>
      <c r="DL16" s="645"/>
      <c r="DM16" s="645"/>
      <c r="DN16" s="645"/>
      <c r="DO16" s="645"/>
      <c r="DP16" s="645"/>
      <c r="DQ16" s="645"/>
      <c r="DR16" s="645"/>
      <c r="DS16" s="645"/>
      <c r="DT16" s="645"/>
      <c r="DU16" s="645"/>
      <c r="DV16" s="645"/>
      <c r="DW16" s="645"/>
      <c r="DX16" s="645"/>
      <c r="DY16" s="645"/>
      <c r="DZ16" s="645"/>
      <c r="EA16" s="645"/>
      <c r="EB16" s="645"/>
      <c r="EC16" s="645"/>
      <c r="ED16" s="645"/>
      <c r="EE16" s="645"/>
      <c r="EF16" s="645"/>
      <c r="EG16" s="645"/>
      <c r="EH16" s="645"/>
      <c r="EI16" s="645"/>
      <c r="EJ16" s="645"/>
      <c r="EK16" s="645"/>
      <c r="EL16" s="645"/>
      <c r="EM16" s="645"/>
      <c r="EN16" s="645"/>
      <c r="EO16" s="645"/>
      <c r="EP16" s="645"/>
      <c r="EQ16" s="645"/>
      <c r="ER16" s="645"/>
    </row>
    <row r="17" spans="1:21" ht="14.4" customHeight="1">
      <c r="A17" s="261"/>
      <c r="B17" s="262"/>
      <c r="C17" s="13"/>
      <c r="D17" s="13"/>
      <c r="E17" s="13"/>
      <c r="F17" s="13"/>
      <c r="G17" s="13"/>
      <c r="H17" s="13"/>
      <c r="I17" s="13"/>
      <c r="J17" s="13"/>
      <c r="K17" s="13"/>
      <c r="L17" s="13"/>
      <c r="M17" s="13"/>
      <c r="N17" s="13"/>
      <c r="O17" s="13"/>
      <c r="P17" s="13"/>
      <c r="Q17" s="13"/>
      <c r="R17" s="13"/>
      <c r="S17" s="13"/>
      <c r="T17" s="262"/>
      <c r="U17" s="261"/>
    </row>
    <row r="18" spans="1:21" ht="14.4" customHeight="1">
      <c r="A18" s="261"/>
      <c r="B18" s="262"/>
      <c r="C18" s="828">
        <v>45552</v>
      </c>
      <c r="D18" s="828"/>
      <c r="E18" s="282"/>
      <c r="F18" s="282" t="s">
        <v>690</v>
      </c>
      <c r="G18" s="282"/>
      <c r="I18" s="281"/>
      <c r="J18" s="281"/>
      <c r="K18" s="282"/>
      <c r="L18" s="282"/>
      <c r="M18" s="269"/>
      <c r="N18" s="270"/>
      <c r="O18" s="271"/>
      <c r="P18" s="269"/>
      <c r="Q18" s="272"/>
      <c r="R18" s="280">
        <f>IF(S18="istotna",1,0.1)</f>
        <v>1</v>
      </c>
      <c r="S18" s="636" t="s">
        <v>565</v>
      </c>
      <c r="T18" s="262"/>
      <c r="U18" s="261"/>
    </row>
    <row r="19" spans="1:21" ht="14.4" customHeight="1">
      <c r="A19" s="261"/>
      <c r="B19" s="262"/>
      <c r="C19" s="283"/>
      <c r="D19" s="283"/>
      <c r="E19" s="283"/>
      <c r="F19" s="283"/>
      <c r="G19" s="283"/>
      <c r="H19" s="283"/>
      <c r="I19" s="284"/>
      <c r="J19" s="283"/>
      <c r="K19" s="274"/>
      <c r="L19" s="605"/>
      <c r="M19" s="606"/>
      <c r="N19" s="607"/>
      <c r="O19" s="608"/>
      <c r="P19" s="606"/>
      <c r="Q19" s="606"/>
      <c r="R19" s="606"/>
      <c r="S19" s="606"/>
      <c r="T19" s="262"/>
      <c r="U19" s="261"/>
    </row>
    <row r="20" spans="1:21" ht="14.4" customHeight="1">
      <c r="A20" s="261"/>
      <c r="B20" s="262"/>
      <c r="C20" s="13"/>
      <c r="D20" s="13"/>
      <c r="E20" s="13"/>
      <c r="F20" s="13"/>
      <c r="G20" s="13"/>
      <c r="H20" s="13"/>
      <c r="I20" s="13"/>
      <c r="J20" s="13"/>
      <c r="K20" s="13"/>
      <c r="L20" s="13"/>
      <c r="M20" s="13"/>
      <c r="N20" s="13"/>
      <c r="O20" s="13"/>
      <c r="P20" s="13"/>
      <c r="Q20" s="13"/>
      <c r="R20" s="13"/>
      <c r="S20" s="13"/>
      <c r="T20" s="262"/>
      <c r="U20" s="261"/>
    </row>
    <row r="21" spans="1:21" ht="14.4" customHeight="1">
      <c r="A21" s="261"/>
      <c r="B21" s="262"/>
      <c r="C21" s="828">
        <v>45386</v>
      </c>
      <c r="D21" s="828"/>
      <c r="E21" s="282"/>
      <c r="F21" s="282" t="s">
        <v>663</v>
      </c>
      <c r="G21" s="282"/>
      <c r="I21" s="281"/>
      <c r="J21" s="281"/>
      <c r="K21" s="282"/>
      <c r="L21" s="282"/>
      <c r="M21" s="269"/>
      <c r="N21" s="270"/>
      <c r="O21" s="271"/>
      <c r="P21" s="269"/>
      <c r="Q21" s="272"/>
      <c r="R21" s="280">
        <f>IF(S21="istotna",1,0.1)</f>
        <v>1</v>
      </c>
      <c r="S21" s="636" t="s">
        <v>565</v>
      </c>
      <c r="T21" s="262"/>
      <c r="U21" s="261"/>
    </row>
    <row r="22" spans="1:21" ht="14.4" customHeight="1">
      <c r="A22" s="261"/>
      <c r="B22" s="262"/>
      <c r="C22" s="283"/>
      <c r="D22" s="283"/>
      <c r="E22" s="283"/>
      <c r="F22" s="283"/>
      <c r="G22" s="283"/>
      <c r="H22" s="283"/>
      <c r="I22" s="284"/>
      <c r="J22" s="283"/>
      <c r="K22" s="274"/>
      <c r="L22" s="605"/>
      <c r="M22" s="606"/>
      <c r="N22" s="607"/>
      <c r="O22" s="608"/>
      <c r="P22" s="606"/>
      <c r="Q22" s="606"/>
      <c r="R22" s="606"/>
      <c r="S22" s="606"/>
      <c r="T22" s="262"/>
      <c r="U22" s="261"/>
    </row>
    <row r="23" spans="1:21" ht="14.4" customHeight="1">
      <c r="A23" s="261"/>
      <c r="B23" s="262"/>
      <c r="C23" s="13"/>
      <c r="D23" s="13"/>
      <c r="E23" s="13"/>
      <c r="F23" s="13"/>
      <c r="G23" s="13"/>
      <c r="H23" s="13"/>
      <c r="I23" s="13"/>
      <c r="J23" s="13"/>
      <c r="K23" s="13"/>
      <c r="L23" s="13"/>
      <c r="M23" s="13"/>
      <c r="N23" s="13"/>
      <c r="O23" s="13"/>
      <c r="P23" s="13"/>
      <c r="Q23" s="13"/>
      <c r="R23" s="13"/>
      <c r="S23" s="13"/>
      <c r="T23" s="262"/>
      <c r="U23" s="261"/>
    </row>
    <row r="24" spans="1:21" ht="14.4" customHeight="1">
      <c r="A24" s="261"/>
      <c r="B24" s="262"/>
      <c r="C24" s="828">
        <v>45254</v>
      </c>
      <c r="D24" s="828"/>
      <c r="E24" s="282"/>
      <c r="F24" s="282" t="s">
        <v>659</v>
      </c>
      <c r="G24" s="282"/>
      <c r="I24" s="281"/>
      <c r="J24" s="281"/>
      <c r="K24" s="282"/>
      <c r="L24" s="282"/>
      <c r="M24" s="269"/>
      <c r="N24" s="270"/>
      <c r="O24" s="271"/>
      <c r="P24" s="269"/>
      <c r="Q24" s="272"/>
      <c r="R24" s="280">
        <f>IF(S24="istotna",1,0.1)</f>
        <v>1</v>
      </c>
      <c r="S24" s="636" t="s">
        <v>565</v>
      </c>
      <c r="T24" s="262"/>
      <c r="U24" s="261"/>
    </row>
    <row r="25" spans="1:21" ht="14.4" customHeight="1">
      <c r="A25" s="261"/>
      <c r="B25" s="262"/>
      <c r="C25" s="283"/>
      <c r="D25" s="283"/>
      <c r="E25" s="283"/>
      <c r="F25" s="283"/>
      <c r="G25" s="283"/>
      <c r="H25" s="283"/>
      <c r="I25" s="284"/>
      <c r="J25" s="283"/>
      <c r="K25" s="274"/>
      <c r="L25" s="605"/>
      <c r="M25" s="606"/>
      <c r="N25" s="607"/>
      <c r="O25" s="608"/>
      <c r="P25" s="606"/>
      <c r="Q25" s="606"/>
      <c r="R25" s="606"/>
      <c r="S25" s="606"/>
      <c r="T25" s="262"/>
      <c r="U25" s="261"/>
    </row>
    <row r="26" spans="1:21" ht="14.4" customHeight="1">
      <c r="A26" s="261"/>
      <c r="B26" s="262"/>
      <c r="C26" s="13"/>
      <c r="D26" s="13"/>
      <c r="E26" s="13"/>
      <c r="F26" s="13"/>
      <c r="G26" s="13"/>
      <c r="H26" s="13"/>
      <c r="I26" s="13"/>
      <c r="J26" s="13"/>
      <c r="K26" s="13"/>
      <c r="L26" s="13"/>
      <c r="M26" s="13"/>
      <c r="N26" s="13"/>
      <c r="O26" s="13"/>
      <c r="P26" s="13"/>
      <c r="Q26" s="13"/>
      <c r="R26" s="13"/>
      <c r="S26" s="13"/>
      <c r="T26" s="262"/>
      <c r="U26" s="261"/>
    </row>
    <row r="27" spans="1:21" ht="14.4" customHeight="1">
      <c r="A27" s="261"/>
      <c r="B27" s="262"/>
      <c r="C27" s="828">
        <v>45232</v>
      </c>
      <c r="D27" s="828"/>
      <c r="E27" s="282"/>
      <c r="F27" s="682" t="s">
        <v>639</v>
      </c>
      <c r="G27" s="282"/>
      <c r="I27" s="281"/>
      <c r="J27" s="281"/>
      <c r="K27" s="282"/>
      <c r="L27" s="282"/>
      <c r="M27" s="269"/>
      <c r="N27" s="270"/>
      <c r="O27" s="271"/>
      <c r="P27" s="269"/>
      <c r="Q27" s="272"/>
      <c r="R27" s="280">
        <f>IF(S27="istotna",1,0.1)</f>
        <v>1</v>
      </c>
      <c r="S27" s="636" t="s">
        <v>565</v>
      </c>
      <c r="T27" s="262"/>
      <c r="U27" s="261"/>
    </row>
    <row r="28" spans="1:21" ht="14.4" customHeight="1">
      <c r="A28" s="261"/>
      <c r="B28" s="262"/>
      <c r="C28" s="282"/>
      <c r="D28" s="282"/>
      <c r="E28" s="282"/>
      <c r="F28" s="682" t="s">
        <v>640</v>
      </c>
      <c r="G28" s="282"/>
      <c r="H28" s="281"/>
      <c r="I28" s="281"/>
      <c r="J28" s="281"/>
      <c r="K28" s="282"/>
      <c r="L28" s="282"/>
      <c r="M28" s="269"/>
      <c r="N28" s="270"/>
      <c r="O28" s="271"/>
      <c r="P28" s="269"/>
      <c r="Q28" s="272"/>
      <c r="R28" s="280">
        <f>IF(S28="istotna",1,0.1)</f>
        <v>1</v>
      </c>
      <c r="S28" s="636" t="s">
        <v>565</v>
      </c>
      <c r="T28" s="262"/>
      <c r="U28" s="261"/>
    </row>
    <row r="29" spans="1:21" ht="14.4" customHeight="1">
      <c r="A29" s="261"/>
      <c r="B29" s="262"/>
      <c r="C29" s="283"/>
      <c r="D29" s="283"/>
      <c r="E29" s="283"/>
      <c r="F29" s="283"/>
      <c r="G29" s="283"/>
      <c r="H29" s="283"/>
      <c r="I29" s="284"/>
      <c r="J29" s="283"/>
      <c r="K29" s="274"/>
      <c r="L29" s="605"/>
      <c r="M29" s="606"/>
      <c r="N29" s="607"/>
      <c r="O29" s="608"/>
      <c r="P29" s="606"/>
      <c r="Q29" s="606"/>
      <c r="R29" s="606"/>
      <c r="S29" s="606"/>
      <c r="T29" s="262"/>
      <c r="U29" s="261"/>
    </row>
    <row r="30" spans="1:21" ht="14.4" customHeight="1">
      <c r="A30" s="261"/>
      <c r="B30" s="262"/>
      <c r="C30" s="13"/>
      <c r="D30" s="13"/>
      <c r="E30" s="13"/>
      <c r="F30" s="13"/>
      <c r="G30" s="13"/>
      <c r="H30" s="13"/>
      <c r="I30" s="13"/>
      <c r="J30" s="13"/>
      <c r="K30" s="13"/>
      <c r="L30" s="13"/>
      <c r="M30" s="13"/>
      <c r="N30" s="13"/>
      <c r="O30" s="13"/>
      <c r="P30" s="13"/>
      <c r="Q30" s="13"/>
      <c r="R30" s="13"/>
      <c r="S30" s="13"/>
      <c r="T30" s="262"/>
      <c r="U30" s="261"/>
    </row>
    <row r="31" spans="1:21" ht="14.4" customHeight="1">
      <c r="A31" s="261"/>
      <c r="B31" s="262"/>
      <c r="C31" s="828">
        <v>45222</v>
      </c>
      <c r="D31" s="828"/>
      <c r="E31" s="282"/>
      <c r="F31" s="282" t="s">
        <v>638</v>
      </c>
      <c r="G31" s="282"/>
      <c r="I31" s="281"/>
      <c r="J31" s="281"/>
      <c r="K31" s="282"/>
      <c r="L31" s="282"/>
      <c r="M31" s="269"/>
      <c r="N31" s="270"/>
      <c r="O31" s="271"/>
      <c r="P31" s="269"/>
      <c r="Q31" s="272"/>
      <c r="R31" s="280">
        <f>IF(S31="istotna",1,0.1)</f>
        <v>1</v>
      </c>
      <c r="S31" s="636" t="s">
        <v>565</v>
      </c>
      <c r="T31" s="262"/>
      <c r="U31" s="261"/>
    </row>
    <row r="32" spans="1:21" ht="14.4" customHeight="1">
      <c r="A32" s="261"/>
      <c r="B32" s="262"/>
      <c r="C32" s="283"/>
      <c r="D32" s="283"/>
      <c r="E32" s="283"/>
      <c r="F32" s="283"/>
      <c r="G32" s="283"/>
      <c r="H32" s="283"/>
      <c r="I32" s="284"/>
      <c r="J32" s="283"/>
      <c r="K32" s="274"/>
      <c r="L32" s="605"/>
      <c r="M32" s="606"/>
      <c r="N32" s="607"/>
      <c r="O32" s="608"/>
      <c r="P32" s="606"/>
      <c r="Q32" s="606"/>
      <c r="R32" s="606"/>
      <c r="S32" s="606"/>
      <c r="T32" s="262"/>
      <c r="U32" s="261"/>
    </row>
    <row r="33" spans="1:21" ht="14.4" customHeight="1">
      <c r="A33" s="261"/>
      <c r="B33" s="262"/>
      <c r="C33" s="282"/>
      <c r="D33" s="282"/>
      <c r="E33" s="282"/>
      <c r="F33" s="282"/>
      <c r="G33" s="282"/>
      <c r="H33" s="282"/>
      <c r="I33" s="676"/>
      <c r="J33" s="282"/>
      <c r="K33" s="277"/>
      <c r="L33" s="262"/>
      <c r="M33" s="269"/>
      <c r="N33" s="276"/>
      <c r="O33" s="271"/>
      <c r="P33" s="269"/>
      <c r="Q33" s="269"/>
      <c r="R33" s="269"/>
      <c r="S33" s="269"/>
      <c r="T33" s="262"/>
      <c r="U33" s="261"/>
    </row>
    <row r="34" spans="1:21" ht="14.4" customHeight="1">
      <c r="A34" s="261"/>
      <c r="B34" s="262"/>
      <c r="C34" s="828">
        <v>45015</v>
      </c>
      <c r="D34" s="828"/>
      <c r="E34" s="282"/>
      <c r="F34" s="282" t="s">
        <v>631</v>
      </c>
      <c r="G34" s="282"/>
      <c r="H34" s="13"/>
      <c r="I34" s="281"/>
      <c r="J34" s="281"/>
      <c r="K34" s="282"/>
      <c r="L34" s="282"/>
      <c r="M34" s="269"/>
      <c r="N34" s="270"/>
      <c r="O34" s="271"/>
      <c r="P34" s="269"/>
      <c r="Q34" s="272"/>
      <c r="R34" s="280">
        <f>IF(S34="istotna",1,0.1)</f>
        <v>1</v>
      </c>
      <c r="S34" s="636" t="s">
        <v>565</v>
      </c>
      <c r="T34" s="262"/>
      <c r="U34" s="261"/>
    </row>
    <row r="35" spans="1:21" ht="14.4" customHeight="1">
      <c r="A35" s="261"/>
      <c r="B35" s="262"/>
      <c r="C35" s="282"/>
      <c r="D35" s="282"/>
      <c r="E35" s="282"/>
      <c r="F35" s="282" t="s">
        <v>632</v>
      </c>
      <c r="G35" s="282"/>
      <c r="I35" s="281"/>
      <c r="J35" s="281"/>
      <c r="K35" s="282"/>
      <c r="L35" s="282"/>
      <c r="M35" s="269"/>
      <c r="N35" s="270"/>
      <c r="O35" s="271"/>
      <c r="P35" s="269"/>
      <c r="Q35" s="272"/>
      <c r="R35" s="280"/>
      <c r="S35" s="636"/>
      <c r="T35" s="262"/>
      <c r="U35" s="261"/>
    </row>
    <row r="36" spans="1:21" ht="14.4" customHeight="1">
      <c r="A36" s="261"/>
      <c r="B36" s="262"/>
      <c r="C36" s="283"/>
      <c r="D36" s="283"/>
      <c r="E36" s="283"/>
      <c r="F36" s="283"/>
      <c r="G36" s="283"/>
      <c r="H36" s="283"/>
      <c r="I36" s="284"/>
      <c r="J36" s="283"/>
      <c r="K36" s="274"/>
      <c r="L36" s="605"/>
      <c r="M36" s="606"/>
      <c r="N36" s="607"/>
      <c r="O36" s="608"/>
      <c r="P36" s="606"/>
      <c r="Q36" s="606"/>
      <c r="R36" s="606"/>
      <c r="S36" s="606"/>
      <c r="T36" s="262"/>
      <c r="U36" s="261"/>
    </row>
    <row r="37" spans="1:21" ht="14.4" customHeight="1">
      <c r="A37" s="261"/>
      <c r="B37" s="262"/>
      <c r="C37" s="13"/>
      <c r="D37" s="13"/>
      <c r="E37" s="13"/>
      <c r="F37" s="13"/>
      <c r="G37" s="13"/>
      <c r="H37" s="13"/>
      <c r="I37" s="13"/>
      <c r="J37" s="13"/>
      <c r="K37" s="13"/>
      <c r="L37" s="13"/>
      <c r="M37" s="13"/>
      <c r="N37" s="13"/>
      <c r="O37" s="13"/>
      <c r="P37" s="13"/>
      <c r="Q37" s="13"/>
      <c r="R37" s="13"/>
      <c r="S37" s="13"/>
      <c r="T37" s="262"/>
      <c r="U37" s="261"/>
    </row>
    <row r="38" spans="1:21" ht="14.4" customHeight="1">
      <c r="A38" s="261"/>
      <c r="B38" s="262"/>
      <c r="C38" s="828">
        <v>44930</v>
      </c>
      <c r="D38" s="828"/>
      <c r="E38" s="282"/>
      <c r="F38" s="282" t="s">
        <v>573</v>
      </c>
      <c r="G38" s="282"/>
      <c r="I38" s="281"/>
      <c r="J38" s="281"/>
      <c r="K38" s="282"/>
      <c r="L38" s="282"/>
      <c r="M38" s="269"/>
      <c r="N38" s="270"/>
      <c r="O38" s="271"/>
      <c r="P38" s="269"/>
      <c r="Q38" s="272"/>
      <c r="R38" s="280">
        <f>IF(S38="istotna",1,0.1)</f>
        <v>1</v>
      </c>
      <c r="S38" s="636" t="s">
        <v>565</v>
      </c>
      <c r="T38" s="262"/>
      <c r="U38" s="261"/>
    </row>
    <row r="39" spans="1:21" ht="14.4" customHeight="1">
      <c r="A39" s="261"/>
      <c r="B39" s="262"/>
      <c r="C39" s="283"/>
      <c r="D39" s="283"/>
      <c r="E39" s="283"/>
      <c r="F39" s="283"/>
      <c r="G39" s="283"/>
      <c r="H39" s="283"/>
      <c r="I39" s="284"/>
      <c r="J39" s="283"/>
      <c r="K39" s="274"/>
      <c r="L39" s="605"/>
      <c r="M39" s="606"/>
      <c r="N39" s="607"/>
      <c r="O39" s="608"/>
      <c r="P39" s="606"/>
      <c r="Q39" s="606"/>
      <c r="R39" s="606"/>
      <c r="S39" s="606"/>
      <c r="T39" s="262"/>
      <c r="U39" s="261"/>
    </row>
    <row r="40" spans="1:21" ht="14.4" customHeight="1">
      <c r="A40" s="261"/>
      <c r="B40" s="262"/>
      <c r="C40" s="13"/>
      <c r="D40" s="13"/>
      <c r="E40" s="13"/>
      <c r="F40" s="13"/>
      <c r="G40" s="13"/>
      <c r="H40" s="13"/>
      <c r="I40" s="13"/>
      <c r="J40" s="13"/>
      <c r="K40" s="13"/>
      <c r="L40" s="13"/>
      <c r="M40" s="13"/>
      <c r="N40" s="13"/>
      <c r="O40" s="13"/>
      <c r="P40" s="13"/>
      <c r="Q40" s="13"/>
      <c r="R40" s="13"/>
      <c r="S40" s="13"/>
      <c r="T40" s="262"/>
      <c r="U40" s="261"/>
    </row>
    <row r="41" spans="1:21" ht="14.4" customHeight="1">
      <c r="A41" s="261"/>
      <c r="B41" s="262"/>
      <c r="C41" s="828">
        <v>44870</v>
      </c>
      <c r="D41" s="828"/>
      <c r="E41" s="282"/>
      <c r="F41" s="282" t="s">
        <v>570</v>
      </c>
      <c r="G41" s="282"/>
      <c r="I41" s="281"/>
      <c r="J41" s="281"/>
      <c r="K41" s="282"/>
      <c r="L41" s="282"/>
      <c r="M41" s="269"/>
      <c r="N41" s="270"/>
      <c r="O41" s="271"/>
      <c r="P41" s="269"/>
      <c r="Q41" s="272"/>
      <c r="R41" s="280">
        <f>IF(S41="istotna",1,0.1)</f>
        <v>1</v>
      </c>
      <c r="S41" s="636" t="s">
        <v>565</v>
      </c>
      <c r="T41" s="262"/>
      <c r="U41" s="261"/>
    </row>
    <row r="42" spans="1:21" ht="14.4" customHeight="1">
      <c r="A42" s="261"/>
      <c r="B42" s="262"/>
      <c r="C42" s="283"/>
      <c r="D42" s="283"/>
      <c r="E42" s="283"/>
      <c r="F42" s="283"/>
      <c r="G42" s="283"/>
      <c r="H42" s="283"/>
      <c r="I42" s="284"/>
      <c r="J42" s="283"/>
      <c r="K42" s="274"/>
      <c r="L42" s="605"/>
      <c r="M42" s="606"/>
      <c r="N42" s="607"/>
      <c r="O42" s="608"/>
      <c r="P42" s="606"/>
      <c r="Q42" s="606"/>
      <c r="R42" s="606"/>
      <c r="S42" s="606"/>
      <c r="T42" s="262"/>
      <c r="U42" s="261"/>
    </row>
    <row r="43" spans="1:21" ht="14.4" customHeight="1">
      <c r="A43" s="261"/>
      <c r="B43" s="262"/>
      <c r="C43" s="13"/>
      <c r="D43" s="13"/>
      <c r="E43" s="13"/>
      <c r="F43" s="13"/>
      <c r="G43" s="13"/>
      <c r="H43" s="13"/>
      <c r="I43" s="13"/>
      <c r="J43" s="13"/>
      <c r="K43" s="13"/>
      <c r="L43" s="13"/>
      <c r="M43" s="13"/>
      <c r="N43" s="13"/>
      <c r="O43" s="13"/>
      <c r="P43" s="13"/>
      <c r="Q43" s="13"/>
      <c r="R43" s="13"/>
      <c r="S43" s="13"/>
      <c r="T43" s="262"/>
      <c r="U43" s="261"/>
    </row>
    <row r="44" spans="1:21" ht="14.4" customHeight="1">
      <c r="A44" s="261"/>
      <c r="B44" s="262"/>
      <c r="C44" s="828">
        <v>44746</v>
      </c>
      <c r="D44" s="828"/>
      <c r="E44" s="282"/>
      <c r="F44" s="282" t="s">
        <v>567</v>
      </c>
      <c r="G44" s="282"/>
      <c r="I44" s="281"/>
      <c r="J44" s="281"/>
      <c r="K44" s="282"/>
      <c r="L44" s="282"/>
      <c r="M44" s="269"/>
      <c r="N44" s="270"/>
      <c r="O44" s="271"/>
      <c r="P44" s="269"/>
      <c r="Q44" s="272"/>
      <c r="R44" s="280">
        <f>IF(S44="istotna",1,0.1)</f>
        <v>1</v>
      </c>
      <c r="S44" s="636" t="s">
        <v>565</v>
      </c>
      <c r="T44" s="262"/>
      <c r="U44" s="261"/>
    </row>
    <row r="45" spans="1:21" ht="14.4" customHeight="1">
      <c r="A45" s="261"/>
      <c r="B45" s="262"/>
      <c r="C45" s="283"/>
      <c r="D45" s="283"/>
      <c r="E45" s="283"/>
      <c r="F45" s="283"/>
      <c r="G45" s="283"/>
      <c r="H45" s="283"/>
      <c r="I45" s="284"/>
      <c r="J45" s="283"/>
      <c r="K45" s="274"/>
      <c r="L45" s="605"/>
      <c r="M45" s="606"/>
      <c r="N45" s="607"/>
      <c r="O45" s="608"/>
      <c r="P45" s="606"/>
      <c r="Q45" s="606"/>
      <c r="R45" s="606"/>
      <c r="S45" s="606"/>
      <c r="T45" s="262"/>
      <c r="U45" s="261"/>
    </row>
    <row r="46" spans="1:21" ht="14.4" customHeight="1">
      <c r="A46" s="261"/>
      <c r="B46" s="262"/>
      <c r="C46" s="13"/>
      <c r="D46" s="13"/>
      <c r="E46" s="13"/>
      <c r="F46" s="13"/>
      <c r="G46" s="13"/>
      <c r="H46" s="13"/>
      <c r="I46" s="13"/>
      <c r="J46" s="13"/>
      <c r="K46" s="13"/>
      <c r="L46" s="13"/>
      <c r="M46" s="13"/>
      <c r="N46" s="13"/>
      <c r="O46" s="13"/>
      <c r="P46" s="13"/>
      <c r="Q46" s="13"/>
      <c r="R46" s="13"/>
      <c r="S46" s="13"/>
      <c r="T46" s="262"/>
      <c r="U46" s="261"/>
    </row>
    <row r="47" spans="1:21" ht="14.4" customHeight="1">
      <c r="A47" s="261"/>
      <c r="B47" s="262"/>
      <c r="C47" s="828">
        <v>44727</v>
      </c>
      <c r="D47" s="828"/>
      <c r="E47" s="282"/>
      <c r="F47" s="282" t="s">
        <v>561</v>
      </c>
      <c r="G47" s="282"/>
      <c r="I47" s="281"/>
      <c r="J47" s="281"/>
      <c r="K47" s="282"/>
      <c r="L47" s="282"/>
      <c r="M47" s="269"/>
      <c r="N47" s="270"/>
      <c r="O47" s="271"/>
      <c r="P47" s="269"/>
      <c r="Q47" s="272"/>
      <c r="R47" s="280">
        <f>IF(S47="istotna",1,0.1)</f>
        <v>0.1</v>
      </c>
      <c r="S47" s="636" t="s">
        <v>564</v>
      </c>
      <c r="T47" s="262"/>
      <c r="U47" s="261"/>
    </row>
    <row r="48" spans="1:21" ht="14.4" customHeight="1">
      <c r="A48" s="261"/>
      <c r="B48" s="262"/>
      <c r="C48" s="283"/>
      <c r="D48" s="283"/>
      <c r="E48" s="283"/>
      <c r="F48" s="283"/>
      <c r="G48" s="283"/>
      <c r="H48" s="283"/>
      <c r="I48" s="284"/>
      <c r="J48" s="283"/>
      <c r="K48" s="274"/>
      <c r="L48" s="605"/>
      <c r="M48" s="606"/>
      <c r="N48" s="607"/>
      <c r="O48" s="608"/>
      <c r="P48" s="606"/>
      <c r="Q48" s="606"/>
      <c r="R48" s="606"/>
      <c r="S48" s="606"/>
      <c r="T48" s="262"/>
      <c r="U48" s="261"/>
    </row>
    <row r="49" spans="1:21" ht="14.4" customHeight="1">
      <c r="A49" s="261"/>
      <c r="B49" s="13"/>
      <c r="C49" s="13"/>
      <c r="D49" s="13"/>
      <c r="E49" s="13"/>
      <c r="F49" s="13"/>
      <c r="G49" s="13"/>
      <c r="H49" s="13"/>
      <c r="I49" s="13"/>
      <c r="J49" s="13"/>
      <c r="K49" s="13"/>
      <c r="L49" s="13"/>
      <c r="M49" s="13"/>
      <c r="N49" s="13"/>
      <c r="O49" s="13"/>
      <c r="P49" s="13"/>
      <c r="Q49" s="13"/>
      <c r="R49" s="13"/>
      <c r="S49" s="13"/>
      <c r="T49" s="13"/>
      <c r="U49" s="261"/>
    </row>
    <row r="50" spans="1:21" ht="14.4" customHeight="1">
      <c r="A50" s="261"/>
      <c r="B50" s="13"/>
      <c r="C50" s="828">
        <v>44697</v>
      </c>
      <c r="D50" s="828"/>
      <c r="E50" s="282"/>
      <c r="F50" s="282" t="s">
        <v>560</v>
      </c>
      <c r="G50" s="282"/>
      <c r="I50" s="281"/>
      <c r="J50" s="281"/>
      <c r="K50" s="282"/>
      <c r="L50" s="282"/>
      <c r="M50" s="269"/>
      <c r="N50" s="270"/>
      <c r="O50" s="271"/>
      <c r="P50" s="269"/>
      <c r="Q50" s="272"/>
      <c r="R50" s="280">
        <f>IF(S50="istotna",1,0.1)</f>
        <v>1</v>
      </c>
      <c r="S50" s="636" t="s">
        <v>565</v>
      </c>
      <c r="T50" s="13"/>
      <c r="U50" s="261"/>
    </row>
    <row r="51" spans="1:21" ht="14.4" customHeight="1">
      <c r="A51" s="261"/>
      <c r="B51" s="13"/>
      <c r="C51" s="283"/>
      <c r="D51" s="283"/>
      <c r="E51" s="283"/>
      <c r="F51" s="283"/>
      <c r="G51" s="283"/>
      <c r="H51" s="283"/>
      <c r="I51" s="284"/>
      <c r="J51" s="283"/>
      <c r="K51" s="274"/>
      <c r="L51" s="605"/>
      <c r="M51" s="606"/>
      <c r="N51" s="607"/>
      <c r="O51" s="608"/>
      <c r="P51" s="606"/>
      <c r="Q51" s="606"/>
      <c r="R51" s="606"/>
      <c r="S51" s="606"/>
      <c r="T51" s="13"/>
      <c r="U51" s="261"/>
    </row>
    <row r="52" spans="1:21" ht="14.4" customHeight="1">
      <c r="A52" s="261"/>
      <c r="B52" s="13"/>
      <c r="C52" s="13"/>
      <c r="D52" s="13"/>
      <c r="E52" s="13"/>
      <c r="F52" s="13"/>
      <c r="G52" s="13"/>
      <c r="H52" s="13"/>
      <c r="I52" s="13"/>
      <c r="J52" s="13"/>
      <c r="K52" s="13"/>
      <c r="L52" s="13"/>
      <c r="M52" s="13"/>
      <c r="N52" s="13"/>
      <c r="O52" s="13"/>
      <c r="P52" s="13"/>
      <c r="Q52" s="13"/>
      <c r="R52" s="13"/>
      <c r="S52" s="13"/>
      <c r="T52" s="13"/>
      <c r="U52" s="261"/>
    </row>
    <row r="53" spans="1:21" ht="14.4" customHeight="1">
      <c r="A53" s="261"/>
      <c r="B53" s="13"/>
      <c r="C53" s="828">
        <v>44670</v>
      </c>
      <c r="D53" s="828"/>
      <c r="E53" s="13"/>
      <c r="F53" s="282" t="s">
        <v>538</v>
      </c>
      <c r="G53" s="13"/>
      <c r="H53" s="13"/>
      <c r="I53" s="13"/>
      <c r="J53" s="13"/>
      <c r="K53" s="13"/>
      <c r="L53" s="13"/>
      <c r="M53" s="13"/>
      <c r="N53" s="13"/>
      <c r="O53" s="13"/>
      <c r="P53" s="13"/>
      <c r="Q53" s="13"/>
      <c r="R53" s="13"/>
      <c r="S53" s="13"/>
      <c r="T53" s="13"/>
      <c r="U53" s="261"/>
    </row>
    <row r="54" spans="1:21" ht="14.4" customHeight="1">
      <c r="A54" s="261"/>
      <c r="B54" s="13"/>
      <c r="C54" s="13"/>
      <c r="D54" s="13"/>
      <c r="E54" s="13"/>
      <c r="F54" s="13"/>
      <c r="G54" s="13"/>
      <c r="H54" s="13"/>
      <c r="I54" s="13"/>
      <c r="J54" s="13"/>
      <c r="K54" s="13"/>
      <c r="L54" s="13"/>
      <c r="M54" s="13"/>
      <c r="N54" s="13"/>
      <c r="O54" s="13"/>
      <c r="P54" s="13"/>
      <c r="Q54" s="13"/>
      <c r="R54" s="13"/>
      <c r="S54" s="13"/>
      <c r="T54" s="13"/>
      <c r="U54" s="261"/>
    </row>
    <row r="55" spans="1:21" ht="14.4" customHeight="1">
      <c r="A55" s="261"/>
      <c r="B55" s="13"/>
      <c r="C55" s="13"/>
      <c r="D55" s="13"/>
      <c r="E55" s="13"/>
      <c r="F55" s="13"/>
      <c r="G55" s="13"/>
      <c r="H55" s="13"/>
      <c r="I55" s="13"/>
      <c r="J55" s="13"/>
      <c r="K55" s="13"/>
      <c r="L55" s="13"/>
      <c r="M55" s="13"/>
      <c r="N55" s="13"/>
      <c r="O55" s="13"/>
      <c r="P55" s="13"/>
      <c r="Q55" s="13"/>
      <c r="R55" s="609" t="str">
        <f>[2]Obliczenia!Q199</f>
        <v>Autor:</v>
      </c>
      <c r="S55" s="610" t="str">
        <f>[2]Obliczenia!R199</f>
        <v>PanD, 2022</v>
      </c>
      <c r="T55" s="13"/>
      <c r="U55" s="261"/>
    </row>
    <row r="56" spans="1:21" ht="3.6" customHeight="1">
      <c r="A56" s="261"/>
      <c r="B56" s="261"/>
      <c r="C56" s="261"/>
      <c r="D56" s="261"/>
      <c r="E56" s="261"/>
      <c r="F56" s="261"/>
      <c r="G56" s="261"/>
      <c r="H56" s="261"/>
      <c r="I56" s="261"/>
      <c r="J56" s="261"/>
      <c r="K56" s="261"/>
      <c r="L56" s="261"/>
      <c r="M56" s="261"/>
      <c r="N56" s="261"/>
      <c r="O56" s="261"/>
      <c r="P56" s="261"/>
      <c r="Q56" s="261"/>
      <c r="R56" s="261"/>
      <c r="S56" s="261"/>
      <c r="T56" s="261"/>
      <c r="U56" s="261"/>
    </row>
    <row r="57" spans="1:21" s="13" customFormat="1"/>
    <row r="58" spans="1:21" s="13" customFormat="1"/>
    <row r="59" spans="1:21" s="13" customFormat="1"/>
    <row r="60" spans="1:21" s="13" customFormat="1"/>
    <row r="61" spans="1:21" s="13" customFormat="1"/>
    <row r="62" spans="1:21" s="13" customFormat="1"/>
    <row r="63" spans="1:21" s="13" customFormat="1"/>
    <row r="64" spans="1:21" s="13" customFormat="1"/>
    <row r="65" s="13" customFormat="1"/>
    <row r="66" s="13" customFormat="1"/>
    <row r="67" s="13" customFormat="1"/>
    <row r="68" s="13" customFormat="1"/>
    <row r="69" s="13" customFormat="1"/>
    <row r="70" s="13" customFormat="1"/>
    <row r="71" s="13" customFormat="1"/>
    <row r="72" s="13" customFormat="1"/>
    <row r="73" s="13" customFormat="1"/>
    <row r="74" s="13" customFormat="1"/>
    <row r="75" s="13" customFormat="1"/>
    <row r="76" s="13" customFormat="1"/>
    <row r="77" s="13" customFormat="1"/>
    <row r="78" s="13" customFormat="1"/>
    <row r="79" s="13" customFormat="1"/>
    <row r="80" s="13" customFormat="1"/>
    <row r="81" s="13" customFormat="1"/>
    <row r="82" s="13" customFormat="1"/>
    <row r="83" s="13" customFormat="1"/>
    <row r="84" s="13" customFormat="1"/>
    <row r="85" s="13" customFormat="1"/>
    <row r="86" s="13" customFormat="1"/>
    <row r="87" s="13" customFormat="1"/>
    <row r="88" s="13" customFormat="1"/>
    <row r="89" s="13" customFormat="1"/>
    <row r="90" s="13" customFormat="1"/>
    <row r="91" s="13" customFormat="1"/>
    <row r="92" s="13" customFormat="1"/>
    <row r="93" s="13" customFormat="1"/>
    <row r="94" s="13" customFormat="1"/>
    <row r="95" s="13" customFormat="1"/>
    <row r="96" s="13" customFormat="1"/>
    <row r="97" s="13" customFormat="1"/>
    <row r="98" s="13" customFormat="1"/>
    <row r="99" s="13" customFormat="1"/>
    <row r="100" s="13" customFormat="1"/>
    <row r="101" s="13" customFormat="1"/>
    <row r="102" s="13" customFormat="1"/>
    <row r="103" s="13" customFormat="1"/>
    <row r="104" s="13" customFormat="1"/>
    <row r="105" s="13" customFormat="1"/>
    <row r="106" s="13" customFormat="1"/>
    <row r="107" s="13" customFormat="1"/>
    <row r="108" s="13" customFormat="1"/>
    <row r="109" s="13" customFormat="1"/>
    <row r="110" s="13" customFormat="1"/>
    <row r="111" s="13" customFormat="1"/>
    <row r="112" s="13" customFormat="1"/>
    <row r="113" s="13" customFormat="1"/>
    <row r="114" s="13" customFormat="1"/>
    <row r="115" s="13" customFormat="1"/>
    <row r="116" s="13" customFormat="1"/>
    <row r="117" s="13" customFormat="1"/>
    <row r="118" s="13" customFormat="1"/>
    <row r="119" s="13" customFormat="1"/>
    <row r="120" s="13" customFormat="1"/>
    <row r="121" s="13" customFormat="1"/>
    <row r="122" s="13" customFormat="1"/>
    <row r="123" s="13" customFormat="1"/>
    <row r="124" s="13" customFormat="1"/>
    <row r="125" s="13" customFormat="1"/>
    <row r="126" s="13" customFormat="1"/>
    <row r="127" s="13" customFormat="1"/>
    <row r="128" s="13" customFormat="1"/>
    <row r="129" s="13" customFormat="1"/>
    <row r="130" s="13" customFormat="1"/>
    <row r="131" s="13" customFormat="1"/>
    <row r="132" s="13" customFormat="1"/>
    <row r="133" s="13" customFormat="1"/>
    <row r="134" s="13" customFormat="1"/>
    <row r="135" s="13" customFormat="1"/>
    <row r="136" s="13" customFormat="1"/>
    <row r="137" s="13" customFormat="1"/>
    <row r="138" s="13" customFormat="1"/>
    <row r="139" s="13" customFormat="1"/>
    <row r="140" s="13" customFormat="1"/>
    <row r="141" s="13" customFormat="1"/>
    <row r="142" s="13" customFormat="1"/>
    <row r="143" s="13" customFormat="1"/>
    <row r="144" s="13" customFormat="1"/>
    <row r="145" s="13" customFormat="1"/>
    <row r="146" s="13" customFormat="1"/>
    <row r="147" s="13" customFormat="1"/>
    <row r="148" s="13" customFormat="1"/>
    <row r="149" s="13" customFormat="1"/>
    <row r="150" s="13" customFormat="1"/>
    <row r="151" s="13" customFormat="1"/>
    <row r="152" s="13" customFormat="1"/>
    <row r="153" s="13" customFormat="1"/>
    <row r="154" s="13" customFormat="1"/>
    <row r="155" s="13" customFormat="1"/>
    <row r="156" s="13" customFormat="1"/>
    <row r="157" s="13" customFormat="1"/>
    <row r="158" s="13" customFormat="1"/>
    <row r="159" s="13" customFormat="1"/>
    <row r="160" s="13" customFormat="1"/>
    <row r="161" s="13" customFormat="1"/>
    <row r="162" s="13" customFormat="1"/>
    <row r="163" s="13" customFormat="1"/>
    <row r="164" s="13" customFormat="1"/>
    <row r="165" s="13" customFormat="1"/>
    <row r="166" s="13" customFormat="1"/>
    <row r="167" s="13" customFormat="1"/>
    <row r="168" s="13" customFormat="1"/>
    <row r="169" s="13" customFormat="1"/>
    <row r="170" s="13" customFormat="1"/>
    <row r="171" s="13" customFormat="1"/>
    <row r="172" s="13" customFormat="1"/>
    <row r="173" s="13" customFormat="1"/>
    <row r="174" s="13" customFormat="1"/>
    <row r="175" s="13" customFormat="1"/>
    <row r="176" s="13" customFormat="1"/>
    <row r="177" s="13" customFormat="1"/>
    <row r="178" s="13" customFormat="1"/>
    <row r="179" s="13" customFormat="1"/>
    <row r="180" s="13" customFormat="1"/>
    <row r="181" s="13" customFormat="1"/>
    <row r="182" s="13" customFormat="1"/>
    <row r="183" s="13" customFormat="1"/>
    <row r="184" s="13" customFormat="1"/>
    <row r="185" s="13" customFormat="1"/>
    <row r="186" s="13" customFormat="1"/>
    <row r="187" s="13" customFormat="1"/>
    <row r="188" s="13" customFormat="1"/>
    <row r="189" s="13" customFormat="1"/>
    <row r="190" s="13" customFormat="1"/>
    <row r="191" s="13" customFormat="1"/>
    <row r="192" s="13" customFormat="1"/>
    <row r="193" s="13" customFormat="1"/>
    <row r="194" s="13" customFormat="1"/>
    <row r="195" s="13" customFormat="1"/>
    <row r="196" s="13" customFormat="1"/>
    <row r="197" s="13" customFormat="1"/>
    <row r="198" s="13" customFormat="1"/>
    <row r="199" s="13" customFormat="1"/>
    <row r="200" s="13" customFormat="1"/>
    <row r="201" s="13" customFormat="1"/>
    <row r="202" s="13" customFormat="1"/>
    <row r="203" s="13" customFormat="1"/>
    <row r="204" s="13" customFormat="1"/>
    <row r="205" s="13" customFormat="1"/>
    <row r="206" s="13" customFormat="1"/>
    <row r="207" s="13" customFormat="1"/>
  </sheetData>
  <sheetProtection algorithmName="SHA-512" hashValue="JxR8RyeVC67LnhwTOrck2jOWnbj9VqnhnmCgA+nHwv2J+0KGpUJ/UrpSjyc8dtFTX6ifU2nHz5PzD8KGtfyptg==" saltValue="3W7NvQwivHXXuU/vA3K7hw==" spinCount="100000" sheet="1" objects="1" scenarios="1"/>
  <protectedRanges>
    <protectedRange sqref="C11:J12" name="Symulacjaprzygotowanadla"/>
    <protectedRange sqref="C50 C53 I50:J50 C47 I47:J47 C44 I44:J44 C41 I41:J41 C38 I38:J38 C34 I34:J35 C31 I31:J31 C27 I27:J28 H28 C24 I24:J24 C21 I21:J21 C18 I18:J18" name="Dane_budynku"/>
    <protectedRange sqref="I16:J16 C16" name="Dane_budynku_1"/>
  </protectedRanges>
  <mergeCells count="20">
    <mergeCell ref="N3:O4"/>
    <mergeCell ref="C21:D21"/>
    <mergeCell ref="R3:S4"/>
    <mergeCell ref="C8:O9"/>
    <mergeCell ref="C11:J12"/>
    <mergeCell ref="C16:D16"/>
    <mergeCell ref="F16:G16"/>
    <mergeCell ref="R16:S16"/>
    <mergeCell ref="C24:D24"/>
    <mergeCell ref="C31:D31"/>
    <mergeCell ref="C27:D27"/>
    <mergeCell ref="C53:D53"/>
    <mergeCell ref="M3:M4"/>
    <mergeCell ref="C50:D50"/>
    <mergeCell ref="C47:D47"/>
    <mergeCell ref="C44:D44"/>
    <mergeCell ref="C41:D41"/>
    <mergeCell ref="C38:D38"/>
    <mergeCell ref="C34:D34"/>
    <mergeCell ref="C18:D18"/>
  </mergeCells>
  <conditionalFormatting sqref="R47:S47">
    <cfRule type="iconSet" priority="11">
      <iconSet iconSet="3Flags" showValue="0">
        <cfvo type="percent" val="0"/>
        <cfvo type="num" val="0"/>
        <cfvo type="num" val="1"/>
      </iconSet>
    </cfRule>
  </conditionalFormatting>
  <conditionalFormatting sqref="R50:S50">
    <cfRule type="iconSet" priority="10">
      <iconSet iconSet="3Flags" showValue="0">
        <cfvo type="percent" val="0"/>
        <cfvo type="num" val="0"/>
        <cfvo type="num" val="1"/>
      </iconSet>
    </cfRule>
  </conditionalFormatting>
  <conditionalFormatting sqref="R44:S44">
    <cfRule type="iconSet" priority="9">
      <iconSet iconSet="3Flags" showValue="0">
        <cfvo type="percent" val="0"/>
        <cfvo type="num" val="0"/>
        <cfvo type="num" val="1"/>
      </iconSet>
    </cfRule>
  </conditionalFormatting>
  <conditionalFormatting sqref="R41:S41">
    <cfRule type="iconSet" priority="8">
      <iconSet iconSet="3Flags" showValue="0">
        <cfvo type="percent" val="0"/>
        <cfvo type="num" val="0"/>
        <cfvo type="num" val="1"/>
      </iconSet>
    </cfRule>
  </conditionalFormatting>
  <conditionalFormatting sqref="R38:S38">
    <cfRule type="iconSet" priority="7">
      <iconSet iconSet="3Flags" showValue="0">
        <cfvo type="percent" val="0"/>
        <cfvo type="num" val="0"/>
        <cfvo type="num" val="1"/>
      </iconSet>
    </cfRule>
  </conditionalFormatting>
  <conditionalFormatting sqref="R34:S35">
    <cfRule type="iconSet" priority="6">
      <iconSet iconSet="3Flags" showValue="0">
        <cfvo type="percent" val="0"/>
        <cfvo type="num" val="0"/>
        <cfvo type="num" val="1"/>
      </iconSet>
    </cfRule>
  </conditionalFormatting>
  <conditionalFormatting sqref="R31:S31">
    <cfRule type="iconSet" priority="5">
      <iconSet iconSet="3Flags" showValue="0">
        <cfvo type="percent" val="0"/>
        <cfvo type="num" val="0"/>
        <cfvo type="num" val="1"/>
      </iconSet>
    </cfRule>
  </conditionalFormatting>
  <conditionalFormatting sqref="R27:S28">
    <cfRule type="iconSet" priority="4">
      <iconSet iconSet="3Flags" showValue="0">
        <cfvo type="percent" val="0"/>
        <cfvo type="num" val="0"/>
        <cfvo type="num" val="1"/>
      </iconSet>
    </cfRule>
  </conditionalFormatting>
  <conditionalFormatting sqref="R24:S24">
    <cfRule type="iconSet" priority="3">
      <iconSet iconSet="3Flags" showValue="0">
        <cfvo type="percent" val="0"/>
        <cfvo type="num" val="0"/>
        <cfvo type="num" val="1"/>
      </iconSet>
    </cfRule>
  </conditionalFormatting>
  <conditionalFormatting sqref="R21:S21">
    <cfRule type="iconSet" priority="2">
      <iconSet iconSet="3Flags" showValue="0">
        <cfvo type="percent" val="0"/>
        <cfvo type="num" val="0"/>
        <cfvo type="num" val="1"/>
      </iconSet>
    </cfRule>
  </conditionalFormatting>
  <conditionalFormatting sqref="R18:S18">
    <cfRule type="iconSet" priority="1">
      <iconSet iconSet="3Flags" showValue="0">
        <cfvo type="percent" val="0"/>
        <cfvo type="num" val="0"/>
        <cfvo type="num" val="1"/>
      </iconSet>
    </cfRule>
  </conditionalFormatting>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B371B-22E0-4EE2-88B2-E000B9B3FCAC}">
  <sheetPr codeName="Arkusz15"/>
  <dimension ref="B2:X150"/>
  <sheetViews>
    <sheetView showGridLines="0" topLeftCell="A62" zoomScale="55" zoomScaleNormal="55" workbookViewId="0">
      <selection activeCell="V78" sqref="V78"/>
    </sheetView>
  </sheetViews>
  <sheetFormatPr defaultRowHeight="14.4"/>
  <cols>
    <col min="1" max="1" width="3.109375" style="685" customWidth="1"/>
    <col min="2" max="5" width="8.88671875" style="685"/>
    <col min="6" max="6" width="9.21875" style="685" bestFit="1" customWidth="1"/>
    <col min="7" max="7" width="9" style="685" bestFit="1" customWidth="1"/>
    <col min="8" max="8" width="11.109375" style="685" bestFit="1" customWidth="1"/>
    <col min="9" max="9" width="10.88671875" style="685" customWidth="1"/>
    <col min="10" max="10" width="8.88671875" style="685"/>
    <col min="11" max="11" width="8.88671875" style="700"/>
    <col min="12" max="12" width="11.33203125" style="685" customWidth="1"/>
    <col min="13" max="17" width="8.88671875" style="685"/>
    <col min="18" max="18" width="11" style="685" customWidth="1"/>
    <col min="19" max="19" width="10.88671875" style="685" customWidth="1"/>
    <col min="20" max="16384" width="8.88671875" style="685"/>
  </cols>
  <sheetData>
    <row r="2" spans="2:24">
      <c r="B2" s="684" t="s">
        <v>642</v>
      </c>
      <c r="C2" s="684"/>
      <c r="D2" s="684"/>
      <c r="E2" s="684"/>
      <c r="F2" s="684"/>
      <c r="G2" s="684"/>
      <c r="H2" s="684"/>
      <c r="I2" s="684"/>
      <c r="J2" s="684"/>
      <c r="K2" s="699"/>
      <c r="L2" s="684"/>
      <c r="M2" s="684"/>
      <c r="N2" s="684"/>
      <c r="O2" s="684"/>
      <c r="P2" s="684"/>
      <c r="Q2" s="684"/>
      <c r="R2" s="684"/>
      <c r="S2" s="684"/>
      <c r="T2" s="684"/>
      <c r="U2" s="684"/>
      <c r="V2" s="684"/>
      <c r="W2" s="684"/>
    </row>
    <row r="5" spans="2:24">
      <c r="L5" s="686">
        <f>405/529-1</f>
        <v>-0.2344045368620038</v>
      </c>
      <c r="X5" s="686">
        <f>505/968-1</f>
        <v>-0.47830578512396693</v>
      </c>
    </row>
    <row r="8" spans="2:24">
      <c r="X8" s="686">
        <f>705/1305-1</f>
        <v>-0.45977011494252873</v>
      </c>
    </row>
    <row r="15" spans="2:24">
      <c r="B15" s="684" t="s">
        <v>641</v>
      </c>
      <c r="C15" s="684"/>
      <c r="D15" s="684"/>
      <c r="E15" s="684"/>
      <c r="F15" s="684"/>
      <c r="G15" s="684"/>
      <c r="H15" s="684"/>
      <c r="I15" s="684"/>
      <c r="J15" s="684"/>
      <c r="K15" s="699"/>
      <c r="L15" s="684"/>
      <c r="M15" s="684"/>
      <c r="N15" s="684"/>
      <c r="O15" s="684"/>
      <c r="P15" s="684"/>
      <c r="Q15" s="684"/>
      <c r="R15" s="684"/>
      <c r="S15" s="684"/>
      <c r="T15" s="684"/>
      <c r="U15" s="684"/>
      <c r="V15" s="684"/>
      <c r="W15" s="684"/>
    </row>
    <row r="29" spans="2:12">
      <c r="B29" s="684" t="s">
        <v>643</v>
      </c>
      <c r="C29" s="684"/>
      <c r="D29" s="684"/>
      <c r="E29" s="684"/>
      <c r="F29" s="684"/>
      <c r="G29" s="684"/>
      <c r="H29" s="684"/>
      <c r="I29" s="684"/>
      <c r="J29" s="684"/>
      <c r="K29" s="699"/>
      <c r="L29" s="684"/>
    </row>
    <row r="41" spans="9:11">
      <c r="I41" s="684" t="s">
        <v>291</v>
      </c>
      <c r="J41" s="684" t="s">
        <v>137</v>
      </c>
      <c r="K41" s="699" t="s">
        <v>138</v>
      </c>
    </row>
    <row r="65" spans="2:19">
      <c r="B65" s="684" t="s">
        <v>644</v>
      </c>
      <c r="C65" s="684"/>
      <c r="D65" s="684"/>
      <c r="E65" s="684"/>
      <c r="F65" s="684"/>
      <c r="G65" s="684"/>
      <c r="H65" s="684"/>
      <c r="I65" s="684"/>
      <c r="J65" s="684"/>
      <c r="K65" s="699"/>
      <c r="L65" s="684"/>
      <c r="M65" s="684"/>
      <c r="N65" s="684"/>
      <c r="O65" s="684"/>
      <c r="P65" s="684"/>
      <c r="Q65" s="684"/>
      <c r="R65" s="684"/>
      <c r="S65" s="684"/>
    </row>
    <row r="67" spans="2:19">
      <c r="M67" s="700"/>
      <c r="O67" s="701"/>
    </row>
    <row r="68" spans="2:19">
      <c r="L68" s="691"/>
      <c r="M68" s="691"/>
      <c r="N68" s="691"/>
      <c r="O68" s="691"/>
      <c r="P68" s="697" t="s">
        <v>648</v>
      </c>
      <c r="Q68" s="692" t="s">
        <v>649</v>
      </c>
      <c r="R68" s="692" t="s">
        <v>650</v>
      </c>
      <c r="S68" s="703" t="s">
        <v>651</v>
      </c>
    </row>
    <row r="69" spans="2:19">
      <c r="L69" s="688" t="s">
        <v>657</v>
      </c>
      <c r="M69" s="688"/>
      <c r="N69" s="688"/>
      <c r="O69" s="688"/>
      <c r="P69" s="702">
        <v>396</v>
      </c>
      <c r="Q69" s="689">
        <v>2</v>
      </c>
      <c r="R69" s="702">
        <f>Q69*P69</f>
        <v>792</v>
      </c>
      <c r="S69" s="702">
        <f>222*Q69</f>
        <v>444</v>
      </c>
    </row>
    <row r="70" spans="2:19">
      <c r="L70" s="688" t="s">
        <v>60</v>
      </c>
      <c r="P70" s="702">
        <v>299</v>
      </c>
      <c r="Q70" s="689">
        <v>2</v>
      </c>
      <c r="R70" s="702">
        <f>Q70*P70</f>
        <v>598</v>
      </c>
      <c r="S70" s="702">
        <f>Q70*144</f>
        <v>288</v>
      </c>
    </row>
    <row r="71" spans="2:19">
      <c r="L71" s="688" t="s">
        <v>658</v>
      </c>
      <c r="M71" s="688"/>
      <c r="N71" s="688"/>
      <c r="O71" s="688"/>
      <c r="P71" s="702">
        <v>179</v>
      </c>
      <c r="Q71" s="689">
        <v>4</v>
      </c>
      <c r="R71" s="702">
        <f>Q71*P71</f>
        <v>716</v>
      </c>
      <c r="S71" s="702">
        <f>106*Q71</f>
        <v>424</v>
      </c>
    </row>
    <row r="72" spans="2:19">
      <c r="L72" s="691"/>
      <c r="M72" s="691"/>
      <c r="N72" s="691"/>
      <c r="O72" s="691"/>
      <c r="P72" s="693"/>
      <c r="Q72" s="692"/>
      <c r="R72" s="693"/>
      <c r="S72" s="704"/>
    </row>
    <row r="73" spans="2:19">
      <c r="L73" s="688"/>
      <c r="M73" s="688"/>
      <c r="N73" s="688"/>
      <c r="P73" s="689"/>
      <c r="Q73" s="698">
        <v>0.37</v>
      </c>
      <c r="R73" s="694">
        <f>R72+R71+R70+R69</f>
        <v>2106</v>
      </c>
    </row>
    <row r="74" spans="2:19">
      <c r="R74" s="696">
        <f>R73-R73*Q73</f>
        <v>1326.78</v>
      </c>
      <c r="S74" s="696">
        <f>SUM(S69:S72)</f>
        <v>1156</v>
      </c>
    </row>
    <row r="76" spans="2:19">
      <c r="D76" s="685" t="s">
        <v>655</v>
      </c>
    </row>
    <row r="77" spans="2:19">
      <c r="D77" s="685" t="s">
        <v>656</v>
      </c>
    </row>
    <row r="81" spans="4:19">
      <c r="M81" s="700"/>
      <c r="O81" s="701"/>
    </row>
    <row r="82" spans="4:19">
      <c r="M82" s="700"/>
      <c r="O82" s="701"/>
    </row>
    <row r="83" spans="4:19">
      <c r="M83" s="700"/>
      <c r="O83" s="701"/>
    </row>
    <row r="84" spans="4:19">
      <c r="M84" s="700"/>
      <c r="O84" s="701"/>
    </row>
    <row r="85" spans="4:19">
      <c r="L85" s="691"/>
      <c r="M85" s="691"/>
      <c r="N85" s="691"/>
      <c r="O85" s="691"/>
      <c r="P85" s="697" t="s">
        <v>648</v>
      </c>
      <c r="Q85" s="692" t="s">
        <v>649</v>
      </c>
      <c r="R85" s="692" t="s">
        <v>650</v>
      </c>
      <c r="S85" s="703" t="s">
        <v>651</v>
      </c>
    </row>
    <row r="86" spans="4:19">
      <c r="L86" s="688" t="s">
        <v>657</v>
      </c>
      <c r="M86" s="688"/>
      <c r="N86" s="688"/>
      <c r="O86" s="688"/>
      <c r="P86" s="702">
        <v>396</v>
      </c>
      <c r="Q86" s="689">
        <v>3</v>
      </c>
      <c r="R86" s="702">
        <f>Q86*P86</f>
        <v>1188</v>
      </c>
      <c r="S86" s="702">
        <f>222*Q86</f>
        <v>666</v>
      </c>
    </row>
    <row r="87" spans="4:19">
      <c r="L87" s="688" t="s">
        <v>60</v>
      </c>
      <c r="P87" s="702">
        <v>299</v>
      </c>
      <c r="Q87" s="689">
        <v>2</v>
      </c>
      <c r="R87" s="702">
        <f>Q87*P87</f>
        <v>598</v>
      </c>
      <c r="S87" s="702">
        <f>Q87*144</f>
        <v>288</v>
      </c>
    </row>
    <row r="88" spans="4:19">
      <c r="L88" s="688" t="s">
        <v>658</v>
      </c>
      <c r="M88" s="688"/>
      <c r="N88" s="688"/>
      <c r="O88" s="688"/>
      <c r="P88" s="702">
        <v>179</v>
      </c>
      <c r="Q88" s="689">
        <v>4</v>
      </c>
      <c r="R88" s="702">
        <f>Q88*P88</f>
        <v>716</v>
      </c>
      <c r="S88" s="702">
        <f>106*Q88</f>
        <v>424</v>
      </c>
    </row>
    <row r="89" spans="4:19">
      <c r="L89" s="691"/>
      <c r="M89" s="691"/>
      <c r="N89" s="691"/>
      <c r="O89" s="691"/>
      <c r="P89" s="693"/>
      <c r="Q89" s="692"/>
      <c r="R89" s="693"/>
      <c r="S89" s="704"/>
    </row>
    <row r="90" spans="4:19">
      <c r="L90" s="688"/>
      <c r="M90" s="688"/>
      <c r="N90" s="688"/>
      <c r="P90" s="689"/>
      <c r="Q90" s="698">
        <v>0.37</v>
      </c>
      <c r="R90" s="694">
        <f>R89+R88+R87+R86</f>
        <v>2502</v>
      </c>
    </row>
    <row r="91" spans="4:19">
      <c r="R91" s="696">
        <f>R90-R90*Q90</f>
        <v>1576.26</v>
      </c>
      <c r="S91" s="696">
        <f>SUM(S86:S89)</f>
        <v>1378</v>
      </c>
    </row>
    <row r="93" spans="4:19">
      <c r="D93" s="685" t="s">
        <v>655</v>
      </c>
    </row>
    <row r="94" spans="4:19">
      <c r="D94" s="685" t="s">
        <v>656</v>
      </c>
    </row>
    <row r="96" spans="4:19">
      <c r="H96" s="695"/>
      <c r="I96" s="696"/>
    </row>
    <row r="98" spans="2:19">
      <c r="B98" s="684" t="s">
        <v>645</v>
      </c>
      <c r="C98" s="684"/>
      <c r="D98" s="684"/>
      <c r="E98" s="684"/>
      <c r="F98" s="684"/>
      <c r="G98" s="684"/>
      <c r="H98" s="684"/>
      <c r="I98" s="684"/>
      <c r="J98" s="684"/>
      <c r="K98" s="699"/>
      <c r="L98" s="684"/>
      <c r="M98" s="684"/>
      <c r="N98" s="684"/>
      <c r="O98" s="684"/>
      <c r="P98" s="684"/>
      <c r="Q98" s="684"/>
      <c r="R98" s="684"/>
      <c r="S98" s="684"/>
    </row>
    <row r="100" spans="2:19">
      <c r="M100" s="700"/>
      <c r="O100" s="701"/>
    </row>
    <row r="101" spans="2:19">
      <c r="L101" s="691"/>
      <c r="M101" s="691"/>
      <c r="N101" s="691"/>
      <c r="O101" s="691"/>
      <c r="P101" s="697" t="s">
        <v>648</v>
      </c>
      <c r="Q101" s="692" t="s">
        <v>649</v>
      </c>
      <c r="R101" s="692" t="s">
        <v>650</v>
      </c>
    </row>
    <row r="102" spans="2:19">
      <c r="L102" s="688" t="s">
        <v>652</v>
      </c>
      <c r="M102" s="688"/>
      <c r="N102" s="688"/>
      <c r="O102" s="688"/>
      <c r="P102" s="702">
        <v>436</v>
      </c>
      <c r="Q102" s="689">
        <v>1</v>
      </c>
      <c r="R102" s="702">
        <f>Q102*P102</f>
        <v>436</v>
      </c>
    </row>
    <row r="103" spans="2:19">
      <c r="L103" s="688" t="s">
        <v>60</v>
      </c>
      <c r="P103" s="702">
        <v>299</v>
      </c>
      <c r="Q103" s="689">
        <v>2</v>
      </c>
      <c r="R103" s="702">
        <f>Q103*P103</f>
        <v>598</v>
      </c>
    </row>
    <row r="104" spans="2:19">
      <c r="L104" s="688" t="s">
        <v>653</v>
      </c>
      <c r="M104" s="688"/>
      <c r="N104" s="688"/>
      <c r="P104" s="690">
        <v>217</v>
      </c>
      <c r="Q104" s="689">
        <v>3</v>
      </c>
      <c r="R104" s="690">
        <f>Q104*P104</f>
        <v>651</v>
      </c>
    </row>
    <row r="105" spans="2:19">
      <c r="L105" s="691" t="s">
        <v>654</v>
      </c>
      <c r="M105" s="691"/>
      <c r="N105" s="691"/>
      <c r="O105" s="691"/>
      <c r="P105" s="693">
        <v>163</v>
      </c>
      <c r="Q105" s="692">
        <v>4</v>
      </c>
      <c r="R105" s="693">
        <f>Q105*P105</f>
        <v>652</v>
      </c>
    </row>
    <row r="106" spans="2:19">
      <c r="L106" s="688"/>
      <c r="M106" s="688"/>
      <c r="N106" s="688"/>
      <c r="P106" s="689"/>
      <c r="Q106" s="698">
        <v>0.37</v>
      </c>
      <c r="R106" s="694">
        <f>R105+R104+R103+R102</f>
        <v>2337</v>
      </c>
    </row>
    <row r="107" spans="2:19">
      <c r="R107" s="696">
        <f>R106-R106*Q106</f>
        <v>1472.31</v>
      </c>
    </row>
    <row r="109" spans="2:19">
      <c r="D109" s="685" t="s">
        <v>655</v>
      </c>
    </row>
    <row r="110" spans="2:19">
      <c r="D110" s="685" t="s">
        <v>656</v>
      </c>
    </row>
    <row r="114" spans="4:18">
      <c r="M114" s="700"/>
      <c r="O114" s="701"/>
    </row>
    <row r="115" spans="4:18">
      <c r="M115" s="700"/>
      <c r="O115" s="701"/>
    </row>
    <row r="116" spans="4:18">
      <c r="M116" s="700"/>
      <c r="O116" s="701"/>
    </row>
    <row r="117" spans="4:18">
      <c r="M117" s="700"/>
      <c r="O117" s="701"/>
    </row>
    <row r="118" spans="4:18">
      <c r="L118" s="691"/>
      <c r="M118" s="691"/>
      <c r="N118" s="691"/>
      <c r="O118" s="691"/>
      <c r="P118" s="697" t="s">
        <v>648</v>
      </c>
      <c r="Q118" s="692" t="s">
        <v>649</v>
      </c>
      <c r="R118" s="692" t="s">
        <v>650</v>
      </c>
    </row>
    <row r="119" spans="4:18">
      <c r="L119" s="688" t="s">
        <v>652</v>
      </c>
      <c r="M119" s="688"/>
      <c r="N119" s="688"/>
      <c r="O119" s="688"/>
      <c r="P119" s="702">
        <v>436</v>
      </c>
      <c r="Q119" s="689">
        <v>1</v>
      </c>
      <c r="R119" s="702">
        <f>Q119*P119</f>
        <v>436</v>
      </c>
    </row>
    <row r="120" spans="4:18">
      <c r="L120" s="688" t="s">
        <v>60</v>
      </c>
      <c r="P120" s="702">
        <v>299</v>
      </c>
      <c r="Q120" s="689">
        <v>2</v>
      </c>
      <c r="R120" s="702">
        <f>Q120*P120</f>
        <v>598</v>
      </c>
    </row>
    <row r="121" spans="4:18">
      <c r="L121" s="688" t="s">
        <v>653</v>
      </c>
      <c r="M121" s="688"/>
      <c r="N121" s="688"/>
      <c r="P121" s="690">
        <v>217</v>
      </c>
      <c r="Q121" s="689">
        <v>5</v>
      </c>
      <c r="R121" s="690">
        <f>Q121*P121</f>
        <v>1085</v>
      </c>
    </row>
    <row r="122" spans="4:18">
      <c r="L122" s="691" t="s">
        <v>654</v>
      </c>
      <c r="M122" s="691"/>
      <c r="N122" s="691"/>
      <c r="O122" s="691"/>
      <c r="P122" s="693">
        <v>163</v>
      </c>
      <c r="Q122" s="692">
        <v>6</v>
      </c>
      <c r="R122" s="693">
        <f>Q122*P122</f>
        <v>978</v>
      </c>
    </row>
    <row r="123" spans="4:18">
      <c r="L123" s="688"/>
      <c r="M123" s="688"/>
      <c r="N123" s="688"/>
      <c r="P123" s="689"/>
      <c r="Q123" s="698">
        <v>0.37</v>
      </c>
      <c r="R123" s="694">
        <f>R122+R121+R120+R119</f>
        <v>3097</v>
      </c>
    </row>
    <row r="124" spans="4:18">
      <c r="R124" s="696">
        <f>R123-R123*Q123</f>
        <v>1951.1100000000001</v>
      </c>
    </row>
    <row r="126" spans="4:18">
      <c r="D126" s="685" t="s">
        <v>655</v>
      </c>
    </row>
    <row r="127" spans="4:18">
      <c r="D127" s="685" t="s">
        <v>656</v>
      </c>
    </row>
    <row r="131" spans="4:12">
      <c r="K131" s="685"/>
    </row>
    <row r="132" spans="4:12">
      <c r="D132" s="684" t="s">
        <v>646</v>
      </c>
      <c r="E132" s="684"/>
      <c r="F132" s="684"/>
      <c r="G132" s="684"/>
      <c r="H132" s="684"/>
      <c r="I132" s="684"/>
      <c r="J132" s="684"/>
      <c r="K132" s="684"/>
      <c r="L132" s="684"/>
    </row>
    <row r="133" spans="4:12">
      <c r="K133" s="685"/>
    </row>
    <row r="134" spans="4:12">
      <c r="K134" s="685"/>
    </row>
    <row r="135" spans="4:12">
      <c r="K135" s="685"/>
    </row>
    <row r="136" spans="4:12">
      <c r="K136" s="685"/>
    </row>
    <row r="137" spans="4:12">
      <c r="K137" s="685"/>
    </row>
    <row r="138" spans="4:12">
      <c r="K138" s="685"/>
    </row>
    <row r="139" spans="4:12">
      <c r="D139"/>
      <c r="K139" s="685"/>
    </row>
    <row r="140" spans="4:12">
      <c r="K140" s="685"/>
    </row>
    <row r="141" spans="4:12">
      <c r="D141" s="684" t="s">
        <v>647</v>
      </c>
      <c r="E141" s="684"/>
      <c r="F141" s="684"/>
      <c r="G141" s="684"/>
      <c r="H141" s="684"/>
      <c r="I141" s="684"/>
      <c r="J141" s="684"/>
      <c r="K141" s="684"/>
      <c r="L141" s="684"/>
    </row>
    <row r="142" spans="4:12">
      <c r="K142" s="685"/>
    </row>
    <row r="143" spans="4:12">
      <c r="K143" s="685"/>
    </row>
    <row r="144" spans="4:12">
      <c r="K144" s="685"/>
    </row>
    <row r="145" spans="11:11">
      <c r="K145" s="685"/>
    </row>
    <row r="146" spans="11:11">
      <c r="K146" s="685"/>
    </row>
    <row r="147" spans="11:11">
      <c r="K147" s="685"/>
    </row>
    <row r="148" spans="11:11">
      <c r="K148" s="685"/>
    </row>
    <row r="149" spans="11:11">
      <c r="K149" s="685"/>
    </row>
    <row r="150" spans="11:11">
      <c r="K150" s="685"/>
    </row>
  </sheetData>
  <sheetProtection algorithmName="SHA-512" hashValue="MWvRrIaTYM+ZSt+6jXAOdAFV3xeDZCvKFG7hRp0Iu8AYuZhFOdS3BD2zhxnBtgJVR1e1PYzxyh+zRu4YKfrSGw==" saltValue="hwDrvu6s/ksYY7aK52h/xQ==" spinCount="100000" sheet="1" objects="1" scenarios="1"/>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usz4">
    <tabColor theme="6"/>
  </sheetPr>
  <dimension ref="B2:T199"/>
  <sheetViews>
    <sheetView topLeftCell="A9" zoomScale="110" zoomScaleNormal="110" workbookViewId="0">
      <selection activeCell="C33" sqref="C33"/>
    </sheetView>
  </sheetViews>
  <sheetFormatPr defaultColWidth="9.109375" defaultRowHeight="14.4"/>
  <cols>
    <col min="1" max="1" width="2.88671875" style="147" customWidth="1"/>
    <col min="2" max="2" width="49.33203125" style="147" bestFit="1" customWidth="1"/>
    <col min="3" max="3" width="10.44140625" style="147" customWidth="1"/>
    <col min="4" max="4" width="15.33203125" style="147" customWidth="1"/>
    <col min="5" max="5" width="11.5546875" style="147" customWidth="1"/>
    <col min="6" max="6" width="9.109375" style="147"/>
    <col min="7" max="7" width="18.6640625" style="147" bestFit="1" customWidth="1"/>
    <col min="8" max="9" width="9.109375" style="147"/>
    <col min="10" max="10" width="15.44140625" style="147" customWidth="1"/>
    <col min="11" max="16384" width="9.109375" style="147"/>
  </cols>
  <sheetData>
    <row r="2" spans="2:9" ht="15" thickBot="1">
      <c r="B2" s="180"/>
      <c r="C2" s="833" t="s">
        <v>17</v>
      </c>
      <c r="D2" s="833"/>
      <c r="E2" s="838" t="s">
        <v>18</v>
      </c>
      <c r="F2" s="838"/>
      <c r="G2" s="838"/>
      <c r="H2" s="178"/>
      <c r="I2" s="233" t="b">
        <v>1</v>
      </c>
    </row>
    <row r="3" spans="2:9">
      <c r="B3" s="180"/>
      <c r="C3" s="181" t="s">
        <v>15</v>
      </c>
      <c r="D3" s="181" t="s">
        <v>16</v>
      </c>
      <c r="E3" s="834" t="s">
        <v>30</v>
      </c>
      <c r="F3" s="835"/>
      <c r="G3" s="182" t="s">
        <v>29</v>
      </c>
      <c r="H3" s="178"/>
      <c r="I3" s="178"/>
    </row>
    <row r="4" spans="2:9">
      <c r="B4" s="180"/>
      <c r="C4" s="183"/>
      <c r="D4" s="183"/>
      <c r="E4" s="836" t="s">
        <v>20</v>
      </c>
      <c r="F4" s="837"/>
      <c r="G4" s="184" t="s">
        <v>19</v>
      </c>
      <c r="H4" s="178"/>
      <c r="I4" s="178"/>
    </row>
    <row r="5" spans="2:9" ht="15" thickBot="1">
      <c r="B5" s="185"/>
      <c r="C5" s="181" t="s">
        <v>31</v>
      </c>
      <c r="D5" s="181" t="s">
        <v>32</v>
      </c>
      <c r="E5" s="186" t="s">
        <v>23</v>
      </c>
      <c r="F5" s="186" t="s">
        <v>24</v>
      </c>
      <c r="G5" s="186"/>
      <c r="H5" s="178"/>
      <c r="I5" s="178"/>
    </row>
    <row r="6" spans="2:9">
      <c r="B6" s="187" t="s">
        <v>120</v>
      </c>
      <c r="C6" s="188">
        <v>20</v>
      </c>
      <c r="D6" s="188"/>
      <c r="E6" s="189">
        <v>1</v>
      </c>
      <c r="F6" s="189">
        <v>1</v>
      </c>
      <c r="G6" s="190"/>
      <c r="H6" s="178" t="s">
        <v>131</v>
      </c>
      <c r="I6" s="178">
        <f>IF($I$2=TRUE,60,75)</f>
        <v>60</v>
      </c>
    </row>
    <row r="7" spans="2:9">
      <c r="B7" s="187" t="s">
        <v>38</v>
      </c>
      <c r="C7" s="188">
        <v>20</v>
      </c>
      <c r="D7" s="188"/>
      <c r="E7" s="189">
        <v>1</v>
      </c>
      <c r="F7" s="189">
        <v>1</v>
      </c>
      <c r="G7" s="190"/>
      <c r="H7" s="178" t="s">
        <v>131</v>
      </c>
      <c r="I7" s="178">
        <f t="shared" ref="I7:I12" si="0">IF($I$2=TRUE,60,75)</f>
        <v>60</v>
      </c>
    </row>
    <row r="8" spans="2:9">
      <c r="B8" s="187" t="s">
        <v>39</v>
      </c>
      <c r="C8" s="191">
        <v>20</v>
      </c>
      <c r="D8" s="191"/>
      <c r="E8" s="192">
        <v>1</v>
      </c>
      <c r="F8" s="192">
        <v>1</v>
      </c>
      <c r="G8" s="193"/>
      <c r="H8" s="178" t="s">
        <v>131</v>
      </c>
      <c r="I8" s="178">
        <f t="shared" si="0"/>
        <v>60</v>
      </c>
    </row>
    <row r="9" spans="2:9">
      <c r="B9" s="180" t="s">
        <v>37</v>
      </c>
      <c r="C9" s="194">
        <v>20</v>
      </c>
      <c r="D9" s="194"/>
      <c r="E9" s="189">
        <v>1</v>
      </c>
      <c r="F9" s="189">
        <v>1</v>
      </c>
      <c r="G9" s="190"/>
      <c r="H9" s="178" t="s">
        <v>131</v>
      </c>
      <c r="I9" s="178">
        <f t="shared" si="0"/>
        <v>60</v>
      </c>
    </row>
    <row r="10" spans="2:9">
      <c r="B10" s="180" t="s">
        <v>629</v>
      </c>
      <c r="C10" s="194">
        <v>20</v>
      </c>
      <c r="D10" s="194"/>
      <c r="E10" s="189">
        <v>1</v>
      </c>
      <c r="F10" s="189">
        <v>1</v>
      </c>
      <c r="G10" s="190"/>
      <c r="H10" s="178" t="s">
        <v>131</v>
      </c>
      <c r="I10" s="178">
        <f t="shared" si="0"/>
        <v>60</v>
      </c>
    </row>
    <row r="11" spans="2:9">
      <c r="B11" s="180" t="s">
        <v>245</v>
      </c>
      <c r="C11" s="194">
        <v>20</v>
      </c>
      <c r="D11" s="194"/>
      <c r="E11" s="189">
        <v>1</v>
      </c>
      <c r="F11" s="189">
        <v>1</v>
      </c>
      <c r="G11" s="190"/>
      <c r="H11" s="178" t="s">
        <v>131</v>
      </c>
      <c r="I11" s="178">
        <f t="shared" si="0"/>
        <v>60</v>
      </c>
    </row>
    <row r="12" spans="2:9">
      <c r="B12" s="180" t="s">
        <v>246</v>
      </c>
      <c r="C12" s="194">
        <v>20</v>
      </c>
      <c r="D12" s="194"/>
      <c r="E12" s="189">
        <v>1</v>
      </c>
      <c r="F12" s="189">
        <v>1</v>
      </c>
      <c r="G12" s="190"/>
      <c r="H12" s="178" t="s">
        <v>130</v>
      </c>
      <c r="I12" s="178">
        <f t="shared" si="0"/>
        <v>60</v>
      </c>
    </row>
    <row r="13" spans="2:9">
      <c r="B13" s="180"/>
      <c r="C13" s="183" t="s">
        <v>19</v>
      </c>
      <c r="D13" s="183" t="s">
        <v>19</v>
      </c>
      <c r="E13" s="189"/>
      <c r="F13" s="189"/>
      <c r="G13" s="190"/>
      <c r="H13" s="178"/>
      <c r="I13" s="178"/>
    </row>
    <row r="14" spans="2:9">
      <c r="B14" s="180" t="s">
        <v>128</v>
      </c>
      <c r="C14" s="194"/>
      <c r="D14" s="194">
        <v>70</v>
      </c>
      <c r="E14" s="189">
        <v>2</v>
      </c>
      <c r="F14" s="189">
        <v>2</v>
      </c>
      <c r="G14" s="189"/>
      <c r="H14" s="178" t="s">
        <v>130</v>
      </c>
      <c r="I14" s="178">
        <v>75</v>
      </c>
    </row>
    <row r="15" spans="2:9">
      <c r="B15" s="180" t="s">
        <v>129</v>
      </c>
      <c r="C15" s="194"/>
      <c r="D15" s="194">
        <v>50</v>
      </c>
      <c r="E15" s="189">
        <v>2</v>
      </c>
      <c r="F15" s="189">
        <v>2</v>
      </c>
      <c r="G15" s="189"/>
      <c r="H15" s="178" t="s">
        <v>130</v>
      </c>
      <c r="I15" s="178">
        <v>75</v>
      </c>
    </row>
    <row r="16" spans="2:9">
      <c r="B16" s="180" t="s">
        <v>628</v>
      </c>
      <c r="C16" s="194"/>
      <c r="D16" s="194">
        <v>20</v>
      </c>
      <c r="E16" s="189"/>
      <c r="F16" s="189"/>
      <c r="G16" s="189"/>
      <c r="H16" s="178"/>
      <c r="I16" s="178"/>
    </row>
    <row r="17" spans="2:10">
      <c r="B17" s="180" t="s">
        <v>246</v>
      </c>
      <c r="C17" s="194"/>
      <c r="D17" s="194">
        <v>20</v>
      </c>
      <c r="E17" s="189"/>
      <c r="F17" s="189"/>
      <c r="G17" s="189"/>
      <c r="H17" s="178"/>
      <c r="I17" s="178"/>
    </row>
    <row r="18" spans="2:10">
      <c r="B18" s="180" t="s">
        <v>21</v>
      </c>
      <c r="C18" s="194"/>
      <c r="D18" s="194">
        <v>50</v>
      </c>
      <c r="E18" s="189">
        <v>2</v>
      </c>
      <c r="F18" s="189">
        <v>3</v>
      </c>
      <c r="G18" s="189"/>
      <c r="H18" s="178" t="s">
        <v>130</v>
      </c>
      <c r="I18" s="178">
        <v>75</v>
      </c>
    </row>
    <row r="19" spans="2:10">
      <c r="B19" s="180" t="s">
        <v>22</v>
      </c>
      <c r="C19" s="194"/>
      <c r="D19" s="194">
        <v>30</v>
      </c>
      <c r="E19" s="189">
        <v>2</v>
      </c>
      <c r="F19" s="189">
        <v>3</v>
      </c>
      <c r="G19" s="189"/>
      <c r="H19" s="178" t="s">
        <v>130</v>
      </c>
      <c r="I19" s="178">
        <v>75</v>
      </c>
    </row>
    <row r="20" spans="2:10">
      <c r="B20" s="180" t="s">
        <v>28</v>
      </c>
      <c r="C20" s="194"/>
      <c r="D20" s="194">
        <v>0</v>
      </c>
      <c r="E20" s="189"/>
      <c r="F20" s="189">
        <v>1</v>
      </c>
      <c r="G20" s="189">
        <v>50</v>
      </c>
      <c r="H20" s="178" t="s">
        <v>130</v>
      </c>
      <c r="I20" s="178">
        <v>75</v>
      </c>
    </row>
    <row r="21" spans="2:10">
      <c r="B21" s="180" t="s">
        <v>26</v>
      </c>
      <c r="C21" s="194"/>
      <c r="D21" s="194">
        <v>15</v>
      </c>
      <c r="E21" s="189">
        <v>1</v>
      </c>
      <c r="F21" s="189">
        <v>1</v>
      </c>
      <c r="G21" s="189"/>
      <c r="H21" s="178" t="s">
        <v>130</v>
      </c>
      <c r="I21" s="178">
        <v>75</v>
      </c>
    </row>
    <row r="22" spans="2:10">
      <c r="B22" s="195" t="s">
        <v>122</v>
      </c>
      <c r="C22" s="196"/>
      <c r="D22" s="194">
        <v>15</v>
      </c>
      <c r="E22" s="189">
        <v>0.5</v>
      </c>
      <c r="F22" s="189">
        <v>0.5</v>
      </c>
      <c r="G22" s="197"/>
      <c r="H22" s="178" t="s">
        <v>130</v>
      </c>
      <c r="I22" s="178">
        <v>75</v>
      </c>
    </row>
    <row r="23" spans="2:10">
      <c r="B23" s="180" t="s">
        <v>25</v>
      </c>
      <c r="C23" s="198"/>
      <c r="D23" s="199">
        <v>15</v>
      </c>
      <c r="E23" s="200">
        <v>0.5</v>
      </c>
      <c r="F23" s="200">
        <v>0.5</v>
      </c>
      <c r="G23" s="197"/>
      <c r="H23" s="178" t="s">
        <v>130</v>
      </c>
      <c r="I23" s="178">
        <v>75</v>
      </c>
    </row>
    <row r="24" spans="2:10">
      <c r="B24" s="180" t="s">
        <v>123</v>
      </c>
      <c r="C24" s="199">
        <v>20</v>
      </c>
      <c r="D24" s="199">
        <v>20</v>
      </c>
      <c r="E24" s="200">
        <v>2</v>
      </c>
      <c r="F24" s="200">
        <v>2</v>
      </c>
      <c r="G24" s="197"/>
      <c r="H24" s="178" t="s">
        <v>130</v>
      </c>
      <c r="I24" s="178">
        <v>60</v>
      </c>
    </row>
    <row r="25" spans="2:10">
      <c r="B25" s="180" t="s">
        <v>147</v>
      </c>
      <c r="C25" s="198"/>
      <c r="D25" s="199">
        <v>0</v>
      </c>
      <c r="E25" s="200">
        <v>2</v>
      </c>
      <c r="F25" s="200">
        <v>2</v>
      </c>
      <c r="G25" s="190"/>
      <c r="H25" s="178" t="s">
        <v>130</v>
      </c>
      <c r="I25" s="178">
        <v>75</v>
      </c>
    </row>
    <row r="26" spans="2:10">
      <c r="B26" s="180" t="s">
        <v>27</v>
      </c>
      <c r="C26" s="194"/>
      <c r="D26" s="194">
        <v>15</v>
      </c>
      <c r="E26" s="189">
        <v>1</v>
      </c>
      <c r="F26" s="189">
        <v>1</v>
      </c>
      <c r="G26" s="189"/>
      <c r="H26" s="178" t="s">
        <v>130</v>
      </c>
      <c r="I26" s="178">
        <v>75</v>
      </c>
    </row>
    <row r="27" spans="2:10">
      <c r="B27" s="201" t="s">
        <v>247</v>
      </c>
      <c r="C27" s="202">
        <v>15</v>
      </c>
      <c r="D27" s="202">
        <v>15</v>
      </c>
      <c r="E27" s="203">
        <v>1</v>
      </c>
      <c r="F27" s="203">
        <v>1</v>
      </c>
      <c r="G27" s="197"/>
      <c r="H27" s="178" t="s">
        <v>130</v>
      </c>
      <c r="I27" s="178">
        <v>75</v>
      </c>
    </row>
    <row r="28" spans="2:10">
      <c r="B28" s="180" t="s">
        <v>33</v>
      </c>
      <c r="C28" s="196"/>
      <c r="D28" s="196"/>
      <c r="E28" s="190"/>
      <c r="F28" s="190"/>
      <c r="G28" s="190"/>
      <c r="H28" s="178" t="s">
        <v>131</v>
      </c>
      <c r="I28" s="178"/>
    </row>
    <row r="30" spans="2:10">
      <c r="H30" s="177"/>
      <c r="I30" s="177"/>
    </row>
    <row r="31" spans="2:10" ht="15" thickBot="1">
      <c r="B31" s="204"/>
      <c r="C31" s="204"/>
      <c r="D31" s="204"/>
      <c r="E31" s="204"/>
      <c r="F31" s="204"/>
      <c r="G31" s="204"/>
      <c r="H31" s="204"/>
      <c r="I31" s="204"/>
      <c r="J31" s="204"/>
    </row>
    <row r="32" spans="2:10" ht="15" thickBot="1">
      <c r="C32" s="208">
        <v>0.38</v>
      </c>
    </row>
    <row r="33" spans="2:10" ht="15" thickBot="1">
      <c r="C33" s="208">
        <v>0.54</v>
      </c>
    </row>
    <row r="34" spans="2:10" ht="15" thickBot="1">
      <c r="C34" s="208">
        <v>1.1499999999999999</v>
      </c>
    </row>
    <row r="35" spans="2:10" ht="15" thickBot="1">
      <c r="C35" s="209"/>
    </row>
    <row r="36" spans="2:10" ht="15" customHeight="1"/>
    <row r="37" spans="2:10">
      <c r="B37" s="204" t="s">
        <v>627</v>
      </c>
      <c r="C37" s="204"/>
      <c r="D37" s="204"/>
      <c r="E37" s="204"/>
      <c r="F37" s="204"/>
      <c r="G37" s="204"/>
      <c r="H37" s="204"/>
      <c r="I37" s="204"/>
      <c r="J37" s="204"/>
    </row>
    <row r="38" spans="2:10">
      <c r="B38" s="363" t="s">
        <v>250</v>
      </c>
    </row>
    <row r="39" spans="2:10">
      <c r="B39" s="364" t="str">
        <f>B6</f>
        <v>Pokój dzienny</v>
      </c>
    </row>
    <row r="40" spans="2:10">
      <c r="B40" s="364" t="str">
        <f>B7</f>
        <v>Gabinet</v>
      </c>
      <c r="C40" s="179"/>
    </row>
    <row r="41" spans="2:10">
      <c r="B41" s="364" t="str">
        <f>B8</f>
        <v>Sypialnia</v>
      </c>
      <c r="C41" s="179"/>
    </row>
    <row r="42" spans="2:10">
      <c r="B42" s="364" t="str">
        <f>B9</f>
        <v>Salon</v>
      </c>
      <c r="C42" s="179"/>
    </row>
    <row r="43" spans="2:10">
      <c r="B43" s="364" t="s">
        <v>629</v>
      </c>
      <c r="C43" s="179"/>
    </row>
    <row r="44" spans="2:10">
      <c r="B44" s="364" t="str">
        <f>B11</f>
        <v>Pomieszczenie / nawiew</v>
      </c>
      <c r="C44" s="179"/>
    </row>
    <row r="45" spans="2:10">
      <c r="B45" s="363" t="s">
        <v>251</v>
      </c>
      <c r="C45" s="179"/>
    </row>
    <row r="46" spans="2:10">
      <c r="B46" s="179" t="str">
        <f>B12</f>
        <v>Pomieszczenie / wywiew</v>
      </c>
      <c r="C46" s="179"/>
    </row>
    <row r="47" spans="2:10">
      <c r="B47" s="364" t="str">
        <f>B14</f>
        <v>Kuchnia otwarta z kuchenką gazową</v>
      </c>
      <c r="C47" s="179"/>
    </row>
    <row r="48" spans="2:10">
      <c r="B48" s="364" t="str">
        <f>B15</f>
        <v>Kuchnia otwarta z kuchenką elektryczną</v>
      </c>
      <c r="C48" s="179"/>
    </row>
    <row r="49" spans="2:3">
      <c r="B49" s="364" t="s">
        <v>628</v>
      </c>
      <c r="C49" s="179"/>
    </row>
    <row r="50" spans="2:3">
      <c r="B50" s="364" t="str">
        <f t="shared" ref="B50:B60" si="1">B18</f>
        <v>Łazienka</v>
      </c>
      <c r="C50" s="179"/>
    </row>
    <row r="51" spans="2:3">
      <c r="B51" s="364" t="str">
        <f t="shared" si="1"/>
        <v>WC (bez wanny lub kabiny prysznicowej)</v>
      </c>
      <c r="C51" s="179"/>
    </row>
    <row r="52" spans="2:3">
      <c r="B52" s="364" t="str">
        <f t="shared" si="1"/>
        <v>Klatka schodowa, hol</v>
      </c>
      <c r="C52" s="179"/>
    </row>
    <row r="53" spans="2:3">
      <c r="B53" s="364" t="str">
        <f t="shared" si="1"/>
        <v>Pomieszczenie gospodarcze</v>
      </c>
      <c r="C53" s="179"/>
    </row>
    <row r="54" spans="2:3">
      <c r="B54" s="364" t="str">
        <f t="shared" si="1"/>
        <v>Garderoba</v>
      </c>
      <c r="C54" s="179"/>
    </row>
    <row r="55" spans="2:3">
      <c r="B55" s="364" t="str">
        <f t="shared" si="1"/>
        <v>Wiatrołap</v>
      </c>
      <c r="C55" s="179"/>
    </row>
    <row r="56" spans="2:3">
      <c r="B56" s="364" t="str">
        <f t="shared" si="1"/>
        <v>Pomieszczenie rekreacyjne</v>
      </c>
      <c r="C56" s="179"/>
    </row>
    <row r="57" spans="2:3">
      <c r="B57" s="364" t="str">
        <f t="shared" si="1"/>
        <v>Pralnia, suszarnia</v>
      </c>
      <c r="C57" s="179"/>
    </row>
    <row r="58" spans="2:3">
      <c r="B58" s="364" t="str">
        <f t="shared" si="1"/>
        <v>Spiżarnia</v>
      </c>
      <c r="C58" s="179"/>
    </row>
    <row r="59" spans="2:3">
      <c r="B59" s="364" t="str">
        <f t="shared" si="1"/>
        <v>Kotłownia z kotłem grupy C lub pompą ciepła</v>
      </c>
    </row>
    <row r="60" spans="2:3">
      <c r="B60" s="364" t="str">
        <f t="shared" si="1"/>
        <v>Garaż</v>
      </c>
    </row>
    <row r="61" spans="2:3">
      <c r="B61" s="179"/>
    </row>
    <row r="62" spans="2:3" hidden="1"/>
    <row r="63" spans="2:3" hidden="1"/>
    <row r="64" spans="2:3" hidden="1"/>
    <row r="65" hidden="1"/>
    <row r="66" hidden="1"/>
    <row r="67" hidden="1"/>
    <row r="68" hidden="1"/>
    <row r="69" hidden="1"/>
    <row r="70" hidden="1"/>
    <row r="71" hidden="1"/>
    <row r="72" hidden="1"/>
    <row r="73" hidden="1"/>
    <row r="74" hidden="1"/>
    <row r="75" hidden="1"/>
    <row r="76" hidden="1"/>
    <row r="77" hidden="1"/>
    <row r="78" hidden="1"/>
    <row r="79" hidden="1"/>
    <row r="80" hidden="1"/>
    <row r="81" spans="2:20" hidden="1"/>
    <row r="82" spans="2:20" hidden="1"/>
    <row r="83" spans="2:20" hidden="1"/>
    <row r="84" spans="2:20" hidden="1"/>
    <row r="85" spans="2:20" hidden="1"/>
    <row r="86" spans="2:20" hidden="1"/>
    <row r="87" spans="2:20" hidden="1"/>
    <row r="88" spans="2:20" hidden="1"/>
    <row r="89" spans="2:20" hidden="1"/>
    <row r="90" spans="2:20" hidden="1"/>
    <row r="91" spans="2:20" hidden="1"/>
    <row r="92" spans="2:20" hidden="1"/>
    <row r="94" spans="2:20">
      <c r="B94" s="211" t="s">
        <v>210</v>
      </c>
      <c r="C94" s="212"/>
      <c r="D94" s="212"/>
      <c r="E94" s="212"/>
      <c r="F94" s="213"/>
      <c r="G94" s="213"/>
      <c r="H94" s="213"/>
      <c r="I94" s="213"/>
      <c r="J94" s="214"/>
      <c r="K94" s="176"/>
      <c r="L94" s="176"/>
      <c r="M94" s="176"/>
      <c r="N94" s="176"/>
      <c r="O94" s="176"/>
      <c r="P94" s="176"/>
      <c r="Q94" s="176"/>
      <c r="R94" s="110"/>
      <c r="S94" s="110"/>
      <c r="T94" s="110"/>
    </row>
    <row r="95" spans="2:20">
      <c r="B95"/>
      <c r="C95"/>
      <c r="D95"/>
      <c r="E95"/>
      <c r="F95"/>
      <c r="G95"/>
      <c r="H95"/>
      <c r="I95"/>
      <c r="J95"/>
      <c r="K95"/>
      <c r="L95"/>
      <c r="M95"/>
      <c r="N95"/>
      <c r="O95"/>
      <c r="P95"/>
      <c r="Q95"/>
      <c r="R95"/>
      <c r="S95" s="97"/>
      <c r="T95"/>
    </row>
    <row r="96" spans="2:20">
      <c r="B96" t="s">
        <v>166</v>
      </c>
      <c r="C96"/>
      <c r="D96"/>
      <c r="E96"/>
      <c r="F96"/>
      <c r="G96"/>
      <c r="H96"/>
      <c r="I96"/>
      <c r="J96"/>
      <c r="K96"/>
      <c r="L96"/>
      <c r="M96"/>
      <c r="N96"/>
      <c r="O96"/>
      <c r="P96"/>
      <c r="Q96"/>
      <c r="R96"/>
      <c r="S96" s="97"/>
      <c r="T96"/>
    </row>
    <row r="97" spans="2:20">
      <c r="B97" t="s">
        <v>169</v>
      </c>
      <c r="C97"/>
      <c r="D97"/>
      <c r="E97"/>
      <c r="F97"/>
      <c r="G97"/>
      <c r="H97"/>
      <c r="I97"/>
      <c r="J97"/>
      <c r="K97"/>
      <c r="L97"/>
      <c r="M97"/>
      <c r="N97"/>
      <c r="O97"/>
      <c r="P97"/>
      <c r="Q97"/>
      <c r="R97"/>
      <c r="S97" s="97"/>
      <c r="T97"/>
    </row>
    <row r="98" spans="2:20">
      <c r="B98" t="s">
        <v>167</v>
      </c>
      <c r="C98"/>
      <c r="D98"/>
      <c r="E98"/>
      <c r="F98"/>
      <c r="G98"/>
      <c r="H98"/>
      <c r="I98"/>
      <c r="J98"/>
      <c r="K98"/>
      <c r="L98"/>
      <c r="M98"/>
      <c r="N98"/>
      <c r="O98"/>
      <c r="P98"/>
      <c r="Q98"/>
      <c r="R98"/>
      <c r="S98" s="97"/>
      <c r="T98"/>
    </row>
    <row r="99" spans="2:20">
      <c r="B99" t="s">
        <v>168</v>
      </c>
      <c r="C99"/>
      <c r="D99"/>
      <c r="E99"/>
      <c r="F99"/>
      <c r="G99"/>
      <c r="H99"/>
      <c r="I99"/>
      <c r="J99"/>
      <c r="K99"/>
      <c r="L99"/>
      <c r="M99"/>
      <c r="N99"/>
      <c r="O99"/>
      <c r="P99"/>
      <c r="Q99"/>
      <c r="R99"/>
      <c r="S99" s="97"/>
      <c r="T99"/>
    </row>
    <row r="100" spans="2:20">
      <c r="B100" t="s">
        <v>180</v>
      </c>
      <c r="C100"/>
      <c r="D100"/>
      <c r="E100"/>
      <c r="F100"/>
      <c r="G100"/>
      <c r="H100"/>
      <c r="I100"/>
      <c r="J100"/>
      <c r="K100"/>
      <c r="L100"/>
      <c r="M100"/>
      <c r="N100"/>
      <c r="O100"/>
      <c r="P100"/>
      <c r="Q100"/>
      <c r="R100"/>
      <c r="S100" s="97"/>
      <c r="T100"/>
    </row>
    <row r="101" spans="2:20">
      <c r="B101" t="s">
        <v>174</v>
      </c>
      <c r="C101"/>
      <c r="D101"/>
      <c r="E101"/>
      <c r="F101"/>
      <c r="G101"/>
      <c r="H101"/>
      <c r="I101"/>
      <c r="J101"/>
      <c r="K101"/>
      <c r="L101"/>
      <c r="M101"/>
      <c r="N101"/>
      <c r="O101"/>
      <c r="P101"/>
      <c r="Q101"/>
      <c r="R101"/>
      <c r="S101" s="97"/>
      <c r="T101"/>
    </row>
    <row r="102" spans="2:20">
      <c r="B102" t="s">
        <v>173</v>
      </c>
      <c r="C102"/>
      <c r="D102"/>
      <c r="E102"/>
      <c r="F102"/>
      <c r="G102"/>
      <c r="H102"/>
      <c r="I102"/>
      <c r="J102"/>
      <c r="K102"/>
      <c r="L102"/>
      <c r="M102"/>
      <c r="N102"/>
      <c r="O102"/>
      <c r="P102"/>
      <c r="Q102"/>
      <c r="R102"/>
      <c r="S102" s="97"/>
      <c r="T102"/>
    </row>
    <row r="103" spans="2:20">
      <c r="B103" t="s">
        <v>172</v>
      </c>
      <c r="C103"/>
      <c r="D103"/>
      <c r="E103"/>
      <c r="F103"/>
      <c r="G103"/>
      <c r="H103"/>
      <c r="I103"/>
      <c r="J103"/>
      <c r="K103"/>
      <c r="L103"/>
      <c r="M103"/>
      <c r="N103"/>
      <c r="O103"/>
      <c r="P103"/>
      <c r="Q103"/>
      <c r="R103"/>
      <c r="S103" s="97"/>
      <c r="T103"/>
    </row>
    <row r="104" spans="2:20">
      <c r="B104" t="s">
        <v>207</v>
      </c>
      <c r="C104"/>
      <c r="D104"/>
      <c r="E104"/>
      <c r="F104"/>
      <c r="G104"/>
      <c r="H104"/>
      <c r="I104"/>
      <c r="J104"/>
      <c r="K104"/>
      <c r="L104"/>
      <c r="M104"/>
      <c r="N104"/>
      <c r="O104"/>
      <c r="P104"/>
      <c r="Q104"/>
      <c r="R104"/>
      <c r="S104" s="97"/>
      <c r="T104"/>
    </row>
    <row r="105" spans="2:20">
      <c r="B105" t="s">
        <v>179</v>
      </c>
      <c r="C105"/>
      <c r="D105"/>
      <c r="E105"/>
      <c r="F105"/>
      <c r="G105"/>
      <c r="H105"/>
      <c r="I105"/>
      <c r="J105"/>
      <c r="K105"/>
      <c r="L105"/>
      <c r="M105"/>
      <c r="N105"/>
      <c r="O105"/>
      <c r="P105"/>
      <c r="Q105"/>
      <c r="R105"/>
      <c r="S105" s="97"/>
      <c r="T105"/>
    </row>
    <row r="106" spans="2:20">
      <c r="B106" t="s">
        <v>178</v>
      </c>
      <c r="C106"/>
      <c r="D106"/>
      <c r="E106"/>
      <c r="F106"/>
      <c r="G106"/>
      <c r="H106"/>
      <c r="I106"/>
      <c r="J106"/>
      <c r="K106"/>
      <c r="L106"/>
      <c r="M106"/>
      <c r="N106"/>
      <c r="O106"/>
      <c r="P106"/>
      <c r="Q106"/>
      <c r="R106"/>
      <c r="S106" s="97"/>
      <c r="T106"/>
    </row>
    <row r="107" spans="2:20">
      <c r="B107" t="s">
        <v>244</v>
      </c>
      <c r="C107"/>
      <c r="D107"/>
      <c r="E107"/>
      <c r="F107"/>
      <c r="G107"/>
      <c r="H107"/>
      <c r="I107"/>
      <c r="J107"/>
      <c r="K107"/>
      <c r="L107"/>
      <c r="M107"/>
      <c r="N107"/>
      <c r="O107"/>
      <c r="P107"/>
      <c r="Q107"/>
      <c r="R107"/>
      <c r="S107" s="97"/>
      <c r="T107"/>
    </row>
    <row r="108" spans="2:20">
      <c r="B108"/>
      <c r="C108"/>
      <c r="D108"/>
      <c r="E108"/>
      <c r="F108"/>
      <c r="G108"/>
      <c r="H108"/>
      <c r="I108"/>
      <c r="J108"/>
      <c r="K108"/>
      <c r="L108"/>
      <c r="M108"/>
      <c r="N108"/>
      <c r="O108"/>
      <c r="P108"/>
      <c r="Q108"/>
      <c r="R108"/>
      <c r="S108" s="97"/>
      <c r="T108"/>
    </row>
    <row r="109" spans="2:20">
      <c r="B109" s="211" t="s">
        <v>208</v>
      </c>
      <c r="C109" s="212"/>
      <c r="D109" s="212"/>
      <c r="E109" s="212"/>
      <c r="F109" s="213"/>
      <c r="G109" s="213"/>
      <c r="H109" s="213"/>
      <c r="I109" s="213"/>
      <c r="J109" s="214"/>
      <c r="K109" s="176"/>
      <c r="L109" s="176"/>
      <c r="M109" s="176"/>
      <c r="N109" s="176"/>
      <c r="O109" s="176"/>
      <c r="P109" s="176"/>
      <c r="Q109" s="176"/>
      <c r="R109" s="110"/>
      <c r="S109" s="110"/>
      <c r="T109" s="110"/>
    </row>
    <row r="110" spans="2:20">
      <c r="B110"/>
      <c r="C110"/>
      <c r="D110"/>
      <c r="E110"/>
      <c r="F110"/>
      <c r="G110"/>
      <c r="H110"/>
      <c r="I110"/>
      <c r="J110"/>
      <c r="K110"/>
      <c r="L110"/>
      <c r="M110"/>
      <c r="N110"/>
      <c r="O110"/>
      <c r="P110"/>
      <c r="Q110"/>
      <c r="R110"/>
      <c r="S110" s="97"/>
      <c r="T110"/>
    </row>
    <row r="111" spans="2:20">
      <c r="B111" t="s">
        <v>170</v>
      </c>
      <c r="C111"/>
      <c r="D111"/>
      <c r="E111"/>
      <c r="F111"/>
      <c r="G111"/>
      <c r="H111"/>
      <c r="I111"/>
      <c r="J111"/>
      <c r="K111"/>
      <c r="L111"/>
      <c r="M111"/>
      <c r="N111"/>
      <c r="O111"/>
      <c r="P111"/>
      <c r="Q111"/>
      <c r="R111"/>
      <c r="S111" s="97"/>
      <c r="T111"/>
    </row>
    <row r="112" spans="2:20">
      <c r="B112" t="s">
        <v>177</v>
      </c>
      <c r="C112"/>
      <c r="D112"/>
      <c r="E112"/>
      <c r="F112"/>
      <c r="G112"/>
      <c r="H112"/>
      <c r="I112"/>
      <c r="J112"/>
      <c r="K112"/>
      <c r="L112"/>
      <c r="M112"/>
      <c r="N112"/>
      <c r="O112"/>
      <c r="P112"/>
      <c r="Q112"/>
      <c r="R112"/>
      <c r="S112" s="97"/>
      <c r="T112"/>
    </row>
    <row r="113" spans="2:20">
      <c r="B113" t="s">
        <v>171</v>
      </c>
      <c r="C113"/>
      <c r="D113"/>
      <c r="E113"/>
      <c r="F113"/>
      <c r="G113"/>
      <c r="H113"/>
      <c r="I113"/>
      <c r="J113"/>
      <c r="K113"/>
      <c r="L113"/>
      <c r="M113"/>
      <c r="N113"/>
      <c r="O113"/>
      <c r="P113"/>
      <c r="Q113"/>
      <c r="R113"/>
      <c r="S113" s="97"/>
      <c r="T113"/>
    </row>
    <row r="114" spans="2:20">
      <c r="B114"/>
      <c r="C114"/>
      <c r="D114"/>
      <c r="E114"/>
      <c r="F114"/>
      <c r="G114"/>
      <c r="H114"/>
      <c r="I114"/>
      <c r="J114"/>
      <c r="K114"/>
      <c r="L114"/>
      <c r="M114"/>
      <c r="N114"/>
      <c r="O114"/>
      <c r="P114"/>
      <c r="Q114"/>
      <c r="R114"/>
      <c r="S114" s="97"/>
      <c r="T114"/>
    </row>
    <row r="115" spans="2:20">
      <c r="B115" s="211" t="s">
        <v>209</v>
      </c>
      <c r="C115" s="212"/>
      <c r="D115" s="212"/>
      <c r="E115" s="212"/>
      <c r="F115" s="213"/>
      <c r="G115" s="213"/>
      <c r="H115" s="213"/>
      <c r="I115" s="213"/>
      <c r="J115" s="214"/>
      <c r="K115" s="176"/>
      <c r="L115" s="176"/>
      <c r="M115" s="176"/>
      <c r="N115" s="176"/>
      <c r="O115" s="176"/>
      <c r="P115" s="176"/>
      <c r="Q115" s="176"/>
      <c r="R115" s="110"/>
      <c r="S115" s="110"/>
      <c r="T115" s="110"/>
    </row>
    <row r="116" spans="2:20">
      <c r="B116"/>
      <c r="C116"/>
      <c r="D116"/>
      <c r="E116"/>
      <c r="F116"/>
      <c r="G116"/>
      <c r="H116"/>
      <c r="I116"/>
      <c r="J116"/>
      <c r="K116"/>
      <c r="L116"/>
      <c r="M116"/>
      <c r="N116"/>
      <c r="O116"/>
      <c r="P116"/>
      <c r="Q116"/>
      <c r="R116"/>
      <c r="S116" s="97"/>
      <c r="T116"/>
    </row>
    <row r="117" spans="2:20">
      <c r="B117" t="s">
        <v>176</v>
      </c>
      <c r="C117"/>
      <c r="D117"/>
      <c r="E117"/>
      <c r="F117"/>
      <c r="G117"/>
      <c r="H117"/>
      <c r="I117"/>
      <c r="J117"/>
      <c r="K117"/>
      <c r="L117"/>
      <c r="M117"/>
      <c r="N117"/>
      <c r="O117"/>
      <c r="P117"/>
      <c r="Q117"/>
      <c r="R117"/>
      <c r="S117" s="97"/>
      <c r="T117"/>
    </row>
    <row r="118" spans="2:20">
      <c r="B118" t="s">
        <v>175</v>
      </c>
      <c r="C118"/>
      <c r="D118"/>
      <c r="E118"/>
      <c r="F118"/>
      <c r="G118"/>
      <c r="H118"/>
      <c r="I118"/>
      <c r="J118"/>
      <c r="K118"/>
      <c r="L118"/>
      <c r="M118"/>
      <c r="N118"/>
      <c r="O118"/>
      <c r="P118"/>
      <c r="Q118"/>
      <c r="R118"/>
      <c r="S118" s="97"/>
      <c r="T118"/>
    </row>
    <row r="120" spans="2:20">
      <c r="B120" s="204" t="s">
        <v>182</v>
      </c>
      <c r="C120" s="204"/>
      <c r="D120" s="204"/>
      <c r="E120" s="204"/>
      <c r="F120" s="204"/>
      <c r="G120" s="204"/>
      <c r="H120" s="204"/>
      <c r="I120" s="204"/>
      <c r="J120" s="204"/>
    </row>
    <row r="121" spans="2:20">
      <c r="B121" s="147" t="s">
        <v>183</v>
      </c>
    </row>
    <row r="122" spans="2:20">
      <c r="B122" s="147" t="s">
        <v>186</v>
      </c>
      <c r="C122" s="205"/>
      <c r="D122" s="147" t="s">
        <v>36</v>
      </c>
    </row>
    <row r="123" spans="2:20">
      <c r="B123" s="147" t="s">
        <v>184</v>
      </c>
      <c r="D123" s="147" t="s">
        <v>19</v>
      </c>
      <c r="E123" s="206" t="str">
        <f>IFERROR(C123/C122,"błąd")</f>
        <v>błąd</v>
      </c>
      <c r="F123" s="147" t="s">
        <v>187</v>
      </c>
    </row>
    <row r="124" spans="2:20">
      <c r="B124" s="147" t="s">
        <v>185</v>
      </c>
      <c r="C124" s="147">
        <f>C122*E124</f>
        <v>0</v>
      </c>
      <c r="D124" s="147" t="s">
        <v>19</v>
      </c>
      <c r="E124" s="147">
        <v>0.5</v>
      </c>
      <c r="F124" s="147" t="s">
        <v>188</v>
      </c>
    </row>
    <row r="126" spans="2:20">
      <c r="B126" s="207" t="s">
        <v>189</v>
      </c>
      <c r="C126" s="147">
        <f>$C$124*1.2/3600*D126*24*31</f>
        <v>0</v>
      </c>
      <c r="D126" s="147">
        <f>$H$127-E126</f>
        <v>11.5</v>
      </c>
      <c r="E126" s="147">
        <v>8.5</v>
      </c>
      <c r="F126" s="147" t="s">
        <v>190</v>
      </c>
    </row>
    <row r="127" spans="2:20">
      <c r="B127" s="207" t="s">
        <v>156</v>
      </c>
      <c r="C127" s="147">
        <f>$C$124*1.2/3600*D127*24*30</f>
        <v>0</v>
      </c>
      <c r="D127" s="147">
        <f t="shared" ref="D127:D132" si="2">$H$127-E127</f>
        <v>16.899999999999999</v>
      </c>
      <c r="E127" s="147">
        <v>3.1</v>
      </c>
      <c r="F127" s="147" t="s">
        <v>191</v>
      </c>
      <c r="H127" s="147">
        <v>20</v>
      </c>
      <c r="I127" s="147" t="s">
        <v>192</v>
      </c>
    </row>
    <row r="128" spans="2:20">
      <c r="B128" s="207" t="s">
        <v>157</v>
      </c>
      <c r="C128" s="147">
        <f t="shared" ref="C128" si="3">$C$124*1.2/3600*D128*24*31</f>
        <v>0</v>
      </c>
      <c r="D128" s="147">
        <f t="shared" si="2"/>
        <v>20.7</v>
      </c>
      <c r="E128" s="147">
        <v>-0.7</v>
      </c>
    </row>
    <row r="129" spans="2:10">
      <c r="B129" s="207" t="s">
        <v>158</v>
      </c>
      <c r="C129" s="147">
        <f>$C$124*1.2/3600*D129*24*31</f>
        <v>0</v>
      </c>
      <c r="D129" s="147">
        <f t="shared" si="2"/>
        <v>20.9</v>
      </c>
      <c r="E129" s="147">
        <v>-0.9</v>
      </c>
    </row>
    <row r="130" spans="2:10">
      <c r="B130" s="207" t="s">
        <v>159</v>
      </c>
      <c r="C130" s="147">
        <f>$C$124*1.2/3600*D130*24*28</f>
        <v>0</v>
      </c>
      <c r="D130" s="147">
        <f t="shared" si="2"/>
        <v>21</v>
      </c>
      <c r="E130" s="147">
        <v>-1</v>
      </c>
    </row>
    <row r="131" spans="2:10">
      <c r="B131" s="207" t="s">
        <v>160</v>
      </c>
      <c r="C131" s="147">
        <f>$C$124*1.2/3600*D131*24*31</f>
        <v>0</v>
      </c>
      <c r="D131" s="147">
        <f t="shared" si="2"/>
        <v>17.3</v>
      </c>
      <c r="E131" s="147">
        <v>2.7</v>
      </c>
    </row>
    <row r="132" spans="2:10">
      <c r="B132" s="207" t="s">
        <v>161</v>
      </c>
      <c r="C132" s="147">
        <f>$C$124*1.2/3600*D132*24*30</f>
        <v>0</v>
      </c>
      <c r="D132" s="147">
        <f t="shared" si="2"/>
        <v>11.4</v>
      </c>
      <c r="E132" s="147">
        <v>8.6</v>
      </c>
    </row>
    <row r="134" spans="2:10">
      <c r="B134" s="207" t="s">
        <v>193</v>
      </c>
      <c r="C134" s="205">
        <f>SUM(C126:C133)</f>
        <v>0</v>
      </c>
      <c r="D134" s="147" t="s">
        <v>181</v>
      </c>
    </row>
    <row r="137" spans="2:10">
      <c r="B137" s="204" t="s">
        <v>211</v>
      </c>
      <c r="C137" s="204"/>
      <c r="D137" s="204"/>
      <c r="E137" s="204"/>
      <c r="F137" s="204"/>
      <c r="G137" s="204"/>
      <c r="H137" s="204"/>
      <c r="I137" s="204"/>
      <c r="J137" s="204"/>
    </row>
    <row r="138" spans="2:10">
      <c r="B138" s="147" t="s">
        <v>183</v>
      </c>
    </row>
    <row r="139" spans="2:10">
      <c r="B139" s="147" t="s">
        <v>184</v>
      </c>
      <c r="D139" s="147" t="str">
        <f>D123</f>
        <v>[m3/h]</v>
      </c>
      <c r="E139" s="147" t="s">
        <v>195</v>
      </c>
    </row>
    <row r="141" spans="2:10">
      <c r="B141" s="147" t="s">
        <v>194</v>
      </c>
    </row>
    <row r="142" spans="2:10">
      <c r="B142" s="147" t="s">
        <v>196</v>
      </c>
      <c r="C142" s="147">
        <v>0.85</v>
      </c>
    </row>
    <row r="143" spans="2:10">
      <c r="B143" s="147">
        <f>1.5*365/2*C139*(1-C142)*3*1.2*24/3600</f>
        <v>0</v>
      </c>
      <c r="C143" s="147" t="s">
        <v>197</v>
      </c>
      <c r="D143" s="147" t="s">
        <v>198</v>
      </c>
    </row>
    <row r="145" spans="2:11">
      <c r="B145" s="147" t="s">
        <v>199</v>
      </c>
    </row>
    <row r="146" spans="2:11">
      <c r="B146" s="147" t="s">
        <v>242</v>
      </c>
      <c r="D146" s="147" t="s">
        <v>200</v>
      </c>
      <c r="E146" s="147" t="s">
        <v>201</v>
      </c>
      <c r="G146" s="147">
        <f>C146*8760/2000*0.85*2</f>
        <v>0</v>
      </c>
      <c r="H146" s="147" t="s">
        <v>181</v>
      </c>
    </row>
    <row r="147" spans="2:11">
      <c r="B147" s="147" t="s">
        <v>243</v>
      </c>
      <c r="D147" s="147" t="s">
        <v>200</v>
      </c>
      <c r="E147" s="147" t="s">
        <v>201</v>
      </c>
      <c r="G147" s="147">
        <f>C147*8760/2000*0.9*2</f>
        <v>0</v>
      </c>
      <c r="H147" s="147" t="s">
        <v>181</v>
      </c>
    </row>
    <row r="149" spans="2:11">
      <c r="F149" s="147" t="s">
        <v>193</v>
      </c>
      <c r="G149" s="147">
        <f>SUM(G146:G148)</f>
        <v>0</v>
      </c>
      <c r="H149" s="147" t="s">
        <v>181</v>
      </c>
      <c r="J149" s="178">
        <f>G149*0.62</f>
        <v>0</v>
      </c>
      <c r="K149" s="178">
        <f>J149/12</f>
        <v>0</v>
      </c>
    </row>
    <row r="151" spans="2:11">
      <c r="B151" s="147" t="s">
        <v>202</v>
      </c>
      <c r="E151" s="147" t="s">
        <v>248</v>
      </c>
      <c r="G151" s="147" t="s">
        <v>249</v>
      </c>
    </row>
    <row r="152" spans="2:11">
      <c r="B152" s="147" t="s">
        <v>203</v>
      </c>
      <c r="C152" s="147">
        <f>1868-540</f>
        <v>1328</v>
      </c>
      <c r="D152" s="147" t="s">
        <v>204</v>
      </c>
      <c r="E152" s="147">
        <v>-1</v>
      </c>
      <c r="G152" s="205">
        <f>($C$158/2*1.2/3600*($C$159-E152)*C152/2)+($C$158*1.2/3600*($C$159-E152)*C152/2)</f>
        <v>0</v>
      </c>
      <c r="H152" s="147" t="s">
        <v>181</v>
      </c>
    </row>
    <row r="153" spans="2:11">
      <c r="B153" s="147" t="s">
        <v>205</v>
      </c>
      <c r="C153" s="147">
        <f>540-108</f>
        <v>432</v>
      </c>
      <c r="D153" s="147" t="s">
        <v>204</v>
      </c>
      <c r="E153" s="147">
        <v>-6.5</v>
      </c>
      <c r="G153" s="205">
        <f>($C$158/2*1.2/3600*($C$159-E153)*C153/2)+($C$158*1.2/3600*($C$159-E153)*C153/2)</f>
        <v>0</v>
      </c>
      <c r="H153" s="147" t="s">
        <v>181</v>
      </c>
    </row>
    <row r="154" spans="2:11">
      <c r="B154" s="147" t="s">
        <v>206</v>
      </c>
      <c r="C154" s="147">
        <v>108</v>
      </c>
      <c r="D154" s="147" t="s">
        <v>204</v>
      </c>
      <c r="E154" s="147">
        <v>-12</v>
      </c>
      <c r="G154" s="205">
        <f>($C$158/2*1.2/3600*($C$159-E154)*C154/2)+($C$158/2*1.2/3600*($C$159-E154)*C154/2)</f>
        <v>0</v>
      </c>
      <c r="H154" s="147" t="s">
        <v>181</v>
      </c>
    </row>
    <row r="156" spans="2:11">
      <c r="F156" s="147" t="s">
        <v>193</v>
      </c>
      <c r="G156" s="205">
        <f>SUM(G152:G155)</f>
        <v>0</v>
      </c>
      <c r="H156" s="147" t="s">
        <v>181</v>
      </c>
    </row>
    <row r="157" spans="2:11">
      <c r="B157" s="147" t="s">
        <v>183</v>
      </c>
    </row>
    <row r="158" spans="2:11">
      <c r="B158" s="147" t="s">
        <v>184</v>
      </c>
      <c r="D158" s="147" t="s">
        <v>19</v>
      </c>
      <c r="E158" s="206"/>
      <c r="F158" s="147" t="s">
        <v>187</v>
      </c>
    </row>
    <row r="159" spans="2:11">
      <c r="C159" s="147">
        <v>0</v>
      </c>
      <c r="D159" s="147" t="s">
        <v>192</v>
      </c>
      <c r="F159" s="147" t="s">
        <v>212</v>
      </c>
    </row>
    <row r="160" spans="2:11">
      <c r="B160" s="207"/>
    </row>
    <row r="161" spans="2:14">
      <c r="B161" s="207"/>
    </row>
    <row r="162" spans="2:14">
      <c r="B162" s="207"/>
    </row>
    <row r="163" spans="2:14">
      <c r="B163" s="207"/>
    </row>
    <row r="164" spans="2:14">
      <c r="B164" s="344"/>
    </row>
    <row r="165" spans="2:14">
      <c r="B165" s="345" t="s">
        <v>331</v>
      </c>
    </row>
    <row r="166" spans="2:14" ht="42" customHeight="1">
      <c r="B166" s="187" t="s">
        <v>120</v>
      </c>
      <c r="C166" s="359"/>
      <c r="D166" s="180">
        <v>1</v>
      </c>
      <c r="E166" s="147" t="s">
        <v>131</v>
      </c>
      <c r="G166" s="831" t="str">
        <f>Dane!E32</f>
        <v>Wiatrołap</v>
      </c>
      <c r="H166" s="831"/>
      <c r="I166" s="832"/>
      <c r="J166" s="180"/>
      <c r="L166" s="147" t="s">
        <v>329</v>
      </c>
      <c r="M166" s="147">
        <f>INDEX($B$166:$C$187,MATCH($G$166,nawiew_wywiew_lista2,0),2)</f>
        <v>0</v>
      </c>
      <c r="N166" s="147">
        <f t="shared" ref="N166:N171" si="4">MATCH(G166,$B$166:$B$186,0)</f>
        <v>17</v>
      </c>
    </row>
    <row r="167" spans="2:14" ht="42" customHeight="1">
      <c r="B167" s="187" t="s">
        <v>38</v>
      </c>
      <c r="C167" s="359"/>
      <c r="D167" s="180">
        <v>2</v>
      </c>
      <c r="E167" s="147" t="s">
        <v>131</v>
      </c>
      <c r="G167" s="831" t="str">
        <f>Dane!E38</f>
        <v>Kuchnia otwarta z kuchenką elektryczną</v>
      </c>
      <c r="H167" s="831"/>
      <c r="I167" s="832"/>
      <c r="J167" s="180"/>
      <c r="L167" s="147" t="s">
        <v>329</v>
      </c>
      <c r="M167" s="147">
        <f>INDEX($B$166:$C$187,MATCH($G$167,nawiew_wywiew_lista2,0),2)</f>
        <v>0</v>
      </c>
      <c r="N167" s="147">
        <f t="shared" si="4"/>
        <v>11</v>
      </c>
    </row>
    <row r="168" spans="2:14" ht="42" customHeight="1">
      <c r="B168" s="187" t="s">
        <v>39</v>
      </c>
      <c r="C168" s="360"/>
      <c r="D168" s="180">
        <v>3</v>
      </c>
      <c r="E168" s="147" t="s">
        <v>131</v>
      </c>
      <c r="G168" s="831" t="str">
        <f>Dane!E44</f>
        <v>Spiżarnia</v>
      </c>
      <c r="H168" s="831"/>
      <c r="I168" s="832"/>
      <c r="J168" s="180"/>
      <c r="L168" s="147" t="s">
        <v>329</v>
      </c>
      <c r="M168" s="147">
        <f>INDEX($B$166:$C$187,MATCH($G$168,nawiew_wywiew_lista2,0),2)</f>
        <v>0</v>
      </c>
      <c r="N168" s="147">
        <f t="shared" si="4"/>
        <v>20</v>
      </c>
    </row>
    <row r="169" spans="2:14" ht="42" customHeight="1">
      <c r="B169" s="180" t="s">
        <v>37</v>
      </c>
      <c r="C169" s="359"/>
      <c r="D169" s="180">
        <v>4</v>
      </c>
      <c r="E169" s="147" t="s">
        <v>131</v>
      </c>
      <c r="G169" s="831" t="str">
        <f>Dane!E50</f>
        <v>Pokój dzienny</v>
      </c>
      <c r="H169" s="831"/>
      <c r="I169" s="832"/>
      <c r="J169" s="180"/>
      <c r="L169" s="147" t="s">
        <v>329</v>
      </c>
      <c r="M169" s="147">
        <f>INDEX($B$166:$C$187,MATCH($G$169,nawiew_wywiew_lista2,0),2)</f>
        <v>0</v>
      </c>
      <c r="N169" s="147">
        <f t="shared" si="4"/>
        <v>1</v>
      </c>
    </row>
    <row r="170" spans="2:14" ht="42" customHeight="1">
      <c r="B170" s="180" t="s">
        <v>629</v>
      </c>
      <c r="C170" s="359"/>
      <c r="D170" s="180">
        <v>5</v>
      </c>
      <c r="E170" s="147" t="s">
        <v>131</v>
      </c>
      <c r="G170" s="831" t="str">
        <f>Dane!E56</f>
        <v>WC (bez wanny lub kabiny prysznicowej)</v>
      </c>
      <c r="H170" s="831"/>
      <c r="I170" s="832"/>
      <c r="J170" s="180"/>
      <c r="L170" s="147" t="s">
        <v>329</v>
      </c>
      <c r="M170" s="147">
        <f>INDEX($B$166:$C$187,MATCH($G$170,nawiew_wywiew_lista2,0),2)</f>
        <v>0</v>
      </c>
      <c r="N170" s="147">
        <f t="shared" si="4"/>
        <v>13</v>
      </c>
    </row>
    <row r="171" spans="2:14" ht="42" customHeight="1">
      <c r="B171" s="180" t="s">
        <v>245</v>
      </c>
      <c r="C171" s="359"/>
      <c r="D171" s="180">
        <v>6</v>
      </c>
      <c r="E171" s="147" t="s">
        <v>131</v>
      </c>
      <c r="G171" s="831" t="str">
        <f>Dane!$E$62</f>
        <v>Gabinet</v>
      </c>
      <c r="H171" s="831"/>
      <c r="I171" s="832"/>
      <c r="J171" s="180"/>
      <c r="L171" s="147" t="s">
        <v>329</v>
      </c>
      <c r="M171" s="147">
        <f>INDEX($B$166:$C$187,MATCH($G$171,nawiew_wywiew_lista2,0),2)</f>
        <v>0</v>
      </c>
      <c r="N171" s="147">
        <f t="shared" si="4"/>
        <v>2</v>
      </c>
    </row>
    <row r="172" spans="2:14" ht="42" customHeight="1">
      <c r="B172" s="345" t="s">
        <v>332</v>
      </c>
      <c r="G172" s="831" t="str">
        <f>Dane!$E$68</f>
        <v>Pomieszczenie gospodarcze</v>
      </c>
      <c r="H172" s="831"/>
      <c r="I172" s="832"/>
    </row>
    <row r="173" spans="2:14" ht="42" customHeight="1">
      <c r="B173" s="180" t="s">
        <v>246</v>
      </c>
      <c r="C173" s="361"/>
      <c r="D173" s="180">
        <v>7</v>
      </c>
      <c r="E173" s="147" t="s">
        <v>130</v>
      </c>
      <c r="G173" s="831" t="str">
        <f>Dane!E74</f>
        <v>Jadalnia - nawiew</v>
      </c>
      <c r="H173" s="831"/>
      <c r="I173" s="832"/>
      <c r="J173" s="180"/>
      <c r="L173" s="147" t="s">
        <v>329</v>
      </c>
      <c r="M173" s="147">
        <f>INDEX($B$166:$C$187,MATCH($G$173,nawiew_wywiew_lista2,0),2)</f>
        <v>0</v>
      </c>
      <c r="N173" s="147">
        <f t="shared" ref="N173" si="5">MATCH(G173,$B$166:$B$186,0)</f>
        <v>5</v>
      </c>
    </row>
    <row r="174" spans="2:14" ht="42" customHeight="1">
      <c r="B174" s="180" t="s">
        <v>128</v>
      </c>
      <c r="C174" s="361"/>
      <c r="D174" s="180">
        <v>8</v>
      </c>
      <c r="E174" s="147" t="s">
        <v>130</v>
      </c>
      <c r="G174" s="831" t="str">
        <f>Dane!E80</f>
        <v>Sypialnia</v>
      </c>
      <c r="H174" s="831"/>
      <c r="I174" s="832"/>
      <c r="J174" s="180"/>
      <c r="L174" s="147" t="s">
        <v>329</v>
      </c>
      <c r="M174" s="147">
        <f>INDEX($B$166:$C$187,MATCH($G$174,nawiew_wywiew_lista2,0),2)</f>
        <v>0</v>
      </c>
      <c r="N174" s="147">
        <f t="shared" ref="N174" si="6">MATCH(G174,$B$166:$B$186,0)</f>
        <v>3</v>
      </c>
    </row>
    <row r="175" spans="2:14" ht="42" customHeight="1">
      <c r="B175" s="180" t="s">
        <v>628</v>
      </c>
      <c r="C175" s="361"/>
      <c r="D175" s="180">
        <v>9</v>
      </c>
      <c r="E175" s="147" t="s">
        <v>130</v>
      </c>
      <c r="G175" s="831" t="str">
        <f>Dane!E86</f>
        <v>Garderoba</v>
      </c>
      <c r="H175" s="831"/>
      <c r="I175" s="832"/>
      <c r="J175" s="180"/>
    </row>
    <row r="176" spans="2:14" ht="42" customHeight="1">
      <c r="B176" s="180" t="s">
        <v>129</v>
      </c>
      <c r="C176" s="361"/>
      <c r="D176" s="180">
        <v>10</v>
      </c>
      <c r="E176" s="147" t="s">
        <v>130</v>
      </c>
      <c r="G176" s="831" t="str">
        <f>Dane!E92</f>
        <v>Łazienka</v>
      </c>
      <c r="H176" s="831"/>
      <c r="I176" s="832"/>
      <c r="J176" s="180"/>
      <c r="L176" s="147" t="s">
        <v>329</v>
      </c>
      <c r="M176" s="147">
        <f>INDEX($B$166:$C$187,MATCH($G$176,nawiew_wywiew_lista2,0),2)</f>
        <v>0</v>
      </c>
      <c r="N176" s="147">
        <f t="shared" ref="N176" si="7">MATCH(G176,$B$166:$B$186,0)</f>
        <v>12</v>
      </c>
    </row>
    <row r="177" spans="2:14" ht="42" customHeight="1">
      <c r="B177" s="180" t="s">
        <v>21</v>
      </c>
      <c r="C177" s="361"/>
      <c r="D177" s="180">
        <v>11</v>
      </c>
      <c r="E177" s="147" t="s">
        <v>130</v>
      </c>
      <c r="G177" s="831" t="str">
        <f>Dane!E98</f>
        <v>Sypialnia</v>
      </c>
      <c r="H177" s="831"/>
      <c r="I177" s="832"/>
      <c r="J177" s="180"/>
      <c r="L177" s="147" t="s">
        <v>329</v>
      </c>
      <c r="M177" s="147">
        <f>INDEX($B$166:$C$187,MATCH($G$177,nawiew_wywiew_lista2,0),2)</f>
        <v>0</v>
      </c>
      <c r="N177" s="147">
        <f t="shared" ref="N177" si="8">MATCH(G177,$B$166:$B$186,0)</f>
        <v>3</v>
      </c>
    </row>
    <row r="178" spans="2:14" ht="42" customHeight="1">
      <c r="B178" s="180" t="s">
        <v>22</v>
      </c>
      <c r="C178" s="361"/>
      <c r="D178" s="180">
        <v>12</v>
      </c>
      <c r="E178" s="147" t="s">
        <v>130</v>
      </c>
      <c r="G178" s="831" t="str">
        <f>Dane!E121</f>
        <v>Sypialnia</v>
      </c>
      <c r="H178" s="831"/>
      <c r="I178" s="832"/>
      <c r="J178" s="180"/>
      <c r="L178" s="147" t="s">
        <v>329</v>
      </c>
      <c r="M178" s="147">
        <f>INDEX($B$166:$C$187,MATCH($G$178,nawiew_wywiew_lista2,0),2)</f>
        <v>0</v>
      </c>
      <c r="N178" s="147">
        <f t="shared" ref="N178:N179" si="9">MATCH(G178,$B$166:$B$186,0)</f>
        <v>3</v>
      </c>
    </row>
    <row r="179" spans="2:14" ht="42" customHeight="1">
      <c r="B179" s="180" t="s">
        <v>28</v>
      </c>
      <c r="C179" s="361"/>
      <c r="D179" s="180">
        <v>13</v>
      </c>
      <c r="E179" s="147" t="s">
        <v>130</v>
      </c>
      <c r="G179" s="831" t="str">
        <f>Dane!E126</f>
        <v>Łazienka</v>
      </c>
      <c r="H179" s="831"/>
      <c r="I179" s="832"/>
      <c r="J179" s="180"/>
      <c r="L179" s="147" t="s">
        <v>329</v>
      </c>
      <c r="M179" s="147">
        <f>INDEX($B$166:$C$187,MATCH($G$179,nawiew_wywiew_lista2,0),2)</f>
        <v>0</v>
      </c>
      <c r="N179" s="147">
        <f t="shared" si="9"/>
        <v>12</v>
      </c>
    </row>
    <row r="180" spans="2:14" ht="42" customHeight="1">
      <c r="B180" s="180" t="s">
        <v>26</v>
      </c>
      <c r="C180" s="361"/>
      <c r="D180" s="180">
        <v>14</v>
      </c>
      <c r="E180" s="147" t="s">
        <v>130</v>
      </c>
      <c r="G180" s="831">
        <f>Dane!E132</f>
        <v>0</v>
      </c>
      <c r="H180" s="831"/>
      <c r="I180" s="832"/>
    </row>
    <row r="181" spans="2:14" ht="42" customHeight="1">
      <c r="B181" s="195" t="s">
        <v>122</v>
      </c>
      <c r="C181" s="361"/>
      <c r="D181" s="180">
        <v>15</v>
      </c>
      <c r="E181" s="147" t="s">
        <v>130</v>
      </c>
      <c r="G181" s="147">
        <f>Dane!E138</f>
        <v>0</v>
      </c>
      <c r="L181" s="147" t="s">
        <v>329</v>
      </c>
      <c r="M181" s="147">
        <f>INDEX($B$166:$C$187,MATCH($G$181,nawiew_wywiew_lista2,0),2)</f>
        <v>0</v>
      </c>
      <c r="N181" s="147" t="e">
        <f>MATCH(G181,$B$166:$B$186,0)</f>
        <v>#N/A</v>
      </c>
    </row>
    <row r="182" spans="2:14" ht="42" customHeight="1">
      <c r="B182" s="180" t="s">
        <v>25</v>
      </c>
      <c r="C182" s="361"/>
      <c r="D182" s="180">
        <v>16</v>
      </c>
      <c r="E182" s="147" t="s">
        <v>130</v>
      </c>
      <c r="G182" s="147">
        <f>Dane!E144</f>
        <v>0</v>
      </c>
      <c r="L182" s="147" t="s">
        <v>329</v>
      </c>
      <c r="M182" s="147">
        <f>INDEX($B$166:$C$187,MATCH($G$182,nawiew_wywiew_lista2,0),2)</f>
        <v>0</v>
      </c>
      <c r="N182" s="147" t="e">
        <f>MATCH(G182,$B$166:$B$186,0)</f>
        <v>#N/A</v>
      </c>
    </row>
    <row r="183" spans="2:14" ht="42" customHeight="1">
      <c r="B183" s="180" t="s">
        <v>123</v>
      </c>
      <c r="C183" s="361"/>
      <c r="D183" s="180">
        <v>17</v>
      </c>
      <c r="E183" s="147" t="s">
        <v>130</v>
      </c>
      <c r="G183" s="147">
        <f>Dane!E150</f>
        <v>0</v>
      </c>
      <c r="L183" s="147" t="s">
        <v>329</v>
      </c>
      <c r="M183" s="147">
        <f>INDEX($B$166:$C$187,MATCH($G$183,nawiew_wywiew_lista2,0),2)</f>
        <v>0</v>
      </c>
      <c r="N183" s="147" t="e">
        <f>MATCH(G183,$B$166:$B$186,0)</f>
        <v>#N/A</v>
      </c>
    </row>
    <row r="184" spans="2:14" ht="42" customHeight="1">
      <c r="B184" s="180" t="s">
        <v>147</v>
      </c>
      <c r="C184" s="361"/>
      <c r="D184" s="180">
        <v>18</v>
      </c>
      <c r="E184" s="147" t="s">
        <v>130</v>
      </c>
      <c r="G184" s="147">
        <f>Dane!E156</f>
        <v>0</v>
      </c>
      <c r="L184" s="147" t="s">
        <v>329</v>
      </c>
      <c r="M184" s="147">
        <f>INDEX($B$166:$C$187,MATCH($G$184,nawiew_wywiew_lista2,0),2)</f>
        <v>0</v>
      </c>
      <c r="N184" s="147" t="e">
        <f>MATCH(G184,$B$166:$B$186,0)</f>
        <v>#N/A</v>
      </c>
    </row>
    <row r="185" spans="2:14" ht="42" customHeight="1">
      <c r="B185" s="180" t="s">
        <v>27</v>
      </c>
      <c r="C185" s="361"/>
      <c r="D185" s="180">
        <v>19</v>
      </c>
      <c r="E185" s="147" t="s">
        <v>130</v>
      </c>
      <c r="G185" s="147">
        <f>Dane!E162</f>
        <v>0</v>
      </c>
      <c r="L185" s="147" t="s">
        <v>329</v>
      </c>
      <c r="M185" s="147">
        <f>INDEX($B$166:$C$187,MATCH($G$185,nawiew_wywiew_lista2,0),2)</f>
        <v>0</v>
      </c>
      <c r="N185" s="147" t="e">
        <f>MATCH(G185,$B$166:$B$186,0)</f>
        <v>#N/A</v>
      </c>
    </row>
    <row r="186" spans="2:14" ht="42" customHeight="1">
      <c r="B186" s="180" t="s">
        <v>247</v>
      </c>
      <c r="C186" s="361"/>
      <c r="D186" s="180">
        <v>20</v>
      </c>
      <c r="E186" s="147" t="s">
        <v>334</v>
      </c>
    </row>
    <row r="187" spans="2:14" ht="42" customHeight="1">
      <c r="B187" s="180">
        <v>0</v>
      </c>
      <c r="C187" s="362"/>
      <c r="D187" s="180">
        <v>20</v>
      </c>
    </row>
    <row r="188" spans="2:14" ht="42" customHeight="1"/>
    <row r="193" spans="2:7">
      <c r="B193" s="18"/>
    </row>
    <row r="194" spans="2:7">
      <c r="B194" s="18"/>
    </row>
    <row r="195" spans="2:7">
      <c r="B195" s="18"/>
      <c r="G195"/>
    </row>
    <row r="196" spans="2:7">
      <c r="B196" s="18"/>
    </row>
    <row r="197" spans="2:7">
      <c r="B197" s="18"/>
      <c r="F197"/>
    </row>
    <row r="198" spans="2:7">
      <c r="B198" s="18"/>
    </row>
    <row r="199" spans="2:7">
      <c r="B199" s="18"/>
    </row>
  </sheetData>
  <sheetProtection algorithmName="SHA-512" hashValue="2YCoHBiumL00p2N8Pp15dRt+4wa52MSmGMWukfI4wM/LSgIsoqxvU0USpivAiaxPmyLOGwtaChw1xfTzSBMgYw==" saltValue="rCPURZsKdrLrwMX7s6q4uQ==" spinCount="100000" sheet="1" objects="1" scenarios="1"/>
  <protectedRanges>
    <protectedRange sqref="C32:C35" name="Paliwa"/>
  </protectedRanges>
  <customSheetViews>
    <customSheetView guid="{5F1CD432-8628-43E5-87A3-F90570D5BEB1}" scale="70" showGridLines="0" topLeftCell="A85">
      <selection activeCell="I12" sqref="I12"/>
      <pageMargins left="0.7" right="0.7" top="0.75" bottom="0.75" header="0.3" footer="0.3"/>
      <pageSetup paperSize="9" orientation="portrait" r:id="rId1"/>
    </customSheetView>
  </customSheetViews>
  <mergeCells count="19">
    <mergeCell ref="G172:I172"/>
    <mergeCell ref="G175:I175"/>
    <mergeCell ref="G180:I180"/>
    <mergeCell ref="G178:I178"/>
    <mergeCell ref="G179:I179"/>
    <mergeCell ref="G177:I177"/>
    <mergeCell ref="G176:I176"/>
    <mergeCell ref="G173:I173"/>
    <mergeCell ref="G174:I174"/>
    <mergeCell ref="G171:I171"/>
    <mergeCell ref="G170:I170"/>
    <mergeCell ref="C2:D2"/>
    <mergeCell ref="E3:F3"/>
    <mergeCell ref="E4:F4"/>
    <mergeCell ref="E2:G2"/>
    <mergeCell ref="G169:I169"/>
    <mergeCell ref="G166:I166"/>
    <mergeCell ref="G167:I167"/>
    <mergeCell ref="G168:I168"/>
  </mergeCells>
  <pageMargins left="0.7" right="0.7" top="0.75" bottom="0.75" header="0.3" footer="0.3"/>
  <pageSetup paperSize="9" orientation="portrait" r:id="rId2"/>
  <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usz5"/>
  <dimension ref="B2:Z51"/>
  <sheetViews>
    <sheetView showGridLines="0" zoomScale="85" zoomScaleNormal="85" workbookViewId="0">
      <selection activeCell="K6" sqref="K6"/>
    </sheetView>
  </sheetViews>
  <sheetFormatPr defaultRowHeight="14.4"/>
  <cols>
    <col min="2" max="2" width="0.5546875" customWidth="1"/>
    <col min="6" max="6" width="21.5546875" customWidth="1"/>
    <col min="7" max="7" width="11.88671875" customWidth="1"/>
    <col min="8" max="9" width="12" customWidth="1"/>
    <col min="10" max="11" width="11.88671875" customWidth="1"/>
    <col min="12" max="12" width="7.33203125" customWidth="1"/>
    <col min="13" max="13" width="12.109375" customWidth="1"/>
    <col min="14" max="17" width="12" customWidth="1"/>
  </cols>
  <sheetData>
    <row r="2" spans="2:26" ht="18">
      <c r="B2" s="12"/>
      <c r="C2" s="12"/>
      <c r="D2" s="12"/>
      <c r="E2" s="12"/>
      <c r="F2" s="12"/>
      <c r="G2" s="10" t="s">
        <v>119</v>
      </c>
      <c r="H2" s="12"/>
      <c r="I2" s="12"/>
      <c r="J2" s="11"/>
      <c r="K2" s="11"/>
      <c r="L2" s="11"/>
      <c r="M2" s="11"/>
      <c r="N2" s="11"/>
      <c r="O2" s="11"/>
      <c r="P2" s="11"/>
      <c r="Q2" s="11"/>
      <c r="Z2" s="4" t="s">
        <v>71</v>
      </c>
    </row>
    <row r="3" spans="2:26" ht="15" thickBot="1">
      <c r="B3" s="12"/>
      <c r="C3" s="13"/>
      <c r="Z3" s="4" t="s">
        <v>72</v>
      </c>
    </row>
    <row r="4" spans="2:26" ht="18.600000000000001" thickBot="1">
      <c r="B4" s="12"/>
      <c r="C4" s="13"/>
      <c r="D4" s="13"/>
      <c r="E4" s="109"/>
      <c r="F4" s="9"/>
      <c r="G4" s="93" t="s">
        <v>70</v>
      </c>
      <c r="H4" s="9"/>
      <c r="I4" s="7">
        <v>2</v>
      </c>
      <c r="J4" s="13"/>
      <c r="K4" s="13"/>
      <c r="L4" s="13"/>
    </row>
    <row r="5" spans="2:26" ht="6.75" customHeight="1" thickBot="1">
      <c r="B5" s="12"/>
      <c r="C5" s="13"/>
      <c r="D5" s="13"/>
      <c r="E5" s="13"/>
      <c r="J5" s="13"/>
      <c r="K5" s="13"/>
      <c r="L5" s="13"/>
    </row>
    <row r="6" spans="2:26" ht="18.600000000000001" thickBot="1">
      <c r="B6" s="12"/>
      <c r="C6" s="13"/>
      <c r="D6" s="13"/>
      <c r="E6" s="14"/>
      <c r="F6" s="9"/>
      <c r="G6" s="93" t="s">
        <v>118</v>
      </c>
      <c r="H6" s="120" t="s">
        <v>73</v>
      </c>
      <c r="I6" s="8" t="s">
        <v>71</v>
      </c>
      <c r="J6" s="13"/>
      <c r="K6" s="13"/>
      <c r="L6" s="14"/>
      <c r="N6" s="5"/>
      <c r="O6" s="5"/>
    </row>
    <row r="7" spans="2:26" ht="4.5" customHeight="1">
      <c r="B7" s="12"/>
      <c r="C7" s="13"/>
      <c r="D7" s="13"/>
      <c r="E7" s="13"/>
    </row>
    <row r="8" spans="2:26" ht="6.75" customHeight="1">
      <c r="B8" s="12"/>
      <c r="C8" s="13"/>
      <c r="D8" s="13"/>
      <c r="E8" s="13"/>
    </row>
    <row r="9" spans="2:26" ht="17.399999999999999">
      <c r="B9" s="12"/>
      <c r="C9" s="13"/>
      <c r="D9" s="13"/>
      <c r="E9" s="14"/>
      <c r="G9" s="6"/>
      <c r="H9" s="6"/>
    </row>
    <row r="10" spans="2:26" ht="4.5" customHeight="1">
      <c r="B10" s="12"/>
      <c r="C10" s="13"/>
      <c r="D10" s="13"/>
      <c r="E10" s="13"/>
      <c r="F10" s="13"/>
    </row>
    <row r="11" spans="2:26" ht="6.75" customHeight="1">
      <c r="B11" s="12"/>
      <c r="C11" s="13"/>
      <c r="D11" s="4"/>
      <c r="E11" s="4"/>
    </row>
    <row r="12" spans="2:26">
      <c r="B12" s="12"/>
      <c r="C12" s="13"/>
      <c r="H12" s="86"/>
      <c r="I12" s="95" t="s">
        <v>126</v>
      </c>
    </row>
    <row r="13" spans="2:26">
      <c r="E13" s="13"/>
      <c r="F13" s="13"/>
      <c r="G13" s="13"/>
      <c r="H13" s="94"/>
      <c r="I13" s="95" t="s">
        <v>125</v>
      </c>
      <c r="L13" s="13"/>
      <c r="M13" s="13"/>
    </row>
    <row r="14" spans="2:26" ht="15" thickBot="1">
      <c r="D14" s="81" t="s">
        <v>116</v>
      </c>
    </row>
    <row r="15" spans="2:26" s="15" customFormat="1" ht="30.75" customHeight="1">
      <c r="C15" s="845" t="s">
        <v>76</v>
      </c>
      <c r="D15" s="847" t="s">
        <v>40</v>
      </c>
      <c r="E15" s="848"/>
      <c r="F15" s="849"/>
      <c r="G15" s="75" t="s">
        <v>78</v>
      </c>
      <c r="H15" s="75" t="s">
        <v>79</v>
      </c>
      <c r="I15" s="853" t="s">
        <v>113</v>
      </c>
      <c r="J15" s="853" t="s">
        <v>115</v>
      </c>
      <c r="K15" s="853" t="s">
        <v>124</v>
      </c>
      <c r="L15" s="843" t="s">
        <v>41</v>
      </c>
      <c r="M15" s="853" t="s">
        <v>114</v>
      </c>
      <c r="N15" s="855" t="s">
        <v>83</v>
      </c>
      <c r="O15" s="855" t="s">
        <v>83</v>
      </c>
      <c r="P15" s="840" t="s">
        <v>84</v>
      </c>
      <c r="Q15" s="858" t="s">
        <v>84</v>
      </c>
    </row>
    <row r="16" spans="2:26" s="15" customFormat="1" ht="20.25" customHeight="1" thickBot="1">
      <c r="C16" s="846"/>
      <c r="D16" s="850"/>
      <c r="E16" s="851"/>
      <c r="F16" s="852"/>
      <c r="G16" s="76" t="s">
        <v>35</v>
      </c>
      <c r="H16" s="76" t="s">
        <v>36</v>
      </c>
      <c r="I16" s="854"/>
      <c r="J16" s="854"/>
      <c r="K16" s="854"/>
      <c r="L16" s="844"/>
      <c r="M16" s="854"/>
      <c r="N16" s="856"/>
      <c r="O16" s="856"/>
      <c r="P16" s="841"/>
      <c r="Q16" s="859"/>
    </row>
    <row r="17" spans="3:18">
      <c r="C17" s="77" t="s">
        <v>89</v>
      </c>
      <c r="D17" s="861" t="s">
        <v>25</v>
      </c>
      <c r="E17" s="861"/>
      <c r="F17" s="861"/>
      <c r="G17" s="3">
        <v>3.2</v>
      </c>
      <c r="H17" s="103">
        <f>G17*2.65</f>
        <v>8.48</v>
      </c>
      <c r="I17" s="3">
        <f t="shared" ref="I17:I26" si="0">VLOOKUP(D17,warunki2,5,FALSE)</f>
        <v>0.5</v>
      </c>
      <c r="J17" s="103">
        <f>I17*H17</f>
        <v>4.24</v>
      </c>
      <c r="K17" s="103">
        <f t="shared" ref="K17:K26" si="1">IF(VLOOKUP(D17,warunki2,3,FALSE)=20,0,VLOOKUP(D17,warunki2,3,FALSE))</f>
        <v>15</v>
      </c>
      <c r="L17" s="3"/>
      <c r="M17" s="96">
        <f t="shared" ref="M17:M26" si="2">L17*20</f>
        <v>0</v>
      </c>
      <c r="N17" s="83" t="str">
        <f t="shared" ref="N17:N26" si="3">IFERROR(VLOOKUP(D17,nawiew4,1,),0)</f>
        <v>Wiatrołap</v>
      </c>
      <c r="O17" s="112">
        <f>IF(N17=0," ",MROUND(IF(J17&gt;K17,J17,K17),5))</f>
        <v>15</v>
      </c>
      <c r="P17" s="112">
        <f t="shared" ref="P17:P26" si="4">IFERROR(VLOOKUP(D17,wywiew3,1,),0)</f>
        <v>0</v>
      </c>
      <c r="Q17" s="111" t="str">
        <f>IF(P17=0," ",MROUND(IF(J17&gt;K17,J17,K17),5))</f>
        <v xml:space="preserve"> </v>
      </c>
    </row>
    <row r="18" spans="3:18">
      <c r="C18" s="78" t="s">
        <v>90</v>
      </c>
      <c r="D18" s="839" t="s">
        <v>28</v>
      </c>
      <c r="E18" s="839"/>
      <c r="F18" s="839"/>
      <c r="G18" s="3">
        <v>18.3</v>
      </c>
      <c r="H18" s="103">
        <f t="shared" ref="H18:H26" si="5">G18*2.65</f>
        <v>48.494999999999997</v>
      </c>
      <c r="I18" s="3">
        <f t="shared" si="0"/>
        <v>1</v>
      </c>
      <c r="J18" s="105">
        <f t="shared" ref="J18:J38" si="6">I18*H18</f>
        <v>48.494999999999997</v>
      </c>
      <c r="K18" s="103">
        <f t="shared" si="1"/>
        <v>0</v>
      </c>
      <c r="L18" s="2"/>
      <c r="M18" s="96">
        <f t="shared" si="2"/>
        <v>0</v>
      </c>
      <c r="N18" s="83">
        <f t="shared" si="3"/>
        <v>0</v>
      </c>
      <c r="O18" s="112" t="str">
        <f t="shared" ref="O18:O26" si="7">IF(N18=0," ",MROUND(IF(J18&gt;K18,J18,K18),5))</f>
        <v xml:space="preserve"> </v>
      </c>
      <c r="P18" s="112" t="str">
        <f t="shared" si="4"/>
        <v>Klatka schodowa, hol</v>
      </c>
      <c r="Q18" s="111">
        <f t="shared" ref="Q18:Q26" si="8">IF(P18=0," ",MROUND(IF(J18&gt;K18,J18,K18),5))</f>
        <v>50</v>
      </c>
    </row>
    <row r="19" spans="3:18">
      <c r="C19" s="78" t="s">
        <v>91</v>
      </c>
      <c r="D19" s="839" t="s">
        <v>129</v>
      </c>
      <c r="E19" s="839"/>
      <c r="F19" s="839"/>
      <c r="G19" s="3">
        <v>12.7</v>
      </c>
      <c r="H19" s="103">
        <f t="shared" si="5"/>
        <v>33.654999999999994</v>
      </c>
      <c r="I19" s="3">
        <f t="shared" si="0"/>
        <v>2</v>
      </c>
      <c r="J19" s="105">
        <f t="shared" si="6"/>
        <v>67.309999999999988</v>
      </c>
      <c r="K19" s="103">
        <f t="shared" si="1"/>
        <v>50</v>
      </c>
      <c r="L19" s="2"/>
      <c r="M19" s="96">
        <f t="shared" si="2"/>
        <v>0</v>
      </c>
      <c r="N19" s="83">
        <f t="shared" si="3"/>
        <v>0</v>
      </c>
      <c r="O19" s="112" t="str">
        <f t="shared" si="7"/>
        <v xml:space="preserve"> </v>
      </c>
      <c r="P19" s="112" t="str">
        <f t="shared" si="4"/>
        <v>Kuchnia otwarta z kuchenką elektryczną</v>
      </c>
      <c r="Q19" s="111">
        <f t="shared" si="8"/>
        <v>65</v>
      </c>
    </row>
    <row r="20" spans="3:18">
      <c r="C20" s="78" t="s">
        <v>92</v>
      </c>
      <c r="D20" s="839" t="s">
        <v>27</v>
      </c>
      <c r="E20" s="839"/>
      <c r="F20" s="839"/>
      <c r="G20" s="3">
        <v>3.2</v>
      </c>
      <c r="H20" s="103">
        <f t="shared" si="5"/>
        <v>8.48</v>
      </c>
      <c r="I20" s="3">
        <f t="shared" si="0"/>
        <v>1</v>
      </c>
      <c r="J20" s="105">
        <f t="shared" si="6"/>
        <v>8.48</v>
      </c>
      <c r="K20" s="103">
        <f t="shared" si="1"/>
        <v>15</v>
      </c>
      <c r="L20" s="2"/>
      <c r="M20" s="96">
        <f t="shared" si="2"/>
        <v>0</v>
      </c>
      <c r="N20" s="83" t="str">
        <f t="shared" si="3"/>
        <v>Spiżarnia</v>
      </c>
      <c r="O20" s="112">
        <f t="shared" si="7"/>
        <v>15</v>
      </c>
      <c r="P20" s="112">
        <f t="shared" si="4"/>
        <v>0</v>
      </c>
      <c r="Q20" s="111" t="str">
        <f t="shared" si="8"/>
        <v xml:space="preserve"> </v>
      </c>
    </row>
    <row r="21" spans="3:18">
      <c r="C21" s="78" t="s">
        <v>93</v>
      </c>
      <c r="D21" s="839" t="s">
        <v>121</v>
      </c>
      <c r="E21" s="839"/>
      <c r="F21" s="839"/>
      <c r="G21" s="3">
        <v>12.7</v>
      </c>
      <c r="H21" s="103">
        <f t="shared" si="5"/>
        <v>33.654999999999994</v>
      </c>
      <c r="I21" s="3" t="e">
        <f t="shared" si="0"/>
        <v>#N/A</v>
      </c>
      <c r="J21" s="105" t="e">
        <f t="shared" si="6"/>
        <v>#N/A</v>
      </c>
      <c r="K21" s="103" t="e">
        <f t="shared" si="1"/>
        <v>#N/A</v>
      </c>
      <c r="L21" s="2"/>
      <c r="M21" s="96">
        <f t="shared" si="2"/>
        <v>0</v>
      </c>
      <c r="N21" s="83">
        <f t="shared" si="3"/>
        <v>0</v>
      </c>
      <c r="O21" s="112" t="str">
        <f t="shared" si="7"/>
        <v xml:space="preserve"> </v>
      </c>
      <c r="P21" s="112">
        <f t="shared" si="4"/>
        <v>0</v>
      </c>
      <c r="Q21" s="111" t="str">
        <f t="shared" si="8"/>
        <v xml:space="preserve"> </v>
      </c>
    </row>
    <row r="22" spans="3:18">
      <c r="C22" s="78" t="s">
        <v>94</v>
      </c>
      <c r="D22" s="839" t="s">
        <v>120</v>
      </c>
      <c r="E22" s="839"/>
      <c r="F22" s="839"/>
      <c r="G22" s="3">
        <v>29.5</v>
      </c>
      <c r="H22" s="103">
        <f t="shared" si="5"/>
        <v>78.174999999999997</v>
      </c>
      <c r="I22" s="3" t="e">
        <f t="shared" si="0"/>
        <v>#N/A</v>
      </c>
      <c r="J22" s="105" t="e">
        <f t="shared" si="6"/>
        <v>#N/A</v>
      </c>
      <c r="K22" s="103" t="e">
        <f t="shared" si="1"/>
        <v>#N/A</v>
      </c>
      <c r="L22" s="2"/>
      <c r="M22" s="96">
        <f t="shared" si="2"/>
        <v>0</v>
      </c>
      <c r="N22" s="83">
        <f t="shared" si="3"/>
        <v>0</v>
      </c>
      <c r="O22" s="112" t="str">
        <f t="shared" si="7"/>
        <v xml:space="preserve"> </v>
      </c>
      <c r="P22" s="112" t="str">
        <f t="shared" si="4"/>
        <v>Pokój dzienny</v>
      </c>
      <c r="Q22" s="111" t="e">
        <f t="shared" si="8"/>
        <v>#N/A</v>
      </c>
    </row>
    <row r="23" spans="3:18">
      <c r="C23" s="78" t="s">
        <v>95</v>
      </c>
      <c r="D23" s="839" t="s">
        <v>38</v>
      </c>
      <c r="E23" s="839"/>
      <c r="F23" s="839"/>
      <c r="G23" s="3">
        <v>10.7</v>
      </c>
      <c r="H23" s="103">
        <f t="shared" si="5"/>
        <v>28.354999999999997</v>
      </c>
      <c r="I23" s="3" t="e">
        <f t="shared" si="0"/>
        <v>#N/A</v>
      </c>
      <c r="J23" s="105" t="e">
        <f t="shared" si="6"/>
        <v>#N/A</v>
      </c>
      <c r="K23" s="103" t="e">
        <f t="shared" si="1"/>
        <v>#N/A</v>
      </c>
      <c r="L23" s="2">
        <v>2</v>
      </c>
      <c r="M23" s="96">
        <f t="shared" si="2"/>
        <v>40</v>
      </c>
      <c r="N23" s="83">
        <f t="shared" si="3"/>
        <v>0</v>
      </c>
      <c r="O23" s="112" t="str">
        <f t="shared" si="7"/>
        <v xml:space="preserve"> </v>
      </c>
      <c r="P23" s="112" t="str">
        <f t="shared" si="4"/>
        <v>Gabinet</v>
      </c>
      <c r="Q23" s="111" t="e">
        <f t="shared" si="8"/>
        <v>#N/A</v>
      </c>
    </row>
    <row r="24" spans="3:18">
      <c r="C24" s="78" t="s">
        <v>96</v>
      </c>
      <c r="D24" s="839" t="s">
        <v>22</v>
      </c>
      <c r="E24" s="839"/>
      <c r="F24" s="839"/>
      <c r="G24" s="3">
        <v>3</v>
      </c>
      <c r="H24" s="103">
        <f t="shared" si="5"/>
        <v>7.9499999999999993</v>
      </c>
      <c r="I24" s="3">
        <f t="shared" si="0"/>
        <v>3</v>
      </c>
      <c r="J24" s="105">
        <f t="shared" si="6"/>
        <v>23.849999999999998</v>
      </c>
      <c r="K24" s="103">
        <f t="shared" si="1"/>
        <v>30</v>
      </c>
      <c r="L24" s="2"/>
      <c r="M24" s="96">
        <f t="shared" si="2"/>
        <v>0</v>
      </c>
      <c r="N24" s="83">
        <f t="shared" si="3"/>
        <v>0</v>
      </c>
      <c r="O24" s="112" t="str">
        <f t="shared" si="7"/>
        <v xml:space="preserve"> </v>
      </c>
      <c r="P24" s="112" t="str">
        <f t="shared" si="4"/>
        <v>WC (bez wanny lub kabiny prysznicowej)</v>
      </c>
      <c r="Q24" s="111">
        <f t="shared" si="8"/>
        <v>30</v>
      </c>
    </row>
    <row r="25" spans="3:18">
      <c r="C25" s="78" t="s">
        <v>97</v>
      </c>
      <c r="D25" s="839" t="s">
        <v>34</v>
      </c>
      <c r="E25" s="839"/>
      <c r="F25" s="839"/>
      <c r="G25" s="3">
        <v>7.3</v>
      </c>
      <c r="H25" s="103">
        <f t="shared" si="5"/>
        <v>19.344999999999999</v>
      </c>
      <c r="I25" s="3" t="e">
        <f t="shared" si="0"/>
        <v>#N/A</v>
      </c>
      <c r="J25" s="105" t="e">
        <f t="shared" si="6"/>
        <v>#N/A</v>
      </c>
      <c r="K25" s="103" t="e">
        <f t="shared" si="1"/>
        <v>#N/A</v>
      </c>
      <c r="L25" s="2"/>
      <c r="M25" s="96">
        <f t="shared" si="2"/>
        <v>0</v>
      </c>
      <c r="N25" s="83">
        <f t="shared" si="3"/>
        <v>0</v>
      </c>
      <c r="O25" s="112" t="str">
        <f t="shared" si="7"/>
        <v xml:space="preserve"> </v>
      </c>
      <c r="P25" s="112">
        <f t="shared" si="4"/>
        <v>0</v>
      </c>
      <c r="Q25" s="111" t="str">
        <f t="shared" si="8"/>
        <v xml:space="preserve"> </v>
      </c>
    </row>
    <row r="26" spans="3:18" ht="15" thickBot="1">
      <c r="C26" s="79" t="s">
        <v>98</v>
      </c>
      <c r="D26" s="842" t="s">
        <v>33</v>
      </c>
      <c r="E26" s="842"/>
      <c r="F26" s="842"/>
      <c r="G26" s="102">
        <v>41.1</v>
      </c>
      <c r="H26" s="106">
        <f t="shared" si="5"/>
        <v>108.91500000000001</v>
      </c>
      <c r="I26" s="82">
        <f t="shared" si="0"/>
        <v>0</v>
      </c>
      <c r="J26" s="106">
        <f t="shared" si="6"/>
        <v>0</v>
      </c>
      <c r="K26" s="114">
        <f t="shared" si="1"/>
        <v>0</v>
      </c>
      <c r="L26" s="82"/>
      <c r="M26" s="100">
        <f t="shared" si="2"/>
        <v>0</v>
      </c>
      <c r="N26" s="115" t="str">
        <f t="shared" si="3"/>
        <v>Garaż</v>
      </c>
      <c r="O26" s="116">
        <f t="shared" si="7"/>
        <v>0</v>
      </c>
      <c r="P26" s="116">
        <f t="shared" si="4"/>
        <v>0</v>
      </c>
      <c r="Q26" s="117" t="str">
        <f t="shared" si="8"/>
        <v xml:space="preserve"> </v>
      </c>
    </row>
    <row r="27" spans="3:18" ht="16.2" thickBot="1">
      <c r="C27" s="16"/>
      <c r="D27" s="16"/>
      <c r="E27" s="16"/>
      <c r="F27" s="16"/>
      <c r="G27" s="107" t="str">
        <f>SUM(G17:G26)&amp;" [m2]"</f>
        <v>141,7 [m2]</v>
      </c>
      <c r="H27" s="16"/>
      <c r="I27" s="16"/>
      <c r="M27" s="97" t="s">
        <v>117</v>
      </c>
      <c r="N27" s="98"/>
      <c r="O27" s="98">
        <f>SUM(O17:O26)</f>
        <v>30</v>
      </c>
      <c r="P27" s="99"/>
      <c r="Q27" s="99" t="e">
        <f>SUM(Q17:Q26)</f>
        <v>#N/A</v>
      </c>
      <c r="R27" t="s">
        <v>19</v>
      </c>
    </row>
    <row r="28" spans="3:18" ht="15" thickBot="1">
      <c r="C28" s="16"/>
      <c r="D28" s="16"/>
      <c r="E28" s="16"/>
      <c r="F28" s="16"/>
      <c r="G28" s="16"/>
      <c r="H28" s="16"/>
      <c r="I28" s="16"/>
      <c r="J28" s="16"/>
      <c r="K28" s="16"/>
      <c r="L28" s="16"/>
      <c r="M28" s="97"/>
    </row>
    <row r="29" spans="3:18">
      <c r="C29" s="80" t="s">
        <v>100</v>
      </c>
      <c r="D29" s="860" t="s">
        <v>120</v>
      </c>
      <c r="E29" s="860"/>
      <c r="F29" s="860"/>
      <c r="G29" s="88">
        <v>25.7</v>
      </c>
      <c r="H29" s="104">
        <f>G29*2.65</f>
        <v>68.10499999999999</v>
      </c>
      <c r="I29" s="88" t="e">
        <f t="shared" ref="I29:I38" si="9">VLOOKUP(D29,warunki2,5,FALSE)</f>
        <v>#N/A</v>
      </c>
      <c r="J29" s="87" t="e">
        <f t="shared" si="6"/>
        <v>#N/A</v>
      </c>
      <c r="K29" s="104" t="e">
        <f t="shared" ref="K29:K38" si="10">IF(VLOOKUP(D29,warunki2,3,FALSE)=20,0,VLOOKUP(D29,warunki2,3,FALSE))</f>
        <v>#N/A</v>
      </c>
      <c r="L29" s="88">
        <v>2</v>
      </c>
      <c r="M29" s="101">
        <f t="shared" ref="M29:M38" si="11">L29*20</f>
        <v>40</v>
      </c>
      <c r="N29" s="87">
        <f t="shared" ref="N29:N38" si="12">IFERROR(VLOOKUP(D29,nawiew4,1,),0)</f>
        <v>0</v>
      </c>
      <c r="O29" s="118" t="str">
        <f>IF(N29=0," ",MROUND(IF(J29&gt;K29,J29,K29),5))</f>
        <v xml:space="preserve"> </v>
      </c>
      <c r="P29" s="118" t="str">
        <f t="shared" ref="P29:P38" si="13">IFERROR(VLOOKUP(D29,wywiew3,1,),0)</f>
        <v>Pokój dzienny</v>
      </c>
      <c r="Q29" s="119" t="e">
        <f>IF(P29=0," ",MROUND(IF(J29&gt;K29,J29,K29),5))</f>
        <v>#N/A</v>
      </c>
    </row>
    <row r="30" spans="3:18">
      <c r="C30" s="78" t="s">
        <v>101</v>
      </c>
      <c r="D30" s="839" t="s">
        <v>39</v>
      </c>
      <c r="E30" s="839"/>
      <c r="F30" s="839"/>
      <c r="G30" s="3">
        <v>18.600000000000001</v>
      </c>
      <c r="H30" s="105">
        <f>G30*2.65</f>
        <v>49.29</v>
      </c>
      <c r="I30" s="2" t="e">
        <f t="shared" si="9"/>
        <v>#N/A</v>
      </c>
      <c r="J30" s="84" t="e">
        <f t="shared" si="6"/>
        <v>#N/A</v>
      </c>
      <c r="K30" s="105" t="e">
        <f t="shared" si="10"/>
        <v>#N/A</v>
      </c>
      <c r="L30" s="2">
        <v>2</v>
      </c>
      <c r="M30" s="96">
        <f t="shared" si="11"/>
        <v>40</v>
      </c>
      <c r="N30" s="83">
        <f t="shared" si="12"/>
        <v>0</v>
      </c>
      <c r="O30" s="112" t="str">
        <f t="shared" ref="O30:O38" si="14">IF(N30=0," ",MROUND(IF(J30&gt;K30,J30,K30),5))</f>
        <v xml:space="preserve"> </v>
      </c>
      <c r="P30" s="112" t="str">
        <f t="shared" si="13"/>
        <v>Sypialnia</v>
      </c>
      <c r="Q30" s="111" t="e">
        <f t="shared" ref="Q30:Q38" si="15">IF(P30=0," ",MROUND(IF(J30&gt;K30,J30,K30),5))</f>
        <v>#N/A</v>
      </c>
    </row>
    <row r="31" spans="3:18">
      <c r="C31" s="78" t="s">
        <v>102</v>
      </c>
      <c r="D31" s="839" t="s">
        <v>21</v>
      </c>
      <c r="E31" s="839"/>
      <c r="F31" s="839"/>
      <c r="G31" s="3">
        <v>6.9</v>
      </c>
      <c r="H31" s="105">
        <f t="shared" ref="H31:H38" si="16">G31*2.65</f>
        <v>18.285</v>
      </c>
      <c r="I31" s="2">
        <f t="shared" si="9"/>
        <v>3</v>
      </c>
      <c r="J31" s="84">
        <f t="shared" si="6"/>
        <v>54.855000000000004</v>
      </c>
      <c r="K31" s="105">
        <f t="shared" si="10"/>
        <v>50</v>
      </c>
      <c r="L31" s="2"/>
      <c r="M31" s="96">
        <f t="shared" si="11"/>
        <v>0</v>
      </c>
      <c r="N31" s="83">
        <f t="shared" si="12"/>
        <v>0</v>
      </c>
      <c r="O31" s="112" t="str">
        <f t="shared" si="14"/>
        <v xml:space="preserve"> </v>
      </c>
      <c r="P31" s="112" t="str">
        <f t="shared" si="13"/>
        <v>Łazienka</v>
      </c>
      <c r="Q31" s="111">
        <f t="shared" si="15"/>
        <v>55</v>
      </c>
    </row>
    <row r="32" spans="3:18">
      <c r="C32" s="78" t="s">
        <v>103</v>
      </c>
      <c r="D32" s="839" t="s">
        <v>122</v>
      </c>
      <c r="E32" s="839"/>
      <c r="F32" s="839"/>
      <c r="G32" s="3">
        <v>4.9000000000000004</v>
      </c>
      <c r="H32" s="105">
        <f t="shared" si="16"/>
        <v>12.985000000000001</v>
      </c>
      <c r="I32" s="2">
        <f t="shared" si="9"/>
        <v>0.5</v>
      </c>
      <c r="J32" s="84">
        <f t="shared" si="6"/>
        <v>6.4925000000000006</v>
      </c>
      <c r="K32" s="105">
        <f t="shared" si="10"/>
        <v>15</v>
      </c>
      <c r="L32" s="2"/>
      <c r="M32" s="96">
        <f t="shared" si="11"/>
        <v>0</v>
      </c>
      <c r="N32" s="83" t="str">
        <f t="shared" si="12"/>
        <v>Garderoba</v>
      </c>
      <c r="O32" s="112">
        <f t="shared" si="14"/>
        <v>15</v>
      </c>
      <c r="P32" s="112">
        <f t="shared" si="13"/>
        <v>0</v>
      </c>
      <c r="Q32" s="111" t="str">
        <f t="shared" si="15"/>
        <v xml:space="preserve"> </v>
      </c>
    </row>
    <row r="33" spans="3:18">
      <c r="C33" s="78" t="s">
        <v>104</v>
      </c>
      <c r="D33" s="839" t="s">
        <v>120</v>
      </c>
      <c r="E33" s="839"/>
      <c r="F33" s="839"/>
      <c r="G33" s="3">
        <v>18.899999999999999</v>
      </c>
      <c r="H33" s="105">
        <f t="shared" si="16"/>
        <v>50.084999999999994</v>
      </c>
      <c r="I33" s="2" t="e">
        <f t="shared" si="9"/>
        <v>#N/A</v>
      </c>
      <c r="J33" s="84" t="e">
        <f t="shared" si="6"/>
        <v>#N/A</v>
      </c>
      <c r="K33" s="105" t="e">
        <f t="shared" si="10"/>
        <v>#N/A</v>
      </c>
      <c r="L33" s="2">
        <v>2</v>
      </c>
      <c r="M33" s="96">
        <f t="shared" si="11"/>
        <v>40</v>
      </c>
      <c r="N33" s="83">
        <f t="shared" si="12"/>
        <v>0</v>
      </c>
      <c r="O33" s="112" t="str">
        <f t="shared" si="14"/>
        <v xml:space="preserve"> </v>
      </c>
      <c r="P33" s="112" t="str">
        <f t="shared" si="13"/>
        <v>Pokój dzienny</v>
      </c>
      <c r="Q33" s="111" t="e">
        <f t="shared" si="15"/>
        <v>#N/A</v>
      </c>
    </row>
    <row r="34" spans="3:18">
      <c r="C34" s="78" t="s">
        <v>105</v>
      </c>
      <c r="D34" s="839" t="s">
        <v>120</v>
      </c>
      <c r="E34" s="839"/>
      <c r="F34" s="839"/>
      <c r="G34" s="3">
        <v>18.899999999999999</v>
      </c>
      <c r="H34" s="105">
        <f t="shared" si="16"/>
        <v>50.084999999999994</v>
      </c>
      <c r="I34" s="2" t="e">
        <f t="shared" si="9"/>
        <v>#N/A</v>
      </c>
      <c r="J34" s="84" t="e">
        <f t="shared" si="6"/>
        <v>#N/A</v>
      </c>
      <c r="K34" s="105" t="e">
        <f t="shared" si="10"/>
        <v>#N/A</v>
      </c>
      <c r="L34" s="2">
        <v>2</v>
      </c>
      <c r="M34" s="96">
        <f t="shared" si="11"/>
        <v>40</v>
      </c>
      <c r="N34" s="83">
        <f t="shared" si="12"/>
        <v>0</v>
      </c>
      <c r="O34" s="112" t="str">
        <f t="shared" si="14"/>
        <v xml:space="preserve"> </v>
      </c>
      <c r="P34" s="112" t="str">
        <f t="shared" si="13"/>
        <v>Pokój dzienny</v>
      </c>
      <c r="Q34" s="111" t="e">
        <f t="shared" si="15"/>
        <v>#N/A</v>
      </c>
    </row>
    <row r="35" spans="3:18">
      <c r="C35" s="78" t="s">
        <v>106</v>
      </c>
      <c r="D35" s="839" t="s">
        <v>123</v>
      </c>
      <c r="E35" s="839"/>
      <c r="F35" s="839"/>
      <c r="G35" s="3">
        <v>18.600000000000001</v>
      </c>
      <c r="H35" s="105">
        <f t="shared" si="16"/>
        <v>49.29</v>
      </c>
      <c r="I35" s="2">
        <f t="shared" si="9"/>
        <v>2</v>
      </c>
      <c r="J35" s="84">
        <f t="shared" si="6"/>
        <v>98.58</v>
      </c>
      <c r="K35" s="105">
        <f t="shared" si="10"/>
        <v>0</v>
      </c>
      <c r="L35" s="2"/>
      <c r="M35" s="96">
        <f t="shared" si="11"/>
        <v>0</v>
      </c>
      <c r="N35" s="83" t="str">
        <f t="shared" si="12"/>
        <v>Pomieszczenie rekreacyjne</v>
      </c>
      <c r="O35" s="112">
        <f t="shared" si="14"/>
        <v>100</v>
      </c>
      <c r="P35" s="112">
        <f t="shared" si="13"/>
        <v>0</v>
      </c>
      <c r="Q35" s="111" t="str">
        <f t="shared" si="15"/>
        <v xml:space="preserve"> </v>
      </c>
    </row>
    <row r="36" spans="3:18">
      <c r="C36" s="78" t="s">
        <v>107</v>
      </c>
      <c r="D36" s="839" t="s">
        <v>21</v>
      </c>
      <c r="E36" s="839"/>
      <c r="F36" s="839"/>
      <c r="G36" s="3">
        <v>11</v>
      </c>
      <c r="H36" s="105">
        <f t="shared" si="16"/>
        <v>29.15</v>
      </c>
      <c r="I36" s="2">
        <f t="shared" si="9"/>
        <v>3</v>
      </c>
      <c r="J36" s="84">
        <f t="shared" si="6"/>
        <v>87.449999999999989</v>
      </c>
      <c r="K36" s="105">
        <f t="shared" si="10"/>
        <v>50</v>
      </c>
      <c r="L36" s="2"/>
      <c r="M36" s="96">
        <f t="shared" si="11"/>
        <v>0</v>
      </c>
      <c r="N36" s="83">
        <f t="shared" si="12"/>
        <v>0</v>
      </c>
      <c r="O36" s="112" t="str">
        <f t="shared" si="14"/>
        <v xml:space="preserve"> </v>
      </c>
      <c r="P36" s="112" t="str">
        <f t="shared" si="13"/>
        <v>Łazienka</v>
      </c>
      <c r="Q36" s="111">
        <f t="shared" si="15"/>
        <v>85</v>
      </c>
    </row>
    <row r="37" spans="3:18">
      <c r="C37" s="78" t="s">
        <v>108</v>
      </c>
      <c r="D37" s="839"/>
      <c r="E37" s="839"/>
      <c r="F37" s="839"/>
      <c r="G37" s="3"/>
      <c r="H37" s="105">
        <f t="shared" si="16"/>
        <v>0</v>
      </c>
      <c r="I37" s="2" t="e">
        <f t="shared" si="9"/>
        <v>#N/A</v>
      </c>
      <c r="J37" s="84" t="e">
        <f t="shared" si="6"/>
        <v>#N/A</v>
      </c>
      <c r="K37" s="105" t="e">
        <f t="shared" si="10"/>
        <v>#N/A</v>
      </c>
      <c r="L37" s="2"/>
      <c r="M37" s="96">
        <f t="shared" si="11"/>
        <v>0</v>
      </c>
      <c r="N37" s="83">
        <f t="shared" si="12"/>
        <v>0</v>
      </c>
      <c r="O37" s="112" t="str">
        <f t="shared" si="14"/>
        <v xml:space="preserve"> </v>
      </c>
      <c r="P37" s="112">
        <f t="shared" si="13"/>
        <v>0</v>
      </c>
      <c r="Q37" s="111" t="str">
        <f t="shared" si="15"/>
        <v xml:space="preserve"> </v>
      </c>
    </row>
    <row r="38" spans="3:18" ht="15" thickBot="1">
      <c r="C38" s="79" t="s">
        <v>109</v>
      </c>
      <c r="D38" s="842"/>
      <c r="E38" s="842"/>
      <c r="F38" s="842"/>
      <c r="G38" s="102"/>
      <c r="H38" s="106">
        <f t="shared" si="16"/>
        <v>0</v>
      </c>
      <c r="I38" s="82" t="e">
        <f t="shared" si="9"/>
        <v>#N/A</v>
      </c>
      <c r="J38" s="85" t="e">
        <f t="shared" si="6"/>
        <v>#N/A</v>
      </c>
      <c r="K38" s="106" t="e">
        <f t="shared" si="10"/>
        <v>#N/A</v>
      </c>
      <c r="L38" s="82"/>
      <c r="M38" s="100">
        <f t="shared" si="11"/>
        <v>0</v>
      </c>
      <c r="N38" s="115">
        <f t="shared" si="12"/>
        <v>0</v>
      </c>
      <c r="O38" s="116" t="str">
        <f t="shared" si="14"/>
        <v xml:space="preserve"> </v>
      </c>
      <c r="P38" s="116">
        <f t="shared" si="13"/>
        <v>0</v>
      </c>
      <c r="Q38" s="117" t="str">
        <f t="shared" si="15"/>
        <v xml:space="preserve"> </v>
      </c>
    </row>
    <row r="39" spans="3:18" ht="16.2" thickBot="1">
      <c r="C39" s="16"/>
      <c r="D39" s="16"/>
      <c r="E39" s="16"/>
      <c r="F39" s="16"/>
      <c r="G39" s="107" t="str">
        <f>SUM(G29:G38)&amp;" [m2]"</f>
        <v>123,5 [m2]</v>
      </c>
      <c r="H39" s="16"/>
      <c r="M39" t="s">
        <v>117</v>
      </c>
      <c r="N39" s="98"/>
      <c r="O39" s="98">
        <f>SUM(O29:O38)</f>
        <v>115</v>
      </c>
      <c r="P39" s="99"/>
      <c r="Q39" s="99" t="e">
        <f>SUM(Q29:Q38)</f>
        <v>#N/A</v>
      </c>
      <c r="R39" t="s">
        <v>19</v>
      </c>
    </row>
    <row r="40" spans="3:18" ht="16.2" thickBot="1">
      <c r="C40" s="16"/>
      <c r="D40" s="16"/>
      <c r="E40" s="16"/>
      <c r="F40" s="16"/>
      <c r="H40" s="16"/>
      <c r="N40" s="92"/>
      <c r="O40" s="92"/>
      <c r="P40" s="92"/>
      <c r="Q40" s="92"/>
    </row>
    <row r="41" spans="3:18" ht="16.2" thickBot="1">
      <c r="G41" s="108" t="str">
        <f>SUM(G17:G26,G29:G38)&amp;" [m2]"</f>
        <v>265,2 [m2]</v>
      </c>
      <c r="I41" s="91" t="s">
        <v>110</v>
      </c>
      <c r="N41" s="89"/>
      <c r="O41" s="89">
        <f>O39+O27</f>
        <v>145</v>
      </c>
      <c r="P41" s="90"/>
      <c r="Q41" s="90" t="e">
        <f>Q39+Q27</f>
        <v>#N/A</v>
      </c>
      <c r="R41" t="s">
        <v>19</v>
      </c>
    </row>
    <row r="42" spans="3:18">
      <c r="C42" s="91"/>
    </row>
    <row r="43" spans="3:18" ht="15" customHeight="1">
      <c r="C43" s="857" t="s">
        <v>127</v>
      </c>
      <c r="D43" s="857"/>
      <c r="E43" s="857"/>
      <c r="F43" s="857"/>
      <c r="G43" s="857"/>
      <c r="H43" s="857"/>
      <c r="I43" s="857"/>
      <c r="J43" s="857"/>
      <c r="K43" s="857"/>
      <c r="L43" s="857"/>
      <c r="M43" s="857"/>
      <c r="N43" s="857"/>
      <c r="O43" s="857"/>
      <c r="P43" s="857"/>
      <c r="Q43" s="113"/>
    </row>
    <row r="44" spans="3:18">
      <c r="C44" s="857"/>
      <c r="D44" s="857"/>
      <c r="E44" s="857"/>
      <c r="F44" s="857"/>
      <c r="G44" s="857"/>
      <c r="H44" s="857"/>
      <c r="I44" s="857"/>
      <c r="J44" s="857"/>
      <c r="K44" s="857"/>
      <c r="L44" s="857"/>
      <c r="M44" s="857"/>
      <c r="N44" s="857"/>
      <c r="O44" s="857"/>
      <c r="P44" s="857"/>
      <c r="Q44" s="113"/>
    </row>
    <row r="45" spans="3:18">
      <c r="C45" s="857"/>
      <c r="D45" s="857"/>
      <c r="E45" s="857"/>
      <c r="F45" s="857"/>
      <c r="G45" s="857"/>
      <c r="H45" s="857"/>
      <c r="I45" s="857"/>
      <c r="J45" s="857"/>
      <c r="K45" s="857"/>
      <c r="L45" s="857"/>
      <c r="M45" s="857"/>
      <c r="N45" s="857"/>
      <c r="O45" s="857"/>
      <c r="P45" s="857"/>
      <c r="Q45" s="113"/>
    </row>
    <row r="46" spans="3:18">
      <c r="C46" s="857"/>
      <c r="D46" s="857"/>
      <c r="E46" s="857"/>
      <c r="F46" s="857"/>
      <c r="G46" s="857"/>
      <c r="H46" s="857"/>
      <c r="I46" s="857"/>
      <c r="J46" s="857"/>
      <c r="K46" s="857"/>
      <c r="L46" s="857"/>
      <c r="M46" s="857"/>
      <c r="N46" s="857"/>
      <c r="O46" s="857"/>
      <c r="P46" s="857"/>
      <c r="Q46" s="113"/>
    </row>
    <row r="47" spans="3:18">
      <c r="C47" s="857"/>
      <c r="D47" s="857"/>
      <c r="E47" s="857"/>
      <c r="F47" s="857"/>
      <c r="G47" s="857"/>
      <c r="H47" s="857"/>
      <c r="I47" s="857"/>
      <c r="J47" s="857"/>
      <c r="K47" s="857"/>
      <c r="L47" s="857"/>
      <c r="M47" s="857"/>
      <c r="N47" s="857"/>
      <c r="O47" s="857"/>
      <c r="P47" s="857"/>
      <c r="Q47" s="113"/>
    </row>
    <row r="48" spans="3:18">
      <c r="C48" s="857"/>
      <c r="D48" s="857"/>
      <c r="E48" s="857"/>
      <c r="F48" s="857"/>
      <c r="G48" s="857"/>
      <c r="H48" s="857"/>
      <c r="I48" s="857"/>
      <c r="J48" s="857"/>
      <c r="K48" s="857"/>
      <c r="L48" s="857"/>
      <c r="M48" s="857"/>
      <c r="N48" s="857"/>
      <c r="O48" s="857"/>
      <c r="P48" s="857"/>
      <c r="Q48" s="113"/>
    </row>
    <row r="49" spans="3:17">
      <c r="C49" s="857"/>
      <c r="D49" s="857"/>
      <c r="E49" s="857"/>
      <c r="F49" s="857"/>
      <c r="G49" s="857"/>
      <c r="H49" s="857"/>
      <c r="I49" s="857"/>
      <c r="J49" s="857"/>
      <c r="K49" s="857"/>
      <c r="L49" s="857"/>
      <c r="M49" s="857"/>
      <c r="N49" s="857"/>
      <c r="O49" s="857"/>
      <c r="P49" s="857"/>
      <c r="Q49" s="113"/>
    </row>
    <row r="50" spans="3:17">
      <c r="C50" s="857"/>
      <c r="D50" s="857"/>
      <c r="E50" s="857"/>
      <c r="F50" s="857"/>
      <c r="G50" s="857"/>
      <c r="H50" s="857"/>
      <c r="I50" s="857"/>
      <c r="J50" s="857"/>
      <c r="K50" s="857"/>
      <c r="L50" s="857"/>
      <c r="M50" s="857"/>
      <c r="N50" s="857"/>
      <c r="O50" s="857"/>
      <c r="P50" s="857"/>
      <c r="Q50" s="113"/>
    </row>
    <row r="51" spans="3:17">
      <c r="C51" s="110"/>
      <c r="D51" s="110"/>
      <c r="E51" s="110"/>
      <c r="F51" s="110"/>
      <c r="G51" s="110"/>
      <c r="H51" s="110"/>
      <c r="I51" s="110"/>
      <c r="J51" s="110"/>
      <c r="K51" s="110"/>
      <c r="L51" s="110"/>
      <c r="M51" s="110"/>
      <c r="N51" s="110"/>
      <c r="O51" s="110"/>
      <c r="P51" s="110"/>
      <c r="Q51" s="110"/>
    </row>
  </sheetData>
  <customSheetViews>
    <customSheetView guid="{5F1CD432-8628-43E5-87A3-F90570D5BEB1}" scale="85" showGridLines="0" state="hidden">
      <selection activeCell="K6" sqref="K6"/>
      <pageMargins left="0.7" right="0.7" top="0.75" bottom="0.75" header="0.3" footer="0.3"/>
      <pageSetup paperSize="9" orientation="portrait" r:id="rId1"/>
    </customSheetView>
  </customSheetViews>
  <mergeCells count="32">
    <mergeCell ref="K15:K16"/>
    <mergeCell ref="C43:P50"/>
    <mergeCell ref="O15:O16"/>
    <mergeCell ref="Q15:Q16"/>
    <mergeCell ref="D36:F36"/>
    <mergeCell ref="D37:F37"/>
    <mergeCell ref="D25:F25"/>
    <mergeCell ref="D26:F26"/>
    <mergeCell ref="D29:F29"/>
    <mergeCell ref="D30:F30"/>
    <mergeCell ref="D31:F31"/>
    <mergeCell ref="D21:F21"/>
    <mergeCell ref="D22:F22"/>
    <mergeCell ref="D23:F23"/>
    <mergeCell ref="D24:F24"/>
    <mergeCell ref="D17:F17"/>
    <mergeCell ref="D18:F18"/>
    <mergeCell ref="P15:P16"/>
    <mergeCell ref="D38:F38"/>
    <mergeCell ref="L15:L16"/>
    <mergeCell ref="C15:C16"/>
    <mergeCell ref="D15:F16"/>
    <mergeCell ref="I15:I16"/>
    <mergeCell ref="J15:J16"/>
    <mergeCell ref="M15:M16"/>
    <mergeCell ref="N15:N16"/>
    <mergeCell ref="D32:F32"/>
    <mergeCell ref="D33:F33"/>
    <mergeCell ref="D34:F34"/>
    <mergeCell ref="D35:F35"/>
    <mergeCell ref="D19:F19"/>
    <mergeCell ref="D20:F20"/>
  </mergeCells>
  <conditionalFormatting sqref="D11:E11">
    <cfRule type="cellIs" dxfId="3" priority="7" operator="equal">
      <formula>2</formula>
    </cfRule>
  </conditionalFormatting>
  <dataValidations count="3">
    <dataValidation type="list" allowBlank="1" showInputMessage="1" showErrorMessage="1" promptTitle="Miejsce montażu centrali" sqref="I6" xr:uid="{00000000-0002-0000-0500-000000000000}">
      <formula1>montaz</formula1>
    </dataValidation>
    <dataValidation type="list" allowBlank="1" showInputMessage="1" showErrorMessage="1" promptTitle="Nazwa pomieszczenia" prompt="lista" sqref="D17:F27 D29:F40" xr:uid="{00000000-0002-0000-0500-000001000000}">
      <formula1>lista_pom</formula1>
    </dataValidation>
    <dataValidation type="whole" allowBlank="1" showInputMessage="1" showErrorMessage="1" sqref="G28" xr:uid="{00000000-0002-0000-0500-000002000000}">
      <formula1>1</formula1>
      <formula2>100</formula2>
    </dataValidation>
  </dataValidations>
  <pageMargins left="0.7" right="0.7" top="0.75" bottom="0.75" header="0.3" footer="0.3"/>
  <pageSetup paperSize="9" orientation="portrait" r:id="rId2"/>
  <drawing r:id="rId3"/>
  <legacyDrawing r:id="rId4"/>
  <extLst>
    <ext xmlns:x14="http://schemas.microsoft.com/office/spreadsheetml/2009/9/main" uri="{78C0D931-6437-407d-A8EE-F0AAD7539E65}">
      <x14:conditionalFormattings>
        <x14:conditionalFormatting xmlns:xm="http://schemas.microsoft.com/office/excel/2006/main">
          <x14:cfRule type="containsText" priority="6" operator="containsText" id="{7C614F1F-CC32-44A7-A859-EED5F1D606E1}">
            <xm:f>NOT(ISERROR(SEARCH("Parter",E9)))</xm:f>
            <xm:f>"Parter"</xm:f>
            <x14:dxf>
              <font>
                <color rgb="FFFF0000"/>
              </font>
            </x14:dxf>
          </x14:cfRule>
          <xm:sqref>E9</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usz6"/>
  <dimension ref="B1:V151"/>
  <sheetViews>
    <sheetView zoomScale="70" zoomScaleNormal="70" workbookViewId="0">
      <selection activeCell="Q16" sqref="Q16"/>
    </sheetView>
  </sheetViews>
  <sheetFormatPr defaultRowHeight="14.4"/>
  <cols>
    <col min="2" max="2" width="6.88671875" customWidth="1"/>
    <col min="3" max="3" width="26" customWidth="1"/>
    <col min="4" max="6" width="10.6640625" customWidth="1"/>
    <col min="7" max="8" width="12.6640625" customWidth="1"/>
    <col min="9" max="9" width="3.5546875" customWidth="1"/>
    <col min="10" max="12" width="12.6640625" customWidth="1"/>
    <col min="13" max="14" width="10.6640625" customWidth="1"/>
    <col min="258" max="258" width="6.88671875" customWidth="1"/>
    <col min="259" max="259" width="26" customWidth="1"/>
    <col min="260" max="262" width="10.6640625" customWidth="1"/>
    <col min="263" max="264" width="12.6640625" customWidth="1"/>
    <col min="265" max="265" width="3.5546875" customWidth="1"/>
    <col min="266" max="268" width="12.6640625" customWidth="1"/>
    <col min="269" max="270" width="10.6640625" customWidth="1"/>
    <col min="514" max="514" width="6.88671875" customWidth="1"/>
    <col min="515" max="515" width="26" customWidth="1"/>
    <col min="516" max="518" width="10.6640625" customWidth="1"/>
    <col min="519" max="520" width="12.6640625" customWidth="1"/>
    <col min="521" max="521" width="3.5546875" customWidth="1"/>
    <col min="522" max="524" width="12.6640625" customWidth="1"/>
    <col min="525" max="526" width="10.6640625" customWidth="1"/>
    <col min="770" max="770" width="6.88671875" customWidth="1"/>
    <col min="771" max="771" width="26" customWidth="1"/>
    <col min="772" max="774" width="10.6640625" customWidth="1"/>
    <col min="775" max="776" width="12.6640625" customWidth="1"/>
    <col min="777" max="777" width="3.5546875" customWidth="1"/>
    <col min="778" max="780" width="12.6640625" customWidth="1"/>
    <col min="781" max="782" width="10.6640625" customWidth="1"/>
    <col min="1026" max="1026" width="6.88671875" customWidth="1"/>
    <col min="1027" max="1027" width="26" customWidth="1"/>
    <col min="1028" max="1030" width="10.6640625" customWidth="1"/>
    <col min="1031" max="1032" width="12.6640625" customWidth="1"/>
    <col min="1033" max="1033" width="3.5546875" customWidth="1"/>
    <col min="1034" max="1036" width="12.6640625" customWidth="1"/>
    <col min="1037" max="1038" width="10.6640625" customWidth="1"/>
    <col min="1282" max="1282" width="6.88671875" customWidth="1"/>
    <col min="1283" max="1283" width="26" customWidth="1"/>
    <col min="1284" max="1286" width="10.6640625" customWidth="1"/>
    <col min="1287" max="1288" width="12.6640625" customWidth="1"/>
    <col min="1289" max="1289" width="3.5546875" customWidth="1"/>
    <col min="1290" max="1292" width="12.6640625" customWidth="1"/>
    <col min="1293" max="1294" width="10.6640625" customWidth="1"/>
    <col min="1538" max="1538" width="6.88671875" customWidth="1"/>
    <col min="1539" max="1539" width="26" customWidth="1"/>
    <col min="1540" max="1542" width="10.6640625" customWidth="1"/>
    <col min="1543" max="1544" width="12.6640625" customWidth="1"/>
    <col min="1545" max="1545" width="3.5546875" customWidth="1"/>
    <col min="1546" max="1548" width="12.6640625" customWidth="1"/>
    <col min="1549" max="1550" width="10.6640625" customWidth="1"/>
    <col min="1794" max="1794" width="6.88671875" customWidth="1"/>
    <col min="1795" max="1795" width="26" customWidth="1"/>
    <col min="1796" max="1798" width="10.6640625" customWidth="1"/>
    <col min="1799" max="1800" width="12.6640625" customWidth="1"/>
    <col min="1801" max="1801" width="3.5546875" customWidth="1"/>
    <col min="1802" max="1804" width="12.6640625" customWidth="1"/>
    <col min="1805" max="1806" width="10.6640625" customWidth="1"/>
    <col min="2050" max="2050" width="6.88671875" customWidth="1"/>
    <col min="2051" max="2051" width="26" customWidth="1"/>
    <col min="2052" max="2054" width="10.6640625" customWidth="1"/>
    <col min="2055" max="2056" width="12.6640625" customWidth="1"/>
    <col min="2057" max="2057" width="3.5546875" customWidth="1"/>
    <col min="2058" max="2060" width="12.6640625" customWidth="1"/>
    <col min="2061" max="2062" width="10.6640625" customWidth="1"/>
    <col min="2306" max="2306" width="6.88671875" customWidth="1"/>
    <col min="2307" max="2307" width="26" customWidth="1"/>
    <col min="2308" max="2310" width="10.6640625" customWidth="1"/>
    <col min="2311" max="2312" width="12.6640625" customWidth="1"/>
    <col min="2313" max="2313" width="3.5546875" customWidth="1"/>
    <col min="2314" max="2316" width="12.6640625" customWidth="1"/>
    <col min="2317" max="2318" width="10.6640625" customWidth="1"/>
    <col min="2562" max="2562" width="6.88671875" customWidth="1"/>
    <col min="2563" max="2563" width="26" customWidth="1"/>
    <col min="2564" max="2566" width="10.6640625" customWidth="1"/>
    <col min="2567" max="2568" width="12.6640625" customWidth="1"/>
    <col min="2569" max="2569" width="3.5546875" customWidth="1"/>
    <col min="2570" max="2572" width="12.6640625" customWidth="1"/>
    <col min="2573" max="2574" width="10.6640625" customWidth="1"/>
    <col min="2818" max="2818" width="6.88671875" customWidth="1"/>
    <col min="2819" max="2819" width="26" customWidth="1"/>
    <col min="2820" max="2822" width="10.6640625" customWidth="1"/>
    <col min="2823" max="2824" width="12.6640625" customWidth="1"/>
    <col min="2825" max="2825" width="3.5546875" customWidth="1"/>
    <col min="2826" max="2828" width="12.6640625" customWidth="1"/>
    <col min="2829" max="2830" width="10.6640625" customWidth="1"/>
    <col min="3074" max="3074" width="6.88671875" customWidth="1"/>
    <col min="3075" max="3075" width="26" customWidth="1"/>
    <col min="3076" max="3078" width="10.6640625" customWidth="1"/>
    <col min="3079" max="3080" width="12.6640625" customWidth="1"/>
    <col min="3081" max="3081" width="3.5546875" customWidth="1"/>
    <col min="3082" max="3084" width="12.6640625" customWidth="1"/>
    <col min="3085" max="3086" width="10.6640625" customWidth="1"/>
    <col min="3330" max="3330" width="6.88671875" customWidth="1"/>
    <col min="3331" max="3331" width="26" customWidth="1"/>
    <col min="3332" max="3334" width="10.6640625" customWidth="1"/>
    <col min="3335" max="3336" width="12.6640625" customWidth="1"/>
    <col min="3337" max="3337" width="3.5546875" customWidth="1"/>
    <col min="3338" max="3340" width="12.6640625" customWidth="1"/>
    <col min="3341" max="3342" width="10.6640625" customWidth="1"/>
    <col min="3586" max="3586" width="6.88671875" customWidth="1"/>
    <col min="3587" max="3587" width="26" customWidth="1"/>
    <col min="3588" max="3590" width="10.6640625" customWidth="1"/>
    <col min="3591" max="3592" width="12.6640625" customWidth="1"/>
    <col min="3593" max="3593" width="3.5546875" customWidth="1"/>
    <col min="3594" max="3596" width="12.6640625" customWidth="1"/>
    <col min="3597" max="3598" width="10.6640625" customWidth="1"/>
    <col min="3842" max="3842" width="6.88671875" customWidth="1"/>
    <col min="3843" max="3843" width="26" customWidth="1"/>
    <col min="3844" max="3846" width="10.6640625" customWidth="1"/>
    <col min="3847" max="3848" width="12.6640625" customWidth="1"/>
    <col min="3849" max="3849" width="3.5546875" customWidth="1"/>
    <col min="3850" max="3852" width="12.6640625" customWidth="1"/>
    <col min="3853" max="3854" width="10.6640625" customWidth="1"/>
    <col min="4098" max="4098" width="6.88671875" customWidth="1"/>
    <col min="4099" max="4099" width="26" customWidth="1"/>
    <col min="4100" max="4102" width="10.6640625" customWidth="1"/>
    <col min="4103" max="4104" width="12.6640625" customWidth="1"/>
    <col min="4105" max="4105" width="3.5546875" customWidth="1"/>
    <col min="4106" max="4108" width="12.6640625" customWidth="1"/>
    <col min="4109" max="4110" width="10.6640625" customWidth="1"/>
    <col min="4354" max="4354" width="6.88671875" customWidth="1"/>
    <col min="4355" max="4355" width="26" customWidth="1"/>
    <col min="4356" max="4358" width="10.6640625" customWidth="1"/>
    <col min="4359" max="4360" width="12.6640625" customWidth="1"/>
    <col min="4361" max="4361" width="3.5546875" customWidth="1"/>
    <col min="4362" max="4364" width="12.6640625" customWidth="1"/>
    <col min="4365" max="4366" width="10.6640625" customWidth="1"/>
    <col min="4610" max="4610" width="6.88671875" customWidth="1"/>
    <col min="4611" max="4611" width="26" customWidth="1"/>
    <col min="4612" max="4614" width="10.6640625" customWidth="1"/>
    <col min="4615" max="4616" width="12.6640625" customWidth="1"/>
    <col min="4617" max="4617" width="3.5546875" customWidth="1"/>
    <col min="4618" max="4620" width="12.6640625" customWidth="1"/>
    <col min="4621" max="4622" width="10.6640625" customWidth="1"/>
    <col min="4866" max="4866" width="6.88671875" customWidth="1"/>
    <col min="4867" max="4867" width="26" customWidth="1"/>
    <col min="4868" max="4870" width="10.6640625" customWidth="1"/>
    <col min="4871" max="4872" width="12.6640625" customWidth="1"/>
    <col min="4873" max="4873" width="3.5546875" customWidth="1"/>
    <col min="4874" max="4876" width="12.6640625" customWidth="1"/>
    <col min="4877" max="4878" width="10.6640625" customWidth="1"/>
    <col min="5122" max="5122" width="6.88671875" customWidth="1"/>
    <col min="5123" max="5123" width="26" customWidth="1"/>
    <col min="5124" max="5126" width="10.6640625" customWidth="1"/>
    <col min="5127" max="5128" width="12.6640625" customWidth="1"/>
    <col min="5129" max="5129" width="3.5546875" customWidth="1"/>
    <col min="5130" max="5132" width="12.6640625" customWidth="1"/>
    <col min="5133" max="5134" width="10.6640625" customWidth="1"/>
    <col min="5378" max="5378" width="6.88671875" customWidth="1"/>
    <col min="5379" max="5379" width="26" customWidth="1"/>
    <col min="5380" max="5382" width="10.6640625" customWidth="1"/>
    <col min="5383" max="5384" width="12.6640625" customWidth="1"/>
    <col min="5385" max="5385" width="3.5546875" customWidth="1"/>
    <col min="5386" max="5388" width="12.6640625" customWidth="1"/>
    <col min="5389" max="5390" width="10.6640625" customWidth="1"/>
    <col min="5634" max="5634" width="6.88671875" customWidth="1"/>
    <col min="5635" max="5635" width="26" customWidth="1"/>
    <col min="5636" max="5638" width="10.6640625" customWidth="1"/>
    <col min="5639" max="5640" width="12.6640625" customWidth="1"/>
    <col min="5641" max="5641" width="3.5546875" customWidth="1"/>
    <col min="5642" max="5644" width="12.6640625" customWidth="1"/>
    <col min="5645" max="5646" width="10.6640625" customWidth="1"/>
    <col min="5890" max="5890" width="6.88671875" customWidth="1"/>
    <col min="5891" max="5891" width="26" customWidth="1"/>
    <col min="5892" max="5894" width="10.6640625" customWidth="1"/>
    <col min="5895" max="5896" width="12.6640625" customWidth="1"/>
    <col min="5897" max="5897" width="3.5546875" customWidth="1"/>
    <col min="5898" max="5900" width="12.6640625" customWidth="1"/>
    <col min="5901" max="5902" width="10.6640625" customWidth="1"/>
    <col min="6146" max="6146" width="6.88671875" customWidth="1"/>
    <col min="6147" max="6147" width="26" customWidth="1"/>
    <col min="6148" max="6150" width="10.6640625" customWidth="1"/>
    <col min="6151" max="6152" width="12.6640625" customWidth="1"/>
    <col min="6153" max="6153" width="3.5546875" customWidth="1"/>
    <col min="6154" max="6156" width="12.6640625" customWidth="1"/>
    <col min="6157" max="6158" width="10.6640625" customWidth="1"/>
    <col min="6402" max="6402" width="6.88671875" customWidth="1"/>
    <col min="6403" max="6403" width="26" customWidth="1"/>
    <col min="6404" max="6406" width="10.6640625" customWidth="1"/>
    <col min="6407" max="6408" width="12.6640625" customWidth="1"/>
    <col min="6409" max="6409" width="3.5546875" customWidth="1"/>
    <col min="6410" max="6412" width="12.6640625" customWidth="1"/>
    <col min="6413" max="6414" width="10.6640625" customWidth="1"/>
    <col min="6658" max="6658" width="6.88671875" customWidth="1"/>
    <col min="6659" max="6659" width="26" customWidth="1"/>
    <col min="6660" max="6662" width="10.6640625" customWidth="1"/>
    <col min="6663" max="6664" width="12.6640625" customWidth="1"/>
    <col min="6665" max="6665" width="3.5546875" customWidth="1"/>
    <col min="6666" max="6668" width="12.6640625" customWidth="1"/>
    <col min="6669" max="6670" width="10.6640625" customWidth="1"/>
    <col min="6914" max="6914" width="6.88671875" customWidth="1"/>
    <col min="6915" max="6915" width="26" customWidth="1"/>
    <col min="6916" max="6918" width="10.6640625" customWidth="1"/>
    <col min="6919" max="6920" width="12.6640625" customWidth="1"/>
    <col min="6921" max="6921" width="3.5546875" customWidth="1"/>
    <col min="6922" max="6924" width="12.6640625" customWidth="1"/>
    <col min="6925" max="6926" width="10.6640625" customWidth="1"/>
    <col min="7170" max="7170" width="6.88671875" customWidth="1"/>
    <col min="7171" max="7171" width="26" customWidth="1"/>
    <col min="7172" max="7174" width="10.6640625" customWidth="1"/>
    <col min="7175" max="7176" width="12.6640625" customWidth="1"/>
    <col min="7177" max="7177" width="3.5546875" customWidth="1"/>
    <col min="7178" max="7180" width="12.6640625" customWidth="1"/>
    <col min="7181" max="7182" width="10.6640625" customWidth="1"/>
    <col min="7426" max="7426" width="6.88671875" customWidth="1"/>
    <col min="7427" max="7427" width="26" customWidth="1"/>
    <col min="7428" max="7430" width="10.6640625" customWidth="1"/>
    <col min="7431" max="7432" width="12.6640625" customWidth="1"/>
    <col min="7433" max="7433" width="3.5546875" customWidth="1"/>
    <col min="7434" max="7436" width="12.6640625" customWidth="1"/>
    <col min="7437" max="7438" width="10.6640625" customWidth="1"/>
    <col min="7682" max="7682" width="6.88671875" customWidth="1"/>
    <col min="7683" max="7683" width="26" customWidth="1"/>
    <col min="7684" max="7686" width="10.6640625" customWidth="1"/>
    <col min="7687" max="7688" width="12.6640625" customWidth="1"/>
    <col min="7689" max="7689" width="3.5546875" customWidth="1"/>
    <col min="7690" max="7692" width="12.6640625" customWidth="1"/>
    <col min="7693" max="7694" width="10.6640625" customWidth="1"/>
    <col min="7938" max="7938" width="6.88671875" customWidth="1"/>
    <col min="7939" max="7939" width="26" customWidth="1"/>
    <col min="7940" max="7942" width="10.6640625" customWidth="1"/>
    <col min="7943" max="7944" width="12.6640625" customWidth="1"/>
    <col min="7945" max="7945" width="3.5546875" customWidth="1"/>
    <col min="7946" max="7948" width="12.6640625" customWidth="1"/>
    <col min="7949" max="7950" width="10.6640625" customWidth="1"/>
    <col min="8194" max="8194" width="6.88671875" customWidth="1"/>
    <col min="8195" max="8195" width="26" customWidth="1"/>
    <col min="8196" max="8198" width="10.6640625" customWidth="1"/>
    <col min="8199" max="8200" width="12.6640625" customWidth="1"/>
    <col min="8201" max="8201" width="3.5546875" customWidth="1"/>
    <col min="8202" max="8204" width="12.6640625" customWidth="1"/>
    <col min="8205" max="8206" width="10.6640625" customWidth="1"/>
    <col min="8450" max="8450" width="6.88671875" customWidth="1"/>
    <col min="8451" max="8451" width="26" customWidth="1"/>
    <col min="8452" max="8454" width="10.6640625" customWidth="1"/>
    <col min="8455" max="8456" width="12.6640625" customWidth="1"/>
    <col min="8457" max="8457" width="3.5546875" customWidth="1"/>
    <col min="8458" max="8460" width="12.6640625" customWidth="1"/>
    <col min="8461" max="8462" width="10.6640625" customWidth="1"/>
    <col min="8706" max="8706" width="6.88671875" customWidth="1"/>
    <col min="8707" max="8707" width="26" customWidth="1"/>
    <col min="8708" max="8710" width="10.6640625" customWidth="1"/>
    <col min="8711" max="8712" width="12.6640625" customWidth="1"/>
    <col min="8713" max="8713" width="3.5546875" customWidth="1"/>
    <col min="8714" max="8716" width="12.6640625" customWidth="1"/>
    <col min="8717" max="8718" width="10.6640625" customWidth="1"/>
    <col min="8962" max="8962" width="6.88671875" customWidth="1"/>
    <col min="8963" max="8963" width="26" customWidth="1"/>
    <col min="8964" max="8966" width="10.6640625" customWidth="1"/>
    <col min="8967" max="8968" width="12.6640625" customWidth="1"/>
    <col min="8969" max="8969" width="3.5546875" customWidth="1"/>
    <col min="8970" max="8972" width="12.6640625" customWidth="1"/>
    <col min="8973" max="8974" width="10.6640625" customWidth="1"/>
    <col min="9218" max="9218" width="6.88671875" customWidth="1"/>
    <col min="9219" max="9219" width="26" customWidth="1"/>
    <col min="9220" max="9222" width="10.6640625" customWidth="1"/>
    <col min="9223" max="9224" width="12.6640625" customWidth="1"/>
    <col min="9225" max="9225" width="3.5546875" customWidth="1"/>
    <col min="9226" max="9228" width="12.6640625" customWidth="1"/>
    <col min="9229" max="9230" width="10.6640625" customWidth="1"/>
    <col min="9474" max="9474" width="6.88671875" customWidth="1"/>
    <col min="9475" max="9475" width="26" customWidth="1"/>
    <col min="9476" max="9478" width="10.6640625" customWidth="1"/>
    <col min="9479" max="9480" width="12.6640625" customWidth="1"/>
    <col min="9481" max="9481" width="3.5546875" customWidth="1"/>
    <col min="9482" max="9484" width="12.6640625" customWidth="1"/>
    <col min="9485" max="9486" width="10.6640625" customWidth="1"/>
    <col min="9730" max="9730" width="6.88671875" customWidth="1"/>
    <col min="9731" max="9731" width="26" customWidth="1"/>
    <col min="9732" max="9734" width="10.6640625" customWidth="1"/>
    <col min="9735" max="9736" width="12.6640625" customWidth="1"/>
    <col min="9737" max="9737" width="3.5546875" customWidth="1"/>
    <col min="9738" max="9740" width="12.6640625" customWidth="1"/>
    <col min="9741" max="9742" width="10.6640625" customWidth="1"/>
    <col min="9986" max="9986" width="6.88671875" customWidth="1"/>
    <col min="9987" max="9987" width="26" customWidth="1"/>
    <col min="9988" max="9990" width="10.6640625" customWidth="1"/>
    <col min="9991" max="9992" width="12.6640625" customWidth="1"/>
    <col min="9993" max="9993" width="3.5546875" customWidth="1"/>
    <col min="9994" max="9996" width="12.6640625" customWidth="1"/>
    <col min="9997" max="9998" width="10.6640625" customWidth="1"/>
    <col min="10242" max="10242" width="6.88671875" customWidth="1"/>
    <col min="10243" max="10243" width="26" customWidth="1"/>
    <col min="10244" max="10246" width="10.6640625" customWidth="1"/>
    <col min="10247" max="10248" width="12.6640625" customWidth="1"/>
    <col min="10249" max="10249" width="3.5546875" customWidth="1"/>
    <col min="10250" max="10252" width="12.6640625" customWidth="1"/>
    <col min="10253" max="10254" width="10.6640625" customWidth="1"/>
    <col min="10498" max="10498" width="6.88671875" customWidth="1"/>
    <col min="10499" max="10499" width="26" customWidth="1"/>
    <col min="10500" max="10502" width="10.6640625" customWidth="1"/>
    <col min="10503" max="10504" width="12.6640625" customWidth="1"/>
    <col min="10505" max="10505" width="3.5546875" customWidth="1"/>
    <col min="10506" max="10508" width="12.6640625" customWidth="1"/>
    <col min="10509" max="10510" width="10.6640625" customWidth="1"/>
    <col min="10754" max="10754" width="6.88671875" customWidth="1"/>
    <col min="10755" max="10755" width="26" customWidth="1"/>
    <col min="10756" max="10758" width="10.6640625" customWidth="1"/>
    <col min="10759" max="10760" width="12.6640625" customWidth="1"/>
    <col min="10761" max="10761" width="3.5546875" customWidth="1"/>
    <col min="10762" max="10764" width="12.6640625" customWidth="1"/>
    <col min="10765" max="10766" width="10.6640625" customWidth="1"/>
    <col min="11010" max="11010" width="6.88671875" customWidth="1"/>
    <col min="11011" max="11011" width="26" customWidth="1"/>
    <col min="11012" max="11014" width="10.6640625" customWidth="1"/>
    <col min="11015" max="11016" width="12.6640625" customWidth="1"/>
    <col min="11017" max="11017" width="3.5546875" customWidth="1"/>
    <col min="11018" max="11020" width="12.6640625" customWidth="1"/>
    <col min="11021" max="11022" width="10.6640625" customWidth="1"/>
    <col min="11266" max="11266" width="6.88671875" customWidth="1"/>
    <col min="11267" max="11267" width="26" customWidth="1"/>
    <col min="11268" max="11270" width="10.6640625" customWidth="1"/>
    <col min="11271" max="11272" width="12.6640625" customWidth="1"/>
    <col min="11273" max="11273" width="3.5546875" customWidth="1"/>
    <col min="11274" max="11276" width="12.6640625" customWidth="1"/>
    <col min="11277" max="11278" width="10.6640625" customWidth="1"/>
    <col min="11522" max="11522" width="6.88671875" customWidth="1"/>
    <col min="11523" max="11523" width="26" customWidth="1"/>
    <col min="11524" max="11526" width="10.6640625" customWidth="1"/>
    <col min="11527" max="11528" width="12.6640625" customWidth="1"/>
    <col min="11529" max="11529" width="3.5546875" customWidth="1"/>
    <col min="11530" max="11532" width="12.6640625" customWidth="1"/>
    <col min="11533" max="11534" width="10.6640625" customWidth="1"/>
    <col min="11778" max="11778" width="6.88671875" customWidth="1"/>
    <col min="11779" max="11779" width="26" customWidth="1"/>
    <col min="11780" max="11782" width="10.6640625" customWidth="1"/>
    <col min="11783" max="11784" width="12.6640625" customWidth="1"/>
    <col min="11785" max="11785" width="3.5546875" customWidth="1"/>
    <col min="11786" max="11788" width="12.6640625" customWidth="1"/>
    <col min="11789" max="11790" width="10.6640625" customWidth="1"/>
    <col min="12034" max="12034" width="6.88671875" customWidth="1"/>
    <col min="12035" max="12035" width="26" customWidth="1"/>
    <col min="12036" max="12038" width="10.6640625" customWidth="1"/>
    <col min="12039" max="12040" width="12.6640625" customWidth="1"/>
    <col min="12041" max="12041" width="3.5546875" customWidth="1"/>
    <col min="12042" max="12044" width="12.6640625" customWidth="1"/>
    <col min="12045" max="12046" width="10.6640625" customWidth="1"/>
    <col min="12290" max="12290" width="6.88671875" customWidth="1"/>
    <col min="12291" max="12291" width="26" customWidth="1"/>
    <col min="12292" max="12294" width="10.6640625" customWidth="1"/>
    <col min="12295" max="12296" width="12.6640625" customWidth="1"/>
    <col min="12297" max="12297" width="3.5546875" customWidth="1"/>
    <col min="12298" max="12300" width="12.6640625" customWidth="1"/>
    <col min="12301" max="12302" width="10.6640625" customWidth="1"/>
    <col min="12546" max="12546" width="6.88671875" customWidth="1"/>
    <col min="12547" max="12547" width="26" customWidth="1"/>
    <col min="12548" max="12550" width="10.6640625" customWidth="1"/>
    <col min="12551" max="12552" width="12.6640625" customWidth="1"/>
    <col min="12553" max="12553" width="3.5546875" customWidth="1"/>
    <col min="12554" max="12556" width="12.6640625" customWidth="1"/>
    <col min="12557" max="12558" width="10.6640625" customWidth="1"/>
    <col min="12802" max="12802" width="6.88671875" customWidth="1"/>
    <col min="12803" max="12803" width="26" customWidth="1"/>
    <col min="12804" max="12806" width="10.6640625" customWidth="1"/>
    <col min="12807" max="12808" width="12.6640625" customWidth="1"/>
    <col min="12809" max="12809" width="3.5546875" customWidth="1"/>
    <col min="12810" max="12812" width="12.6640625" customWidth="1"/>
    <col min="12813" max="12814" width="10.6640625" customWidth="1"/>
    <col min="13058" max="13058" width="6.88671875" customWidth="1"/>
    <col min="13059" max="13059" width="26" customWidth="1"/>
    <col min="13060" max="13062" width="10.6640625" customWidth="1"/>
    <col min="13063" max="13064" width="12.6640625" customWidth="1"/>
    <col min="13065" max="13065" width="3.5546875" customWidth="1"/>
    <col min="13066" max="13068" width="12.6640625" customWidth="1"/>
    <col min="13069" max="13070" width="10.6640625" customWidth="1"/>
    <col min="13314" max="13314" width="6.88671875" customWidth="1"/>
    <col min="13315" max="13315" width="26" customWidth="1"/>
    <col min="13316" max="13318" width="10.6640625" customWidth="1"/>
    <col min="13319" max="13320" width="12.6640625" customWidth="1"/>
    <col min="13321" max="13321" width="3.5546875" customWidth="1"/>
    <col min="13322" max="13324" width="12.6640625" customWidth="1"/>
    <col min="13325" max="13326" width="10.6640625" customWidth="1"/>
    <col min="13570" max="13570" width="6.88671875" customWidth="1"/>
    <col min="13571" max="13571" width="26" customWidth="1"/>
    <col min="13572" max="13574" width="10.6640625" customWidth="1"/>
    <col min="13575" max="13576" width="12.6640625" customWidth="1"/>
    <col min="13577" max="13577" width="3.5546875" customWidth="1"/>
    <col min="13578" max="13580" width="12.6640625" customWidth="1"/>
    <col min="13581" max="13582" width="10.6640625" customWidth="1"/>
    <col min="13826" max="13826" width="6.88671875" customWidth="1"/>
    <col min="13827" max="13827" width="26" customWidth="1"/>
    <col min="13828" max="13830" width="10.6640625" customWidth="1"/>
    <col min="13831" max="13832" width="12.6640625" customWidth="1"/>
    <col min="13833" max="13833" width="3.5546875" customWidth="1"/>
    <col min="13834" max="13836" width="12.6640625" customWidth="1"/>
    <col min="13837" max="13838" width="10.6640625" customWidth="1"/>
    <col min="14082" max="14082" width="6.88671875" customWidth="1"/>
    <col min="14083" max="14083" width="26" customWidth="1"/>
    <col min="14084" max="14086" width="10.6640625" customWidth="1"/>
    <col min="14087" max="14088" width="12.6640625" customWidth="1"/>
    <col min="14089" max="14089" width="3.5546875" customWidth="1"/>
    <col min="14090" max="14092" width="12.6640625" customWidth="1"/>
    <col min="14093" max="14094" width="10.6640625" customWidth="1"/>
    <col min="14338" max="14338" width="6.88671875" customWidth="1"/>
    <col min="14339" max="14339" width="26" customWidth="1"/>
    <col min="14340" max="14342" width="10.6640625" customWidth="1"/>
    <col min="14343" max="14344" width="12.6640625" customWidth="1"/>
    <col min="14345" max="14345" width="3.5546875" customWidth="1"/>
    <col min="14346" max="14348" width="12.6640625" customWidth="1"/>
    <col min="14349" max="14350" width="10.6640625" customWidth="1"/>
    <col min="14594" max="14594" width="6.88671875" customWidth="1"/>
    <col min="14595" max="14595" width="26" customWidth="1"/>
    <col min="14596" max="14598" width="10.6640625" customWidth="1"/>
    <col min="14599" max="14600" width="12.6640625" customWidth="1"/>
    <col min="14601" max="14601" width="3.5546875" customWidth="1"/>
    <col min="14602" max="14604" width="12.6640625" customWidth="1"/>
    <col min="14605" max="14606" width="10.6640625" customWidth="1"/>
    <col min="14850" max="14850" width="6.88671875" customWidth="1"/>
    <col min="14851" max="14851" width="26" customWidth="1"/>
    <col min="14852" max="14854" width="10.6640625" customWidth="1"/>
    <col min="14855" max="14856" width="12.6640625" customWidth="1"/>
    <col min="14857" max="14857" width="3.5546875" customWidth="1"/>
    <col min="14858" max="14860" width="12.6640625" customWidth="1"/>
    <col min="14861" max="14862" width="10.6640625" customWidth="1"/>
    <col min="15106" max="15106" width="6.88671875" customWidth="1"/>
    <col min="15107" max="15107" width="26" customWidth="1"/>
    <col min="15108" max="15110" width="10.6640625" customWidth="1"/>
    <col min="15111" max="15112" width="12.6640625" customWidth="1"/>
    <col min="15113" max="15113" width="3.5546875" customWidth="1"/>
    <col min="15114" max="15116" width="12.6640625" customWidth="1"/>
    <col min="15117" max="15118" width="10.6640625" customWidth="1"/>
    <col min="15362" max="15362" width="6.88671875" customWidth="1"/>
    <col min="15363" max="15363" width="26" customWidth="1"/>
    <col min="15364" max="15366" width="10.6640625" customWidth="1"/>
    <col min="15367" max="15368" width="12.6640625" customWidth="1"/>
    <col min="15369" max="15369" width="3.5546875" customWidth="1"/>
    <col min="15370" max="15372" width="12.6640625" customWidth="1"/>
    <col min="15373" max="15374" width="10.6640625" customWidth="1"/>
    <col min="15618" max="15618" width="6.88671875" customWidth="1"/>
    <col min="15619" max="15619" width="26" customWidth="1"/>
    <col min="15620" max="15622" width="10.6640625" customWidth="1"/>
    <col min="15623" max="15624" width="12.6640625" customWidth="1"/>
    <col min="15625" max="15625" width="3.5546875" customWidth="1"/>
    <col min="15626" max="15628" width="12.6640625" customWidth="1"/>
    <col min="15629" max="15630" width="10.6640625" customWidth="1"/>
    <col min="15874" max="15874" width="6.88671875" customWidth="1"/>
    <col min="15875" max="15875" width="26" customWidth="1"/>
    <col min="15876" max="15878" width="10.6640625" customWidth="1"/>
    <col min="15879" max="15880" width="12.6640625" customWidth="1"/>
    <col min="15881" max="15881" width="3.5546875" customWidth="1"/>
    <col min="15882" max="15884" width="12.6640625" customWidth="1"/>
    <col min="15885" max="15886" width="10.6640625" customWidth="1"/>
    <col min="16130" max="16130" width="6.88671875" customWidth="1"/>
    <col min="16131" max="16131" width="26" customWidth="1"/>
    <col min="16132" max="16134" width="10.6640625" customWidth="1"/>
    <col min="16135" max="16136" width="12.6640625" customWidth="1"/>
    <col min="16137" max="16137" width="3.5546875" customWidth="1"/>
    <col min="16138" max="16140" width="12.6640625" customWidth="1"/>
    <col min="16141" max="16142" width="10.6640625" customWidth="1"/>
  </cols>
  <sheetData>
    <row r="1" spans="2:22" ht="14.25" customHeight="1"/>
    <row r="2" spans="2:22" ht="25.2" customHeight="1">
      <c r="B2" s="869" t="s">
        <v>75</v>
      </c>
      <c r="C2" s="869"/>
      <c r="D2" s="869"/>
      <c r="E2" s="869"/>
      <c r="F2" s="21"/>
      <c r="G2" s="21"/>
      <c r="H2" s="21"/>
      <c r="I2" s="21"/>
      <c r="J2" s="21"/>
      <c r="K2" s="21"/>
      <c r="L2" s="22"/>
    </row>
    <row r="3" spans="2:22" ht="17.100000000000001" customHeight="1" thickBot="1"/>
    <row r="4" spans="2:22" ht="17.100000000000001" customHeight="1">
      <c r="B4" s="870" t="s">
        <v>76</v>
      </c>
      <c r="C4" s="872" t="s">
        <v>77</v>
      </c>
      <c r="D4" s="23" t="s">
        <v>78</v>
      </c>
      <c r="E4" s="23" t="s">
        <v>79</v>
      </c>
      <c r="F4" s="874" t="s">
        <v>80</v>
      </c>
      <c r="G4" s="874" t="s">
        <v>81</v>
      </c>
      <c r="H4" s="874" t="s">
        <v>82</v>
      </c>
      <c r="I4" s="874"/>
      <c r="J4" s="874" t="s">
        <v>83</v>
      </c>
      <c r="K4" s="877" t="s">
        <v>84</v>
      </c>
      <c r="L4" s="24"/>
      <c r="M4" s="862" t="s">
        <v>85</v>
      </c>
      <c r="N4" s="863"/>
      <c r="O4" s="864" t="s">
        <v>86</v>
      </c>
      <c r="P4" s="865"/>
    </row>
    <row r="5" spans="2:22" ht="17.100000000000001" customHeight="1" thickBot="1">
      <c r="B5" s="871"/>
      <c r="C5" s="873"/>
      <c r="D5" s="25" t="s">
        <v>35</v>
      </c>
      <c r="E5" s="25" t="s">
        <v>36</v>
      </c>
      <c r="F5" s="875"/>
      <c r="G5" s="875"/>
      <c r="H5" s="875"/>
      <c r="I5" s="875"/>
      <c r="J5" s="875"/>
      <c r="K5" s="878"/>
      <c r="L5" s="24"/>
      <c r="M5" s="26" t="s">
        <v>87</v>
      </c>
      <c r="N5" s="27" t="s">
        <v>88</v>
      </c>
      <c r="O5" s="26" t="s">
        <v>87</v>
      </c>
      <c r="P5" s="27" t="s">
        <v>88</v>
      </c>
    </row>
    <row r="6" spans="2:22" ht="17.100000000000001" customHeight="1">
      <c r="B6" s="28"/>
      <c r="C6" s="29"/>
      <c r="D6" s="30"/>
      <c r="E6" s="30"/>
      <c r="F6" s="30"/>
      <c r="G6" s="30"/>
      <c r="H6" s="30"/>
      <c r="I6" s="866"/>
      <c r="J6" s="30"/>
      <c r="K6" s="31"/>
      <c r="U6" s="123"/>
      <c r="V6" s="124"/>
    </row>
    <row r="7" spans="2:22" ht="17.100000000000001" customHeight="1">
      <c r="B7" s="32" t="s">
        <v>89</v>
      </c>
      <c r="C7" s="33"/>
      <c r="D7" s="34"/>
      <c r="E7" s="34">
        <f>D7*2.7</f>
        <v>0</v>
      </c>
      <c r="F7" s="35"/>
      <c r="G7" s="36">
        <f>E7*F7</f>
        <v>0</v>
      </c>
      <c r="H7" s="36"/>
      <c r="I7" s="867"/>
      <c r="J7" s="35"/>
      <c r="K7" s="37"/>
    </row>
    <row r="8" spans="2:22" ht="17.100000000000001" customHeight="1">
      <c r="B8" s="32" t="s">
        <v>90</v>
      </c>
      <c r="C8" s="33"/>
      <c r="D8" s="34"/>
      <c r="E8" s="34">
        <f t="shared" ref="E8:E17" si="0">D8*2.7</f>
        <v>0</v>
      </c>
      <c r="F8" s="35"/>
      <c r="G8" s="36">
        <f t="shared" ref="G8:G17" si="1">E8*F8</f>
        <v>0</v>
      </c>
      <c r="H8" s="36"/>
      <c r="I8" s="867"/>
      <c r="J8" s="35"/>
      <c r="K8" s="37"/>
      <c r="U8" s="125"/>
      <c r="V8" s="124"/>
    </row>
    <row r="9" spans="2:22" ht="17.100000000000001" customHeight="1">
      <c r="B9" s="32" t="s">
        <v>91</v>
      </c>
      <c r="C9" s="33"/>
      <c r="D9" s="34"/>
      <c r="E9" s="34">
        <f t="shared" si="0"/>
        <v>0</v>
      </c>
      <c r="F9" s="35"/>
      <c r="G9" s="36">
        <f t="shared" si="1"/>
        <v>0</v>
      </c>
      <c r="H9" s="36"/>
      <c r="I9" s="867"/>
      <c r="J9" s="35"/>
      <c r="K9" s="37"/>
    </row>
    <row r="10" spans="2:22" ht="17.100000000000001" customHeight="1">
      <c r="B10" s="32" t="s">
        <v>92</v>
      </c>
      <c r="C10" s="33"/>
      <c r="D10" s="34"/>
      <c r="E10" s="34">
        <f t="shared" si="0"/>
        <v>0</v>
      </c>
      <c r="F10" s="35"/>
      <c r="G10" s="36">
        <f t="shared" si="1"/>
        <v>0</v>
      </c>
      <c r="H10" s="36"/>
      <c r="I10" s="867"/>
      <c r="J10" s="35"/>
      <c r="K10" s="37"/>
    </row>
    <row r="11" spans="2:22" ht="17.100000000000001" customHeight="1">
      <c r="B11" s="32" t="s">
        <v>93</v>
      </c>
      <c r="C11" s="33"/>
      <c r="D11" s="34"/>
      <c r="E11" s="34">
        <f t="shared" si="0"/>
        <v>0</v>
      </c>
      <c r="F11" s="35"/>
      <c r="G11" s="36">
        <f t="shared" si="1"/>
        <v>0</v>
      </c>
      <c r="H11" s="36"/>
      <c r="I11" s="867"/>
      <c r="J11" s="35"/>
      <c r="K11" s="37"/>
      <c r="U11" s="125"/>
    </row>
    <row r="12" spans="2:22" ht="17.100000000000001" customHeight="1">
      <c r="B12" s="32" t="s">
        <v>94</v>
      </c>
      <c r="C12" s="33"/>
      <c r="D12" s="34"/>
      <c r="E12" s="34">
        <f t="shared" si="0"/>
        <v>0</v>
      </c>
      <c r="F12" s="35"/>
      <c r="G12" s="36">
        <f t="shared" si="1"/>
        <v>0</v>
      </c>
      <c r="H12" s="36"/>
      <c r="I12" s="867"/>
      <c r="J12" s="35"/>
      <c r="K12" s="37"/>
    </row>
    <row r="13" spans="2:22" ht="17.100000000000001" customHeight="1">
      <c r="B13" s="32" t="s">
        <v>95</v>
      </c>
      <c r="C13" s="33"/>
      <c r="D13" s="34"/>
      <c r="E13" s="34">
        <f t="shared" si="0"/>
        <v>0</v>
      </c>
      <c r="F13" s="35"/>
      <c r="G13" s="36">
        <f t="shared" si="1"/>
        <v>0</v>
      </c>
      <c r="H13" s="36"/>
      <c r="I13" s="867"/>
      <c r="J13" s="35"/>
      <c r="K13" s="37"/>
      <c r="T13" s="4">
        <f>X6</f>
        <v>0</v>
      </c>
      <c r="U13" s="4">
        <f>X6</f>
        <v>0</v>
      </c>
    </row>
    <row r="14" spans="2:22" ht="17.100000000000001" customHeight="1">
      <c r="B14" s="32" t="s">
        <v>96</v>
      </c>
      <c r="C14" s="33"/>
      <c r="D14" s="34"/>
      <c r="E14" s="34">
        <f t="shared" si="0"/>
        <v>0</v>
      </c>
      <c r="F14" s="35"/>
      <c r="G14" s="36">
        <f t="shared" si="1"/>
        <v>0</v>
      </c>
      <c r="H14" s="36"/>
      <c r="I14" s="867"/>
      <c r="J14" s="35"/>
      <c r="K14" s="38"/>
    </row>
    <row r="15" spans="2:22" ht="17.100000000000001" customHeight="1">
      <c r="B15" s="32" t="s">
        <v>97</v>
      </c>
      <c r="C15" s="33"/>
      <c r="D15" s="34"/>
      <c r="E15" s="34">
        <f t="shared" si="0"/>
        <v>0</v>
      </c>
      <c r="F15" s="35"/>
      <c r="G15" s="36">
        <f t="shared" si="1"/>
        <v>0</v>
      </c>
      <c r="H15" s="36"/>
      <c r="I15" s="867"/>
      <c r="J15" s="35"/>
      <c r="K15" s="37"/>
    </row>
    <row r="16" spans="2:22" ht="17.100000000000001" customHeight="1">
      <c r="B16" s="32" t="s">
        <v>98</v>
      </c>
      <c r="C16" s="39"/>
      <c r="D16" s="40"/>
      <c r="E16" s="34">
        <f t="shared" si="0"/>
        <v>0</v>
      </c>
      <c r="F16" s="41"/>
      <c r="G16" s="36">
        <f t="shared" si="1"/>
        <v>0</v>
      </c>
      <c r="H16" s="42"/>
      <c r="I16" s="867"/>
      <c r="J16" s="35"/>
      <c r="K16" s="38"/>
    </row>
    <row r="17" spans="2:16" ht="17.100000000000001" customHeight="1">
      <c r="B17" s="32" t="s">
        <v>99</v>
      </c>
      <c r="C17" s="39"/>
      <c r="D17" s="40"/>
      <c r="E17" s="34">
        <f t="shared" si="0"/>
        <v>0</v>
      </c>
      <c r="F17" s="41"/>
      <c r="G17" s="36">
        <f t="shared" si="1"/>
        <v>0</v>
      </c>
      <c r="H17" s="42"/>
      <c r="I17" s="867"/>
      <c r="J17" s="41"/>
      <c r="K17" s="43"/>
    </row>
    <row r="18" spans="2:16" ht="17.100000000000001" customHeight="1" thickBot="1">
      <c r="B18" s="44"/>
      <c r="C18" s="45"/>
      <c r="D18" s="46"/>
      <c r="E18" s="46"/>
      <c r="F18" s="47"/>
      <c r="G18" s="47"/>
      <c r="H18" s="48"/>
      <c r="I18" s="868"/>
      <c r="J18" s="41"/>
      <c r="K18" s="43"/>
    </row>
    <row r="19" spans="2:16" ht="17.100000000000001" customHeight="1" thickBot="1">
      <c r="B19" s="49"/>
      <c r="C19" s="50"/>
      <c r="D19" s="51"/>
      <c r="E19" s="52"/>
      <c r="F19" s="50"/>
      <c r="G19" s="50"/>
      <c r="H19" s="53"/>
      <c r="I19" s="50"/>
      <c r="J19" s="54">
        <f>SUM(J7:J17)</f>
        <v>0</v>
      </c>
      <c r="K19" s="55">
        <f>SUM(K7:K17)</f>
        <v>0</v>
      </c>
      <c r="L19" s="56"/>
    </row>
    <row r="20" spans="2:16" ht="17.100000000000001" customHeight="1" thickBot="1">
      <c r="B20" s="57"/>
      <c r="D20" s="51"/>
      <c r="E20" s="51"/>
      <c r="H20" s="58"/>
      <c r="J20" s="56"/>
      <c r="K20" s="56"/>
      <c r="L20" s="56"/>
    </row>
    <row r="21" spans="2:16" ht="17.100000000000001" customHeight="1">
      <c r="B21" s="59" t="s">
        <v>100</v>
      </c>
      <c r="C21" s="60"/>
      <c r="D21" s="61"/>
      <c r="E21" s="62">
        <f>D21*2.5</f>
        <v>0</v>
      </c>
      <c r="F21" s="63"/>
      <c r="G21" s="64">
        <f>E21*F21</f>
        <v>0</v>
      </c>
      <c r="H21" s="65"/>
      <c r="I21" s="866"/>
      <c r="J21" s="63"/>
      <c r="K21" s="66"/>
    </row>
    <row r="22" spans="2:16" ht="17.100000000000001" customHeight="1">
      <c r="B22" s="32" t="s">
        <v>101</v>
      </c>
      <c r="C22" s="33"/>
      <c r="D22" s="34"/>
      <c r="E22" s="34">
        <f>D22*2.5</f>
        <v>0</v>
      </c>
      <c r="F22" s="35"/>
      <c r="G22" s="36">
        <f t="shared" ref="G22:G30" si="2">E22*F22</f>
        <v>0</v>
      </c>
      <c r="H22" s="36"/>
      <c r="I22" s="867"/>
      <c r="J22" s="35"/>
      <c r="K22" s="37"/>
    </row>
    <row r="23" spans="2:16" ht="17.100000000000001" customHeight="1">
      <c r="B23" s="32" t="s">
        <v>102</v>
      </c>
      <c r="C23" s="33"/>
      <c r="D23" s="34"/>
      <c r="E23" s="34">
        <f t="shared" ref="E23:E30" si="3">D23*2.5</f>
        <v>0</v>
      </c>
      <c r="F23" s="35"/>
      <c r="G23" s="36">
        <f t="shared" si="2"/>
        <v>0</v>
      </c>
      <c r="H23" s="36"/>
      <c r="I23" s="867"/>
      <c r="J23" s="35"/>
      <c r="K23" s="37"/>
    </row>
    <row r="24" spans="2:16" ht="17.100000000000001" customHeight="1">
      <c r="B24" s="32" t="s">
        <v>103</v>
      </c>
      <c r="C24" s="33"/>
      <c r="D24" s="34"/>
      <c r="E24" s="34">
        <f t="shared" si="3"/>
        <v>0</v>
      </c>
      <c r="F24" s="35"/>
      <c r="G24" s="36">
        <f t="shared" si="2"/>
        <v>0</v>
      </c>
      <c r="H24" s="36"/>
      <c r="I24" s="867"/>
      <c r="J24" s="35"/>
      <c r="K24" s="37"/>
    </row>
    <row r="25" spans="2:16" ht="17.100000000000001" customHeight="1">
      <c r="B25" s="32" t="s">
        <v>104</v>
      </c>
      <c r="C25" s="33"/>
      <c r="D25" s="34"/>
      <c r="E25" s="34">
        <f t="shared" si="3"/>
        <v>0</v>
      </c>
      <c r="F25" s="35"/>
      <c r="G25" s="36">
        <f t="shared" si="2"/>
        <v>0</v>
      </c>
      <c r="H25" s="36"/>
      <c r="I25" s="867"/>
      <c r="J25" s="35"/>
      <c r="K25" s="37"/>
    </row>
    <row r="26" spans="2:16" ht="17.100000000000001" customHeight="1">
      <c r="B26" s="32" t="s">
        <v>105</v>
      </c>
      <c r="C26" s="33"/>
      <c r="D26" s="34"/>
      <c r="E26" s="34">
        <f t="shared" si="3"/>
        <v>0</v>
      </c>
      <c r="F26" s="35"/>
      <c r="G26" s="36">
        <f t="shared" si="2"/>
        <v>0</v>
      </c>
      <c r="H26" s="36"/>
      <c r="I26" s="867"/>
      <c r="J26" s="35"/>
      <c r="K26" s="37"/>
    </row>
    <row r="27" spans="2:16" ht="17.100000000000001" customHeight="1">
      <c r="B27" s="32" t="s">
        <v>106</v>
      </c>
      <c r="C27" s="39"/>
      <c r="D27" s="34"/>
      <c r="E27" s="34">
        <f t="shared" si="3"/>
        <v>0</v>
      </c>
      <c r="F27" s="35"/>
      <c r="G27" s="36">
        <f t="shared" si="2"/>
        <v>0</v>
      </c>
      <c r="H27" s="36"/>
      <c r="I27" s="867"/>
      <c r="J27" s="35"/>
      <c r="K27" s="37"/>
    </row>
    <row r="28" spans="2:16" ht="17.100000000000001" customHeight="1">
      <c r="B28" s="32" t="s">
        <v>107</v>
      </c>
      <c r="C28" s="39"/>
      <c r="D28" s="40"/>
      <c r="E28" s="34">
        <f t="shared" si="3"/>
        <v>0</v>
      </c>
      <c r="F28" s="41"/>
      <c r="G28" s="36">
        <f t="shared" si="2"/>
        <v>0</v>
      </c>
      <c r="H28" s="42"/>
      <c r="I28" s="867"/>
      <c r="J28" s="41"/>
      <c r="K28" s="43"/>
    </row>
    <row r="29" spans="2:16" ht="17.100000000000001" customHeight="1">
      <c r="B29" s="32" t="s">
        <v>108</v>
      </c>
      <c r="C29" s="39"/>
      <c r="D29" s="40"/>
      <c r="E29" s="34">
        <f t="shared" si="3"/>
        <v>0</v>
      </c>
      <c r="F29" s="41"/>
      <c r="G29" s="36">
        <f t="shared" si="2"/>
        <v>0</v>
      </c>
      <c r="H29" s="42"/>
      <c r="I29" s="867"/>
      <c r="J29" s="41"/>
      <c r="K29" s="43"/>
    </row>
    <row r="30" spans="2:16" ht="17.100000000000001" customHeight="1">
      <c r="B30" s="32" t="s">
        <v>109</v>
      </c>
      <c r="C30" s="39"/>
      <c r="D30" s="40"/>
      <c r="E30" s="34">
        <f t="shared" si="3"/>
        <v>0</v>
      </c>
      <c r="F30" s="41"/>
      <c r="G30" s="36">
        <f t="shared" si="2"/>
        <v>0</v>
      </c>
      <c r="H30" s="42"/>
      <c r="I30" s="867"/>
      <c r="J30" s="41"/>
      <c r="K30" s="43"/>
    </row>
    <row r="31" spans="2:16" ht="17.100000000000001" customHeight="1" thickBot="1">
      <c r="B31" s="44"/>
      <c r="C31" s="45"/>
      <c r="D31" s="46"/>
      <c r="E31" s="46"/>
      <c r="F31" s="47"/>
      <c r="G31" s="48"/>
      <c r="H31" s="46"/>
      <c r="I31" s="868"/>
      <c r="J31" s="41"/>
      <c r="K31" s="43"/>
    </row>
    <row r="32" spans="2:16" ht="17.100000000000001" customHeight="1" thickBot="1">
      <c r="B32" s="50"/>
      <c r="C32" s="50"/>
      <c r="D32" s="51"/>
      <c r="J32" s="54">
        <f>SUM(J21:J31)</f>
        <v>0</v>
      </c>
      <c r="K32" s="55">
        <f>SUM(K21:K31)</f>
        <v>0</v>
      </c>
      <c r="L32" s="67"/>
      <c r="M32" s="68">
        <f>SUM(M6:M31)</f>
        <v>0</v>
      </c>
      <c r="N32" s="69">
        <f>SUM(N6:N31)</f>
        <v>0</v>
      </c>
      <c r="O32" s="68">
        <f>SUM(O6:O31)</f>
        <v>0</v>
      </c>
      <c r="P32" s="69">
        <f>SUM(P6:P31)</f>
        <v>0</v>
      </c>
    </row>
    <row r="33" spans="2:16" ht="17.100000000000001" customHeight="1" thickBot="1">
      <c r="B33" s="50"/>
      <c r="C33" s="50"/>
      <c r="D33" s="51"/>
      <c r="J33" s="70"/>
      <c r="K33" s="70"/>
      <c r="L33" s="70"/>
      <c r="M33" s="70"/>
      <c r="N33" s="70"/>
      <c r="O33" s="70"/>
      <c r="P33" s="70"/>
    </row>
    <row r="34" spans="2:16" ht="17.100000000000001" customHeight="1" thickBot="1">
      <c r="B34" s="50"/>
      <c r="C34" s="50"/>
      <c r="E34" s="71" t="s">
        <v>110</v>
      </c>
      <c r="J34" s="54">
        <f>J32+J19</f>
        <v>0</v>
      </c>
      <c r="K34" s="72">
        <f>K32+K19</f>
        <v>0</v>
      </c>
      <c r="L34" s="70"/>
      <c r="M34" s="70"/>
      <c r="N34" s="70"/>
      <c r="O34" s="70"/>
      <c r="P34" s="70"/>
    </row>
    <row r="35" spans="2:16" ht="17.100000000000001" customHeight="1">
      <c r="D35" s="51"/>
    </row>
    <row r="36" spans="2:16" ht="17.100000000000001" customHeight="1">
      <c r="B36" s="73" t="s">
        <v>111</v>
      </c>
    </row>
    <row r="37" spans="2:16" ht="17.100000000000001" customHeight="1"/>
    <row r="38" spans="2:16" ht="123" customHeight="1">
      <c r="B38" s="876" t="s">
        <v>112</v>
      </c>
      <c r="C38" s="876"/>
      <c r="D38" s="876"/>
      <c r="E38" s="876"/>
      <c r="F38" s="876"/>
      <c r="G38" s="876"/>
      <c r="H38" s="876"/>
      <c r="I38" s="876"/>
      <c r="J38" s="876"/>
      <c r="K38" s="876"/>
    </row>
    <row r="39" spans="2:16" ht="17.100000000000001" customHeight="1"/>
    <row r="40" spans="2:16" ht="17.100000000000001" customHeight="1"/>
    <row r="41" spans="2:16" ht="17.100000000000001" customHeight="1">
      <c r="D41" s="51"/>
      <c r="E41" s="51"/>
      <c r="G41" s="74"/>
    </row>
    <row r="42" spans="2:16" ht="17.100000000000001" customHeight="1"/>
    <row r="43" spans="2:16" ht="17.100000000000001" customHeight="1"/>
    <row r="44" spans="2:16" ht="17.100000000000001" customHeight="1"/>
    <row r="45" spans="2:16" ht="17.100000000000001" customHeight="1"/>
    <row r="46" spans="2:16" ht="17.100000000000001" customHeight="1"/>
    <row r="47" spans="2:16" ht="17.100000000000001" customHeight="1"/>
    <row r="48" spans="2:16" ht="17.100000000000001" customHeight="1"/>
    <row r="49" ht="17.100000000000001" customHeight="1"/>
    <row r="50" ht="17.100000000000001" customHeight="1"/>
    <row r="51" ht="17.100000000000001" customHeight="1"/>
    <row r="52" ht="17.100000000000001" customHeight="1"/>
    <row r="53" ht="17.100000000000001" customHeight="1"/>
    <row r="54" ht="17.100000000000001" customHeight="1"/>
    <row r="55" ht="17.100000000000001" customHeight="1"/>
    <row r="56" ht="17.100000000000001" customHeight="1"/>
    <row r="57" ht="17.100000000000001" customHeight="1"/>
    <row r="58" ht="17.100000000000001" customHeight="1"/>
    <row r="59" ht="17.100000000000001" customHeight="1"/>
    <row r="60" ht="17.100000000000001" customHeight="1"/>
    <row r="61" ht="17.100000000000001" customHeight="1"/>
    <row r="62" ht="17.100000000000001" customHeight="1"/>
    <row r="63" ht="17.100000000000001" customHeight="1"/>
    <row r="64" ht="17.100000000000001" customHeight="1"/>
    <row r="65" ht="17.100000000000001" customHeight="1"/>
    <row r="66" ht="17.100000000000001" customHeight="1"/>
    <row r="67" ht="17.100000000000001" customHeight="1"/>
    <row r="68" ht="17.100000000000001" customHeight="1"/>
    <row r="69" ht="17.100000000000001" customHeight="1"/>
    <row r="70" ht="17.100000000000001" customHeight="1"/>
    <row r="71" ht="17.100000000000001" customHeight="1"/>
    <row r="72" ht="17.100000000000001" customHeight="1"/>
    <row r="73" ht="17.100000000000001" customHeight="1"/>
    <row r="74" ht="17.100000000000001" customHeight="1"/>
    <row r="75" ht="17.100000000000001" customHeight="1"/>
    <row r="76" ht="17.100000000000001" customHeight="1"/>
    <row r="77" ht="17.100000000000001" customHeight="1"/>
    <row r="78" ht="17.100000000000001" customHeight="1"/>
    <row r="79" ht="17.100000000000001" customHeight="1"/>
    <row r="80" ht="17.100000000000001" customHeight="1"/>
    <row r="81" ht="17.100000000000001" customHeight="1"/>
    <row r="82" ht="17.100000000000001" customHeight="1"/>
    <row r="83" ht="17.100000000000001" customHeight="1"/>
    <row r="84" ht="17.100000000000001" customHeight="1"/>
    <row r="85" ht="17.100000000000001" customHeight="1"/>
    <row r="86" ht="17.100000000000001" customHeight="1"/>
    <row r="87" ht="17.100000000000001" customHeight="1"/>
    <row r="88" ht="17.100000000000001" customHeight="1"/>
    <row r="89" ht="17.100000000000001" customHeight="1"/>
    <row r="90" ht="17.100000000000001" customHeight="1"/>
    <row r="91" ht="17.100000000000001" customHeight="1"/>
    <row r="92" ht="17.100000000000001" customHeight="1"/>
    <row r="93" ht="17.100000000000001" customHeight="1"/>
    <row r="94" ht="17.100000000000001" customHeight="1"/>
    <row r="95" ht="17.100000000000001" customHeight="1"/>
    <row r="96" ht="17.100000000000001" customHeight="1"/>
    <row r="97" ht="17.100000000000001" customHeight="1"/>
    <row r="98" ht="17.100000000000001" customHeight="1"/>
    <row r="99" ht="17.100000000000001" customHeight="1"/>
    <row r="100" ht="17.100000000000001" customHeight="1"/>
    <row r="101" ht="17.100000000000001" customHeight="1"/>
    <row r="102" ht="17.100000000000001" customHeight="1"/>
    <row r="103" ht="17.100000000000001" customHeight="1"/>
    <row r="104" ht="17.100000000000001" customHeight="1"/>
    <row r="105" ht="17.100000000000001" customHeight="1"/>
    <row r="106" ht="17.100000000000001" customHeight="1"/>
    <row r="107" ht="17.100000000000001" customHeight="1"/>
    <row r="108" ht="17.100000000000001" customHeight="1"/>
    <row r="109" ht="17.100000000000001" customHeight="1"/>
    <row r="110" ht="17.100000000000001" customHeight="1"/>
    <row r="111" ht="17.100000000000001" customHeight="1"/>
    <row r="112" ht="17.100000000000001" customHeight="1"/>
    <row r="113" ht="17.100000000000001" customHeight="1"/>
    <row r="114" ht="17.100000000000001" customHeight="1"/>
    <row r="115" ht="17.100000000000001" customHeight="1"/>
    <row r="116" ht="17.100000000000001" customHeight="1"/>
    <row r="117" ht="17.100000000000001" customHeight="1"/>
    <row r="118" ht="17.100000000000001" customHeight="1"/>
    <row r="119" ht="17.100000000000001" customHeight="1"/>
    <row r="120" ht="17.100000000000001" customHeight="1"/>
    <row r="121" ht="17.100000000000001" customHeight="1"/>
    <row r="122" ht="17.100000000000001" customHeight="1"/>
    <row r="123" ht="17.100000000000001" customHeight="1"/>
    <row r="124" ht="17.100000000000001" customHeight="1"/>
    <row r="125" ht="17.100000000000001" customHeight="1"/>
    <row r="126" ht="17.100000000000001" customHeight="1"/>
    <row r="127" ht="17.100000000000001" customHeight="1"/>
    <row r="128" ht="17.100000000000001" customHeight="1"/>
    <row r="129" ht="17.100000000000001" customHeight="1"/>
    <row r="130" ht="17.100000000000001" customHeight="1"/>
    <row r="131" ht="17.100000000000001" customHeight="1"/>
    <row r="132" ht="17.100000000000001" customHeight="1"/>
    <row r="133" ht="17.100000000000001" customHeight="1"/>
    <row r="134" ht="17.100000000000001" customHeight="1"/>
    <row r="135" ht="17.100000000000001" customHeight="1"/>
    <row r="136" ht="17.100000000000001" customHeight="1"/>
    <row r="137" ht="17.100000000000001" customHeight="1"/>
    <row r="138" ht="17.100000000000001" customHeight="1"/>
    <row r="139" ht="17.100000000000001" customHeight="1"/>
    <row r="140" ht="17.100000000000001" customHeight="1"/>
    <row r="141" ht="17.100000000000001" customHeight="1"/>
    <row r="142" ht="17.100000000000001" customHeight="1"/>
    <row r="143" ht="17.100000000000001" customHeight="1"/>
    <row r="144" ht="17.100000000000001" customHeight="1"/>
    <row r="145" ht="17.100000000000001" customHeight="1"/>
    <row r="146" ht="17.100000000000001" customHeight="1"/>
    <row r="147" ht="17.100000000000001" customHeight="1"/>
    <row r="148" ht="17.100000000000001" customHeight="1"/>
    <row r="149" ht="17.100000000000001" customHeight="1"/>
    <row r="150" ht="17.100000000000001" customHeight="1"/>
    <row r="151" ht="17.100000000000001" customHeight="1"/>
  </sheetData>
  <customSheetViews>
    <customSheetView guid="{5F1CD432-8628-43E5-87A3-F90570D5BEB1}" scale="70" state="hidden">
      <selection activeCell="Q16" sqref="Q16"/>
      <pageMargins left="0.7" right="0.7" top="0.75" bottom="0.75" header="0.3" footer="0.3"/>
    </customSheetView>
  </customSheetViews>
  <mergeCells count="14">
    <mergeCell ref="I21:I31"/>
    <mergeCell ref="B38:K38"/>
    <mergeCell ref="I4:I5"/>
    <mergeCell ref="J4:J5"/>
    <mergeCell ref="K4:K5"/>
    <mergeCell ref="M4:N4"/>
    <mergeCell ref="O4:P4"/>
    <mergeCell ref="I6:I18"/>
    <mergeCell ref="B2:E2"/>
    <mergeCell ref="B4:B5"/>
    <mergeCell ref="C4:C5"/>
    <mergeCell ref="F4:F5"/>
    <mergeCell ref="G4:G5"/>
    <mergeCell ref="H4:H5"/>
  </mergeCells>
  <conditionalFormatting sqref="T13:U13">
    <cfRule type="cellIs" dxfId="1" priority="2" operator="equal">
      <formula>2</formula>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1" operator="containsText" id="{541889A5-AE47-4C66-8298-F358013F586F}">
            <xm:f>NOT(ISERROR(SEARCH("Parter",U11)))</xm:f>
            <xm:f>"Parter"</xm:f>
            <x14:dxf>
              <font>
                <color rgb="FFFF0000"/>
              </font>
            </x14:dxf>
          </x14:cfRule>
          <xm:sqref>U11</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059775-1F7F-4BA8-82F2-DDEFB22E486C}">
  <sheetPr codeName="Arkusz8">
    <tabColor theme="9"/>
  </sheetPr>
  <dimension ref="A1:BR256"/>
  <sheetViews>
    <sheetView showGridLines="0" zoomScaleNormal="100" workbookViewId="0">
      <pane ySplit="1" topLeftCell="A2" activePane="bottomLeft" state="frozen"/>
      <selection pane="bottomLeft" activeCell="C11" sqref="C11:AC12"/>
    </sheetView>
  </sheetViews>
  <sheetFormatPr defaultRowHeight="14.4"/>
  <cols>
    <col min="1" max="1" width="1" customWidth="1"/>
    <col min="2" max="2" width="2.6640625" customWidth="1"/>
    <col min="3" max="3" width="1" customWidth="1"/>
    <col min="4" max="22" width="0.5546875" style="408" customWidth="1"/>
    <col min="24" max="24" width="8.88671875" customWidth="1"/>
    <col min="25" max="25" width="9.6640625" customWidth="1"/>
    <col min="26" max="26" width="1.5546875" customWidth="1"/>
    <col min="27" max="27" width="8.88671875" customWidth="1"/>
    <col min="28" max="28" width="11.109375" customWidth="1"/>
    <col min="29" max="30" width="8.88671875" customWidth="1"/>
    <col min="31" max="31" width="5.5546875" customWidth="1"/>
    <col min="32" max="32" width="1.6640625" customWidth="1"/>
    <col min="34" max="34" width="11.109375" customWidth="1"/>
    <col min="36" max="36" width="8.88671875" customWidth="1"/>
    <col min="37" max="39" width="9.6640625" customWidth="1"/>
    <col min="40" max="40" width="1.6640625" customWidth="1"/>
    <col min="41" max="41" width="1" customWidth="1"/>
    <col min="42" max="60" width="0.5546875" style="408" customWidth="1"/>
    <col min="61" max="61" width="2.44140625" customWidth="1"/>
    <col min="62" max="62" width="0.6640625" customWidth="1"/>
  </cols>
  <sheetData>
    <row r="1" spans="1:62" ht="22.95" customHeight="1">
      <c r="A1" s="626"/>
      <c r="B1" s="626"/>
      <c r="C1" s="626"/>
      <c r="D1" s="627"/>
      <c r="E1" s="627"/>
      <c r="F1" s="627"/>
      <c r="G1" s="627"/>
      <c r="H1" s="627"/>
      <c r="I1" s="627"/>
      <c r="J1" s="627"/>
      <c r="K1" s="627"/>
      <c r="L1" s="627"/>
      <c r="M1" s="627"/>
      <c r="N1" s="627"/>
      <c r="O1" s="627"/>
      <c r="P1" s="627"/>
      <c r="Q1" s="627"/>
      <c r="R1" s="627"/>
      <c r="S1" s="627"/>
      <c r="T1" s="627"/>
      <c r="U1" s="627"/>
      <c r="V1" s="627"/>
      <c r="W1" s="626"/>
      <c r="X1" s="626"/>
      <c r="Y1" s="626"/>
      <c r="Z1" s="626"/>
      <c r="AA1" s="626"/>
      <c r="AB1" s="626"/>
      <c r="AC1" s="628" t="s">
        <v>558</v>
      </c>
      <c r="AD1" s="633">
        <f>AM236/100</f>
        <v>0</v>
      </c>
      <c r="AE1" s="626"/>
      <c r="AF1" s="626"/>
      <c r="AG1" s="628" t="s">
        <v>559</v>
      </c>
      <c r="AH1" s="633">
        <f>AC138/100</f>
        <v>0</v>
      </c>
      <c r="AI1" s="626"/>
      <c r="AJ1" s="626"/>
      <c r="AK1" s="628" t="s">
        <v>193</v>
      </c>
      <c r="AL1" s="793">
        <f>AK235</f>
        <v>30899</v>
      </c>
      <c r="AM1" s="793"/>
      <c r="AN1" s="626"/>
      <c r="AO1" s="626"/>
      <c r="AP1" s="627"/>
      <c r="AQ1" s="627"/>
      <c r="AR1" s="627"/>
      <c r="AS1" s="627"/>
      <c r="AT1" s="627"/>
      <c r="AU1" s="627"/>
      <c r="AV1" s="627"/>
      <c r="AW1" s="627"/>
      <c r="AX1" s="627"/>
      <c r="AY1" s="627"/>
      <c r="AZ1" s="627"/>
      <c r="BA1" s="627"/>
      <c r="BB1" s="627"/>
      <c r="BC1" s="627"/>
      <c r="BD1" s="627"/>
      <c r="BE1" s="627"/>
      <c r="BF1" s="627"/>
      <c r="BG1" s="627"/>
      <c r="BH1" s="627"/>
      <c r="BI1" s="626"/>
      <c r="BJ1" s="626"/>
    </row>
    <row r="2" spans="1:62">
      <c r="A2" s="261"/>
      <c r="B2" s="267"/>
      <c r="C2" s="267"/>
      <c r="D2" s="405"/>
      <c r="E2" s="405"/>
      <c r="F2" s="405"/>
      <c r="G2" s="405"/>
      <c r="H2" s="405"/>
      <c r="I2" s="405"/>
      <c r="J2" s="405"/>
      <c r="K2" s="405"/>
      <c r="L2" s="405"/>
      <c r="M2" s="405"/>
      <c r="N2" s="405"/>
      <c r="O2" s="405"/>
      <c r="P2" s="405"/>
      <c r="Q2" s="405"/>
      <c r="R2" s="405"/>
      <c r="S2" s="405"/>
      <c r="T2" s="405"/>
      <c r="U2" s="405"/>
      <c r="V2" s="405"/>
      <c r="W2" s="267"/>
      <c r="X2" s="267"/>
      <c r="Y2" s="267"/>
      <c r="Z2" s="267"/>
      <c r="AA2" s="267"/>
      <c r="AB2" s="267"/>
      <c r="AC2" s="267"/>
      <c r="AD2" s="267"/>
      <c r="AE2" s="267"/>
      <c r="AF2" s="267"/>
      <c r="AG2" s="267"/>
      <c r="AH2" s="267"/>
      <c r="AI2" s="267"/>
      <c r="AJ2" s="267"/>
      <c r="AK2" s="262"/>
      <c r="AL2" s="268"/>
      <c r="AM2" s="267"/>
      <c r="AN2" s="267"/>
      <c r="AO2" s="267"/>
      <c r="AP2" s="405"/>
      <c r="AQ2" s="405"/>
      <c r="AR2" s="405"/>
      <c r="AS2" s="405"/>
      <c r="AT2" s="405"/>
      <c r="AU2" s="405"/>
      <c r="AV2" s="405"/>
      <c r="AW2" s="405"/>
      <c r="AX2" s="405"/>
      <c r="AY2" s="405"/>
      <c r="AZ2" s="405"/>
      <c r="BA2" s="405"/>
      <c r="BB2" s="405"/>
      <c r="BC2" s="405"/>
      <c r="BD2" s="405"/>
      <c r="BE2" s="405"/>
      <c r="BF2" s="405"/>
      <c r="BG2" s="405"/>
      <c r="BH2" s="405"/>
      <c r="BI2" s="262"/>
      <c r="BJ2" s="261"/>
    </row>
    <row r="3" spans="1:62">
      <c r="A3" s="261"/>
      <c r="B3" s="267"/>
      <c r="C3" s="267"/>
      <c r="D3" s="405"/>
      <c r="E3" s="405"/>
      <c r="F3" s="405"/>
      <c r="G3" s="405"/>
      <c r="H3" s="405"/>
      <c r="I3" s="405"/>
      <c r="J3" s="405"/>
      <c r="K3" s="405"/>
      <c r="L3" s="405"/>
      <c r="M3" s="405"/>
      <c r="N3" s="405"/>
      <c r="O3" s="405"/>
      <c r="P3" s="405"/>
      <c r="Q3" s="405"/>
      <c r="R3" s="405"/>
      <c r="S3" s="405"/>
      <c r="T3" s="405"/>
      <c r="U3" s="405"/>
      <c r="V3" s="405"/>
      <c r="W3" s="267"/>
      <c r="X3" s="267"/>
      <c r="Y3" s="267"/>
      <c r="Z3" s="267"/>
      <c r="AA3" s="267"/>
      <c r="AB3" s="267"/>
      <c r="AC3" s="267"/>
      <c r="AD3" s="267"/>
      <c r="AE3" s="267"/>
      <c r="AF3" s="267"/>
      <c r="AG3" s="13"/>
      <c r="AH3" s="13"/>
      <c r="AI3" s="267"/>
      <c r="AJ3" s="720" t="s">
        <v>294</v>
      </c>
      <c r="AK3" s="729">
        <f ca="1">TODAY()</f>
        <v>45546</v>
      </c>
      <c r="AL3" s="729"/>
      <c r="AM3" s="722" t="str">
        <f>Dane!S3</f>
        <v>wersja 17/09/2024</v>
      </c>
      <c r="AN3" s="722"/>
      <c r="AO3" s="722"/>
      <c r="AP3" s="722"/>
      <c r="AQ3" s="722"/>
      <c r="AR3" s="722"/>
      <c r="AS3" s="722"/>
      <c r="AT3" s="722"/>
      <c r="AU3" s="722"/>
      <c r="AV3" s="405"/>
      <c r="AW3" s="405"/>
      <c r="AX3" s="405"/>
      <c r="AY3" s="405"/>
      <c r="AZ3" s="405"/>
      <c r="BA3" s="405"/>
      <c r="BB3" s="405"/>
      <c r="BC3" s="405"/>
      <c r="BD3" s="405"/>
      <c r="BE3" s="405"/>
      <c r="BF3" s="405"/>
      <c r="BG3" s="405"/>
      <c r="BH3" s="405"/>
      <c r="BI3" s="262"/>
      <c r="BJ3" s="261"/>
    </row>
    <row r="4" spans="1:62">
      <c r="A4" s="261"/>
      <c r="B4" s="267"/>
      <c r="C4" s="267"/>
      <c r="D4" s="405"/>
      <c r="E4" s="405"/>
      <c r="F4" s="405"/>
      <c r="G4" s="405"/>
      <c r="H4" s="405"/>
      <c r="I4" s="405"/>
      <c r="J4" s="405"/>
      <c r="K4" s="405"/>
      <c r="L4" s="405"/>
      <c r="M4" s="405"/>
      <c r="N4" s="405"/>
      <c r="O4" s="405"/>
      <c r="P4" s="405"/>
      <c r="Q4" s="405"/>
      <c r="R4" s="405"/>
      <c r="S4" s="405"/>
      <c r="T4" s="405"/>
      <c r="U4" s="405"/>
      <c r="V4" s="405"/>
      <c r="W4" s="267"/>
      <c r="X4" s="267"/>
      <c r="Y4" s="267"/>
      <c r="Z4" s="267"/>
      <c r="AA4" s="267"/>
      <c r="AB4" s="267"/>
      <c r="AC4" s="267"/>
      <c r="AD4" s="267"/>
      <c r="AE4" s="267"/>
      <c r="AF4" s="267"/>
      <c r="AG4" s="13"/>
      <c r="AH4" s="13"/>
      <c r="AI4" s="267"/>
      <c r="AJ4" s="720"/>
      <c r="AK4" s="729"/>
      <c r="AL4" s="729"/>
      <c r="AM4" s="722"/>
      <c r="AN4" s="722"/>
      <c r="AO4" s="722"/>
      <c r="AP4" s="722"/>
      <c r="AQ4" s="722"/>
      <c r="AR4" s="722"/>
      <c r="AS4" s="722"/>
      <c r="AT4" s="722"/>
      <c r="AU4" s="722"/>
      <c r="AV4" s="405"/>
      <c r="AW4" s="405"/>
      <c r="AX4" s="405"/>
      <c r="AY4" s="405"/>
      <c r="AZ4" s="405"/>
      <c r="BA4" s="405"/>
      <c r="BB4" s="405"/>
      <c r="BC4" s="405"/>
      <c r="BD4" s="405"/>
      <c r="BE4" s="405"/>
      <c r="BF4" s="405"/>
      <c r="BG4" s="405"/>
      <c r="BH4" s="405"/>
      <c r="BI4" s="262"/>
      <c r="BJ4" s="261"/>
    </row>
    <row r="5" spans="1:62">
      <c r="A5" s="261"/>
      <c r="B5" s="262"/>
      <c r="C5" s="262"/>
      <c r="D5" s="406"/>
      <c r="E5" s="406"/>
      <c r="F5" s="406"/>
      <c r="G5" s="406"/>
      <c r="H5" s="406"/>
      <c r="I5" s="406"/>
      <c r="J5" s="406"/>
      <c r="K5" s="406"/>
      <c r="L5" s="406"/>
      <c r="M5" s="406"/>
      <c r="N5" s="406"/>
      <c r="O5" s="406"/>
      <c r="P5" s="406"/>
      <c r="Q5" s="406"/>
      <c r="R5" s="406"/>
      <c r="S5" s="406"/>
      <c r="T5" s="406"/>
      <c r="U5" s="406"/>
      <c r="V5" s="406"/>
      <c r="W5" s="262"/>
      <c r="X5" s="262"/>
      <c r="Y5" s="262"/>
      <c r="Z5" s="262"/>
      <c r="AA5" s="262"/>
      <c r="AB5" s="262"/>
      <c r="AC5" s="262"/>
      <c r="AD5" s="262"/>
      <c r="AE5" s="262"/>
      <c r="AF5" s="262"/>
      <c r="AG5" s="262"/>
      <c r="AH5" s="262"/>
      <c r="AI5" s="262"/>
      <c r="AJ5" s="262"/>
      <c r="AK5" s="262"/>
      <c r="AL5" s="262"/>
      <c r="AM5" s="262"/>
      <c r="AN5" s="262"/>
      <c r="AO5" s="262"/>
      <c r="AP5" s="406"/>
      <c r="AQ5" s="406"/>
      <c r="AR5" s="406"/>
      <c r="AS5" s="406"/>
      <c r="AT5" s="406"/>
      <c r="AU5" s="406"/>
      <c r="AV5" s="406"/>
      <c r="AW5" s="406"/>
      <c r="AX5" s="406"/>
      <c r="AY5" s="406"/>
      <c r="AZ5" s="406"/>
      <c r="BA5" s="406"/>
      <c r="BB5" s="406"/>
      <c r="BC5" s="406"/>
      <c r="BD5" s="406"/>
      <c r="BE5" s="406"/>
      <c r="BF5" s="406"/>
      <c r="BG5" s="406"/>
      <c r="BH5" s="406"/>
      <c r="BI5" s="262"/>
      <c r="BJ5" s="261"/>
    </row>
    <row r="6" spans="1:62">
      <c r="A6" s="261"/>
      <c r="B6" s="263"/>
      <c r="C6" s="263"/>
      <c r="D6" s="407"/>
      <c r="E6" s="407"/>
      <c r="F6" s="407"/>
      <c r="G6" s="407"/>
      <c r="H6" s="407"/>
      <c r="I6" s="407"/>
      <c r="J6" s="407"/>
      <c r="K6" s="407"/>
      <c r="L6" s="407"/>
      <c r="M6" s="407"/>
      <c r="N6" s="407"/>
      <c r="O6" s="407"/>
      <c r="P6" s="407"/>
      <c r="Q6" s="407"/>
      <c r="R6" s="407"/>
      <c r="S6" s="407"/>
      <c r="T6" s="407"/>
      <c r="U6" s="407"/>
      <c r="V6" s="407"/>
      <c r="W6" s="263"/>
      <c r="X6" s="263"/>
      <c r="Y6" s="263"/>
      <c r="Z6" s="263"/>
      <c r="AA6" s="263"/>
      <c r="AB6" s="263"/>
      <c r="AC6" s="263"/>
      <c r="AD6" s="263"/>
      <c r="AE6" s="263"/>
      <c r="AF6" s="263"/>
      <c r="AG6" s="263"/>
      <c r="AH6" s="263"/>
      <c r="AI6" s="263"/>
      <c r="AJ6" s="263"/>
      <c r="AK6" s="263"/>
      <c r="AL6" s="263"/>
      <c r="AM6" s="263"/>
      <c r="AN6" s="263"/>
      <c r="AO6" s="263"/>
      <c r="AP6" s="407"/>
      <c r="AQ6" s="407"/>
      <c r="AR6" s="407"/>
      <c r="AS6" s="407"/>
      <c r="AT6" s="407"/>
      <c r="AU6" s="407"/>
      <c r="AV6" s="407"/>
      <c r="AW6" s="407"/>
      <c r="AX6" s="407"/>
      <c r="AY6" s="407"/>
      <c r="AZ6" s="407"/>
      <c r="BA6" s="407"/>
      <c r="BB6" s="407"/>
      <c r="BC6" s="407"/>
      <c r="BD6" s="407"/>
      <c r="BE6" s="407"/>
      <c r="BF6" s="407"/>
      <c r="BG6" s="407"/>
      <c r="BH6" s="407"/>
      <c r="BI6" s="263"/>
      <c r="BJ6" s="261"/>
    </row>
    <row r="7" spans="1:62">
      <c r="A7" s="261"/>
      <c r="B7" s="263"/>
      <c r="C7" s="263"/>
      <c r="D7" s="407"/>
      <c r="E7" s="407"/>
      <c r="F7" s="407"/>
      <c r="G7" s="407"/>
      <c r="H7" s="407"/>
      <c r="I7" s="407"/>
      <c r="J7" s="407"/>
      <c r="K7" s="407"/>
      <c r="L7" s="407"/>
      <c r="M7" s="407"/>
      <c r="N7" s="407"/>
      <c r="O7" s="407"/>
      <c r="P7" s="407"/>
      <c r="Q7" s="407"/>
      <c r="R7" s="407"/>
      <c r="S7" s="407"/>
      <c r="T7" s="407"/>
      <c r="U7" s="407"/>
      <c r="V7" s="407"/>
      <c r="W7" s="263"/>
      <c r="X7" s="263"/>
      <c r="Y7" s="263"/>
      <c r="Z7" s="263"/>
      <c r="AA7" s="263"/>
      <c r="AB7" s="263"/>
      <c r="AC7" s="263"/>
      <c r="AD7" s="263"/>
      <c r="AE7" s="263"/>
      <c r="AF7" s="263"/>
      <c r="AG7" s="263"/>
      <c r="AH7" s="263"/>
      <c r="AI7" s="263"/>
      <c r="AJ7" s="263"/>
      <c r="AK7" s="263"/>
      <c r="AL7" s="263"/>
      <c r="AM7" s="263"/>
      <c r="AN7" s="263"/>
      <c r="AO7" s="263"/>
      <c r="AP7" s="407"/>
      <c r="AQ7" s="407"/>
      <c r="AR7" s="407"/>
      <c r="AS7" s="407"/>
      <c r="AT7" s="407"/>
      <c r="AU7" s="407"/>
      <c r="AV7" s="407"/>
      <c r="AW7" s="407"/>
      <c r="AX7" s="407"/>
      <c r="AY7" s="407"/>
      <c r="AZ7" s="407"/>
      <c r="BA7" s="407"/>
      <c r="BB7" s="407"/>
      <c r="BC7" s="407"/>
      <c r="BD7" s="407"/>
      <c r="BE7" s="407"/>
      <c r="BF7" s="407"/>
      <c r="BG7" s="407"/>
      <c r="BH7" s="407"/>
      <c r="BI7" s="263"/>
      <c r="BJ7" s="261"/>
    </row>
    <row r="8" spans="1:62">
      <c r="A8" s="261"/>
      <c r="B8" s="263"/>
      <c r="C8" s="723" t="s">
        <v>377</v>
      </c>
      <c r="D8" s="723"/>
      <c r="E8" s="723"/>
      <c r="F8" s="723"/>
      <c r="G8" s="723"/>
      <c r="H8" s="723"/>
      <c r="I8" s="723"/>
      <c r="J8" s="723"/>
      <c r="K8" s="723"/>
      <c r="L8" s="723"/>
      <c r="M8" s="723"/>
      <c r="N8" s="723"/>
      <c r="O8" s="723"/>
      <c r="P8" s="723"/>
      <c r="Q8" s="723"/>
      <c r="R8" s="723"/>
      <c r="S8" s="723"/>
      <c r="T8" s="723"/>
      <c r="U8" s="723"/>
      <c r="V8" s="723"/>
      <c r="W8" s="723"/>
      <c r="X8" s="723"/>
      <c r="Y8" s="723"/>
      <c r="Z8" s="723"/>
      <c r="AA8" s="723"/>
      <c r="AB8" s="723"/>
      <c r="AC8" s="723"/>
      <c r="AD8" s="723"/>
      <c r="AE8" s="723"/>
      <c r="AF8" s="723"/>
      <c r="AG8" s="723"/>
      <c r="AH8" s="723"/>
      <c r="AI8" s="723"/>
      <c r="AJ8" s="723"/>
      <c r="AK8" s="263"/>
      <c r="AL8" s="263"/>
      <c r="AM8" s="263"/>
      <c r="AN8" s="263"/>
      <c r="AO8" s="263"/>
      <c r="AP8" s="263"/>
      <c r="AQ8" s="263"/>
      <c r="AR8" s="263"/>
      <c r="AS8" s="263"/>
      <c r="AT8" s="263"/>
      <c r="AU8" s="263"/>
      <c r="AV8" s="263"/>
      <c r="AW8" s="263"/>
      <c r="AX8" s="263"/>
      <c r="AY8" s="263"/>
      <c r="AZ8" s="263"/>
      <c r="BA8" s="263"/>
      <c r="BB8" s="263"/>
      <c r="BC8" s="263"/>
      <c r="BD8" s="263"/>
      <c r="BE8" s="263"/>
      <c r="BF8" s="263"/>
      <c r="BG8" s="263"/>
      <c r="BH8" s="263"/>
      <c r="BI8" s="263"/>
      <c r="BJ8" s="261"/>
    </row>
    <row r="9" spans="1:62">
      <c r="A9" s="261"/>
      <c r="B9" s="263"/>
      <c r="C9" s="723"/>
      <c r="D9" s="723"/>
      <c r="E9" s="723"/>
      <c r="F9" s="723"/>
      <c r="G9" s="723"/>
      <c r="H9" s="723"/>
      <c r="I9" s="723"/>
      <c r="J9" s="723"/>
      <c r="K9" s="723"/>
      <c r="L9" s="723"/>
      <c r="M9" s="723"/>
      <c r="N9" s="723"/>
      <c r="O9" s="723"/>
      <c r="P9" s="723"/>
      <c r="Q9" s="723"/>
      <c r="R9" s="723"/>
      <c r="S9" s="723"/>
      <c r="T9" s="723"/>
      <c r="U9" s="723"/>
      <c r="V9" s="723"/>
      <c r="W9" s="723"/>
      <c r="X9" s="723"/>
      <c r="Y9" s="723"/>
      <c r="Z9" s="723"/>
      <c r="AA9" s="723"/>
      <c r="AB9" s="723"/>
      <c r="AC9" s="723"/>
      <c r="AD9" s="723"/>
      <c r="AE9" s="723"/>
      <c r="AF9" s="723"/>
      <c r="AG9" s="723"/>
      <c r="AH9" s="723"/>
      <c r="AI9" s="723"/>
      <c r="AJ9" s="723"/>
      <c r="AK9" s="263"/>
      <c r="AL9" s="263"/>
      <c r="AM9" s="263"/>
      <c r="AN9" s="263"/>
      <c r="AO9" s="263"/>
      <c r="AP9" s="263"/>
      <c r="AQ9" s="263"/>
      <c r="AR9" s="263"/>
      <c r="AS9" s="263"/>
      <c r="AT9" s="263"/>
      <c r="AU9" s="263"/>
      <c r="AV9" s="263"/>
      <c r="AW9" s="263"/>
      <c r="AX9" s="263"/>
      <c r="AY9" s="263"/>
      <c r="AZ9" s="263"/>
      <c r="BA9" s="263"/>
      <c r="BB9" s="263"/>
      <c r="BC9" s="263"/>
      <c r="BD9" s="263"/>
      <c r="BE9" s="263"/>
      <c r="BF9" s="263"/>
      <c r="BG9" s="263"/>
      <c r="BH9" s="263"/>
      <c r="BI9" s="263"/>
      <c r="BJ9" s="261"/>
    </row>
    <row r="10" spans="1:62">
      <c r="A10" s="261"/>
      <c r="B10" s="263"/>
      <c r="C10" s="263"/>
      <c r="D10" s="407"/>
      <c r="E10" s="407"/>
      <c r="F10" s="407"/>
      <c r="G10" s="407"/>
      <c r="H10" s="407"/>
      <c r="I10" s="407"/>
      <c r="J10" s="407"/>
      <c r="K10" s="407"/>
      <c r="L10" s="407"/>
      <c r="M10" s="407"/>
      <c r="N10" s="407"/>
      <c r="O10" s="407"/>
      <c r="P10" s="407"/>
      <c r="Q10" s="407"/>
      <c r="R10" s="407"/>
      <c r="S10" s="407"/>
      <c r="T10" s="407"/>
      <c r="U10" s="407"/>
      <c r="V10" s="407"/>
      <c r="W10" s="263"/>
      <c r="X10" s="263"/>
      <c r="Y10" s="263"/>
      <c r="Z10" s="263"/>
      <c r="AA10" s="263"/>
      <c r="AB10" s="263"/>
      <c r="AC10" s="263"/>
      <c r="AD10" s="263"/>
      <c r="AE10" s="263"/>
      <c r="AF10" s="263"/>
      <c r="AG10" s="263"/>
      <c r="AH10" s="263"/>
      <c r="AI10" s="263"/>
      <c r="AJ10" s="263"/>
      <c r="AK10" s="263"/>
      <c r="AL10" s="263"/>
      <c r="AM10" s="263"/>
      <c r="AN10" s="263"/>
      <c r="AO10" s="263"/>
      <c r="AP10" s="407"/>
      <c r="AQ10" s="407"/>
      <c r="AR10" s="407"/>
      <c r="AS10" s="407"/>
      <c r="AT10" s="407"/>
      <c r="AU10" s="407"/>
      <c r="AV10" s="407"/>
      <c r="AW10" s="407"/>
      <c r="AX10" s="407"/>
      <c r="AY10" s="407"/>
      <c r="AZ10" s="407"/>
      <c r="BA10" s="407"/>
      <c r="BB10" s="407"/>
      <c r="BC10" s="407"/>
      <c r="BD10" s="407"/>
      <c r="BE10" s="407"/>
      <c r="BF10" s="407"/>
      <c r="BG10" s="407"/>
      <c r="BH10" s="407"/>
      <c r="BI10" s="263"/>
      <c r="BJ10" s="261"/>
    </row>
    <row r="11" spans="1:62">
      <c r="A11" s="261"/>
      <c r="B11" s="263"/>
      <c r="C11" s="724" t="s">
        <v>374</v>
      </c>
      <c r="D11" s="724"/>
      <c r="E11" s="724"/>
      <c r="F11" s="724"/>
      <c r="G11" s="724"/>
      <c r="H11" s="724"/>
      <c r="I11" s="724"/>
      <c r="J11" s="724"/>
      <c r="K11" s="724"/>
      <c r="L11" s="724"/>
      <c r="M11" s="724"/>
      <c r="N11" s="724"/>
      <c r="O11" s="724"/>
      <c r="P11" s="724"/>
      <c r="Q11" s="724"/>
      <c r="R11" s="724"/>
      <c r="S11" s="724"/>
      <c r="T11" s="724"/>
      <c r="U11" s="724"/>
      <c r="V11" s="724"/>
      <c r="W11" s="724"/>
      <c r="X11" s="724"/>
      <c r="Y11" s="724"/>
      <c r="Z11" s="724"/>
      <c r="AA11" s="724"/>
      <c r="AB11" s="724"/>
      <c r="AC11" s="724"/>
      <c r="AD11" s="396"/>
      <c r="AE11" s="263"/>
      <c r="AF11" s="263"/>
      <c r="AG11" s="263"/>
      <c r="AH11" s="263"/>
      <c r="AI11" s="263"/>
      <c r="AJ11" s="263"/>
      <c r="AK11" s="263"/>
      <c r="AL11" s="263"/>
      <c r="AM11" s="263"/>
      <c r="AN11" s="263"/>
      <c r="AO11" s="263"/>
      <c r="AP11" s="263"/>
      <c r="AQ11" s="263"/>
      <c r="AR11" s="263"/>
      <c r="AS11" s="263"/>
      <c r="AT11" s="263"/>
      <c r="AU11" s="263"/>
      <c r="AV11" s="263"/>
      <c r="AW11" s="263"/>
      <c r="AX11" s="263"/>
      <c r="AY11" s="263"/>
      <c r="AZ11" s="263"/>
      <c r="BA11" s="263"/>
      <c r="BB11" s="263"/>
      <c r="BC11" s="263"/>
      <c r="BD11" s="263"/>
      <c r="BE11" s="263"/>
      <c r="BF11" s="263"/>
      <c r="BG11" s="263"/>
      <c r="BH11" s="263"/>
      <c r="BI11" s="263"/>
      <c r="BJ11" s="261"/>
    </row>
    <row r="12" spans="1:62">
      <c r="A12" s="261"/>
      <c r="B12" s="263"/>
      <c r="C12" s="725"/>
      <c r="D12" s="725"/>
      <c r="E12" s="725"/>
      <c r="F12" s="725"/>
      <c r="G12" s="725"/>
      <c r="H12" s="725"/>
      <c r="I12" s="725"/>
      <c r="J12" s="725"/>
      <c r="K12" s="725"/>
      <c r="L12" s="725"/>
      <c r="M12" s="725"/>
      <c r="N12" s="725"/>
      <c r="O12" s="725"/>
      <c r="P12" s="725"/>
      <c r="Q12" s="725"/>
      <c r="R12" s="725"/>
      <c r="S12" s="725"/>
      <c r="T12" s="725"/>
      <c r="U12" s="725"/>
      <c r="V12" s="725"/>
      <c r="W12" s="725"/>
      <c r="X12" s="725"/>
      <c r="Y12" s="725"/>
      <c r="Z12" s="725"/>
      <c r="AA12" s="725"/>
      <c r="AB12" s="725"/>
      <c r="AC12" s="725"/>
      <c r="AD12" s="396"/>
      <c r="AE12" s="263"/>
      <c r="AF12" s="263"/>
      <c r="AG12" s="263"/>
      <c r="AH12" s="263"/>
      <c r="AI12" s="263"/>
      <c r="AJ12" s="263"/>
      <c r="AK12" s="263"/>
      <c r="AL12" s="263"/>
      <c r="AM12" s="263"/>
      <c r="AN12" s="263"/>
      <c r="AO12" s="263"/>
      <c r="AP12" s="263"/>
      <c r="AQ12" s="263"/>
      <c r="AR12" s="263"/>
      <c r="AS12" s="263"/>
      <c r="AT12" s="263"/>
      <c r="AU12" s="263"/>
      <c r="AV12" s="263"/>
      <c r="AW12" s="263"/>
      <c r="AX12" s="263"/>
      <c r="AY12" s="263"/>
      <c r="AZ12" s="263"/>
      <c r="BA12" s="263"/>
      <c r="BB12" s="263"/>
      <c r="BC12" s="263"/>
      <c r="BD12" s="263"/>
      <c r="BE12" s="263"/>
      <c r="BF12" s="263"/>
      <c r="BG12" s="263"/>
      <c r="BH12" s="263"/>
      <c r="BI12" s="263"/>
      <c r="BJ12" s="261"/>
    </row>
    <row r="13" spans="1:62">
      <c r="A13" s="261"/>
      <c r="B13" s="263"/>
      <c r="C13" s="263"/>
      <c r="D13" s="407"/>
      <c r="E13" s="407"/>
      <c r="F13" s="407"/>
      <c r="G13" s="407"/>
      <c r="H13" s="407"/>
      <c r="I13" s="407"/>
      <c r="J13" s="407"/>
      <c r="K13" s="407"/>
      <c r="L13" s="407"/>
      <c r="M13" s="407"/>
      <c r="N13" s="407"/>
      <c r="O13" s="407"/>
      <c r="P13" s="407"/>
      <c r="Q13" s="407"/>
      <c r="R13" s="407"/>
      <c r="S13" s="407"/>
      <c r="T13" s="407"/>
      <c r="U13" s="407"/>
      <c r="V13" s="407"/>
      <c r="W13" s="263"/>
      <c r="X13" s="263"/>
      <c r="Y13" s="263"/>
      <c r="Z13" s="263"/>
      <c r="AA13" s="263"/>
      <c r="AB13" s="263"/>
      <c r="AC13" s="263"/>
      <c r="AD13" s="263"/>
      <c r="AE13" s="263"/>
      <c r="AF13" s="263"/>
      <c r="AG13" s="263"/>
      <c r="AH13" s="263"/>
      <c r="AI13" s="263"/>
      <c r="AJ13" s="263"/>
      <c r="AK13" s="263"/>
      <c r="AL13" s="263"/>
      <c r="AM13" s="263"/>
      <c r="AN13" s="263"/>
      <c r="AO13" s="263"/>
      <c r="AP13" s="407"/>
      <c r="AQ13" s="407"/>
      <c r="AR13" s="407"/>
      <c r="AS13" s="407"/>
      <c r="AT13" s="407"/>
      <c r="AU13" s="407"/>
      <c r="AV13" s="407"/>
      <c r="AW13" s="407"/>
      <c r="AX13" s="407"/>
      <c r="AY13" s="407"/>
      <c r="AZ13" s="407"/>
      <c r="BA13" s="407"/>
      <c r="BB13" s="407"/>
      <c r="BC13" s="407"/>
      <c r="BD13" s="407"/>
      <c r="BE13" s="407"/>
      <c r="BF13" s="407"/>
      <c r="BG13" s="407"/>
      <c r="BH13" s="407"/>
      <c r="BI13" s="263"/>
      <c r="BJ13" s="261"/>
    </row>
    <row r="14" spans="1:62">
      <c r="A14" s="261"/>
      <c r="B14" s="263"/>
      <c r="C14" s="263"/>
      <c r="D14" s="407"/>
      <c r="E14" s="407"/>
      <c r="F14" s="407"/>
      <c r="G14" s="407"/>
      <c r="H14" s="407"/>
      <c r="I14" s="407"/>
      <c r="J14" s="407"/>
      <c r="K14" s="407"/>
      <c r="L14" s="407"/>
      <c r="M14" s="407"/>
      <c r="N14" s="407"/>
      <c r="O14" s="407"/>
      <c r="P14" s="407"/>
      <c r="Q14" s="407"/>
      <c r="R14" s="407"/>
      <c r="S14" s="407"/>
      <c r="T14" s="407"/>
      <c r="U14" s="407"/>
      <c r="V14" s="407"/>
      <c r="W14" s="263"/>
      <c r="X14" s="263"/>
      <c r="Y14" s="263"/>
      <c r="Z14" s="263"/>
      <c r="AA14" s="263"/>
      <c r="AB14" s="263"/>
      <c r="AC14" s="263"/>
      <c r="AD14" s="263"/>
      <c r="AE14" s="263"/>
      <c r="AF14" s="263"/>
      <c r="AG14" s="263"/>
      <c r="AH14" s="263"/>
      <c r="AI14" s="263"/>
      <c r="AJ14" s="263"/>
      <c r="AK14" s="263"/>
      <c r="AL14" s="263"/>
      <c r="AM14" s="263"/>
      <c r="AN14" s="263"/>
      <c r="AO14" s="263"/>
      <c r="AP14" s="407"/>
      <c r="AQ14" s="407"/>
      <c r="AR14" s="407"/>
      <c r="AS14" s="407"/>
      <c r="AT14" s="407"/>
      <c r="AU14" s="407"/>
      <c r="AV14" s="407"/>
      <c r="AW14" s="407"/>
      <c r="AX14" s="407"/>
      <c r="AY14" s="407"/>
      <c r="AZ14" s="407"/>
      <c r="BA14" s="407"/>
      <c r="BB14" s="407"/>
      <c r="BC14" s="407"/>
      <c r="BD14" s="407"/>
      <c r="BE14" s="407"/>
      <c r="BF14" s="407"/>
      <c r="BG14" s="407"/>
      <c r="BH14" s="407"/>
      <c r="BI14" s="263"/>
      <c r="BJ14" s="261"/>
    </row>
    <row r="15" spans="1:62">
      <c r="A15" s="261"/>
      <c r="B15" s="262"/>
      <c r="C15" s="262"/>
      <c r="D15" s="406"/>
      <c r="E15" s="406"/>
      <c r="F15" s="406"/>
      <c r="G15" s="406"/>
      <c r="H15" s="406"/>
      <c r="I15" s="406"/>
      <c r="J15" s="406"/>
      <c r="K15" s="406"/>
      <c r="L15" s="406"/>
      <c r="M15" s="406"/>
      <c r="N15" s="406"/>
      <c r="O15" s="406"/>
      <c r="P15" s="406"/>
      <c r="Q15" s="406"/>
      <c r="R15" s="406"/>
      <c r="S15" s="406"/>
      <c r="T15" s="406"/>
      <c r="U15" s="406"/>
      <c r="V15" s="406"/>
      <c r="W15" s="262"/>
      <c r="X15" s="262"/>
      <c r="Y15" s="262"/>
      <c r="Z15" s="262"/>
      <c r="AA15" s="262"/>
      <c r="AB15" s="262"/>
      <c r="AC15" s="262"/>
      <c r="AD15" s="262"/>
      <c r="AE15" s="262"/>
      <c r="AF15" s="262"/>
      <c r="AG15" s="262"/>
      <c r="AH15" s="262"/>
      <c r="AI15" s="262"/>
      <c r="AJ15" s="262"/>
      <c r="AK15" s="262"/>
      <c r="AL15" s="262"/>
      <c r="AM15" s="262"/>
      <c r="AN15" s="262"/>
      <c r="AO15" s="262"/>
      <c r="AP15" s="406"/>
      <c r="AQ15" s="406"/>
      <c r="AR15" s="406"/>
      <c r="AS15" s="406"/>
      <c r="AT15" s="406"/>
      <c r="AU15" s="406"/>
      <c r="AV15" s="406"/>
      <c r="AW15" s="406"/>
      <c r="AX15" s="406"/>
      <c r="AY15" s="406"/>
      <c r="AZ15" s="406"/>
      <c r="BA15" s="406"/>
      <c r="BB15" s="406"/>
      <c r="BC15" s="406"/>
      <c r="BD15" s="406"/>
      <c r="BE15" s="406"/>
      <c r="BF15" s="406"/>
      <c r="BG15" s="406"/>
      <c r="BH15" s="406"/>
      <c r="BI15" s="262"/>
      <c r="BJ15" s="261"/>
    </row>
    <row r="16" spans="1:62">
      <c r="A16" s="261"/>
      <c r="B16" s="262"/>
      <c r="C16" s="262"/>
      <c r="D16" s="406"/>
      <c r="E16" s="406"/>
      <c r="F16" s="406"/>
      <c r="G16" s="406"/>
      <c r="H16" s="406"/>
      <c r="I16" s="406"/>
      <c r="J16" s="406"/>
      <c r="K16" s="406"/>
      <c r="L16" s="406"/>
      <c r="M16" s="406"/>
      <c r="N16" s="406"/>
      <c r="O16" s="406"/>
      <c r="P16" s="406"/>
      <c r="Q16" s="406"/>
      <c r="R16" s="406"/>
      <c r="S16" s="406"/>
      <c r="T16" s="406"/>
      <c r="U16" s="406"/>
      <c r="V16" s="406"/>
      <c r="W16" s="262"/>
      <c r="X16" s="262"/>
      <c r="Y16" s="262"/>
      <c r="Z16" s="262"/>
      <c r="AA16" s="262"/>
      <c r="AB16" s="262"/>
      <c r="AC16" s="262"/>
      <c r="AD16" s="262"/>
      <c r="AE16" s="262"/>
      <c r="AF16" s="262"/>
      <c r="AG16" s="262"/>
      <c r="AH16" s="262"/>
      <c r="AI16" s="262"/>
      <c r="AJ16" s="262"/>
      <c r="AK16" s="262"/>
      <c r="AL16" s="262"/>
      <c r="AM16" s="262"/>
      <c r="AN16" s="262"/>
      <c r="AO16" s="262"/>
      <c r="AP16" s="406"/>
      <c r="AQ16" s="406"/>
      <c r="AR16" s="406"/>
      <c r="AS16" s="406"/>
      <c r="AT16" s="406"/>
      <c r="AU16" s="406"/>
      <c r="AV16" s="406"/>
      <c r="AW16" s="406"/>
      <c r="AX16" s="406"/>
      <c r="AY16" s="406"/>
      <c r="AZ16" s="406"/>
      <c r="BA16" s="406"/>
      <c r="BB16" s="406"/>
      <c r="BC16" s="406"/>
      <c r="BD16" s="406"/>
      <c r="BE16" s="406"/>
      <c r="BF16" s="406"/>
      <c r="BG16" s="406"/>
      <c r="BH16" s="406"/>
      <c r="BI16" s="262"/>
      <c r="BJ16" s="261"/>
    </row>
    <row r="17" spans="1:62">
      <c r="A17" s="261"/>
      <c r="B17" s="262"/>
      <c r="C17" s="262"/>
      <c r="D17" s="406"/>
      <c r="E17" s="406"/>
      <c r="F17" s="406"/>
      <c r="G17" s="406"/>
      <c r="H17" s="406"/>
      <c r="I17" s="406"/>
      <c r="J17" s="406"/>
      <c r="K17" s="406"/>
      <c r="L17" s="406"/>
      <c r="M17" s="406"/>
      <c r="N17" s="406"/>
      <c r="O17" s="406"/>
      <c r="P17" s="406"/>
      <c r="Q17" s="406"/>
      <c r="R17" s="406"/>
      <c r="S17" s="406"/>
      <c r="T17" s="406"/>
      <c r="U17" s="406"/>
      <c r="V17" s="406"/>
      <c r="W17" s="262"/>
      <c r="X17" s="262"/>
      <c r="Y17" s="262"/>
      <c r="Z17" s="788" t="s">
        <v>398</v>
      </c>
      <c r="AA17" s="788"/>
      <c r="AB17" s="788"/>
      <c r="AC17" s="788"/>
      <c r="AD17" s="788"/>
      <c r="AE17" s="262"/>
      <c r="AF17" s="788" t="s">
        <v>397</v>
      </c>
      <c r="AG17" s="788"/>
      <c r="AH17" s="788"/>
      <c r="AI17" s="788"/>
      <c r="AJ17" s="788"/>
      <c r="AK17" s="262"/>
      <c r="AL17" s="262"/>
      <c r="AM17" s="262"/>
      <c r="AN17" s="262"/>
      <c r="AO17" s="262"/>
      <c r="AP17" s="406"/>
      <c r="AQ17" s="406"/>
      <c r="AR17" s="406"/>
      <c r="AS17" s="406"/>
      <c r="AT17" s="406"/>
      <c r="AU17" s="406"/>
      <c r="AV17" s="406"/>
      <c r="AW17" s="406"/>
      <c r="AX17" s="406"/>
      <c r="AY17" s="406"/>
      <c r="AZ17" s="406"/>
      <c r="BA17" s="406"/>
      <c r="BB17" s="406"/>
      <c r="BC17" s="406"/>
      <c r="BD17" s="406"/>
      <c r="BE17" s="406"/>
      <c r="BF17" s="406"/>
      <c r="BG17" s="406"/>
      <c r="BH17" s="406"/>
      <c r="BI17" s="262"/>
      <c r="BJ17" s="261"/>
    </row>
    <row r="18" spans="1:62">
      <c r="A18" s="265"/>
      <c r="B18" s="289"/>
      <c r="C18" s="289"/>
      <c r="D18" s="409"/>
      <c r="E18" s="409"/>
      <c r="F18" s="409"/>
      <c r="G18" s="409"/>
      <c r="H18" s="409"/>
      <c r="I18" s="409"/>
      <c r="J18" s="409"/>
      <c r="K18" s="409"/>
      <c r="L18" s="409"/>
      <c r="M18" s="409"/>
      <c r="N18" s="409"/>
      <c r="O18" s="409"/>
      <c r="P18" s="409"/>
      <c r="Q18" s="409"/>
      <c r="R18" s="409"/>
      <c r="S18" s="409"/>
      <c r="T18" s="409"/>
      <c r="U18" s="409"/>
      <c r="V18" s="409"/>
      <c r="W18" s="289"/>
      <c r="X18" s="289"/>
      <c r="Y18" s="289"/>
      <c r="Z18" s="289"/>
      <c r="AA18" s="289"/>
      <c r="AB18" s="289"/>
      <c r="AC18" s="289"/>
      <c r="AD18" s="289"/>
      <c r="AE18" s="289"/>
      <c r="AF18" s="289"/>
      <c r="AG18" s="289"/>
      <c r="AH18" s="289"/>
      <c r="AI18" s="289"/>
      <c r="AJ18" s="289"/>
      <c r="AK18" s="289"/>
      <c r="AL18" s="289"/>
      <c r="AM18" s="289"/>
      <c r="AN18" s="289"/>
      <c r="AO18" s="289"/>
      <c r="AP18" s="409"/>
      <c r="AQ18" s="409"/>
      <c r="AR18" s="409"/>
      <c r="AS18" s="409"/>
      <c r="AT18" s="409"/>
      <c r="AU18" s="409"/>
      <c r="AV18" s="409"/>
      <c r="AW18" s="409"/>
      <c r="AX18" s="409"/>
      <c r="AY18" s="409"/>
      <c r="AZ18" s="409"/>
      <c r="BA18" s="409"/>
      <c r="BB18" s="409"/>
      <c r="BC18" s="409"/>
      <c r="BD18" s="409"/>
      <c r="BE18" s="409"/>
      <c r="BF18" s="409"/>
      <c r="BG18" s="409"/>
      <c r="BH18" s="409"/>
      <c r="BI18" s="266"/>
      <c r="BJ18" s="265"/>
    </row>
    <row r="19" spans="1:62" ht="6" customHeight="1">
      <c r="A19" s="265"/>
      <c r="B19" s="289"/>
      <c r="C19" s="289"/>
      <c r="D19" s="409"/>
      <c r="E19" s="409"/>
      <c r="F19" s="409"/>
      <c r="G19" s="409"/>
      <c r="H19" s="409"/>
      <c r="I19" s="409"/>
      <c r="J19" s="409"/>
      <c r="K19" s="409"/>
      <c r="L19" s="409"/>
      <c r="M19" s="409"/>
      <c r="N19" s="409"/>
      <c r="O19" s="409"/>
      <c r="P19" s="409"/>
      <c r="Q19" s="409"/>
      <c r="R19" s="409"/>
      <c r="S19" s="409"/>
      <c r="T19" s="409"/>
      <c r="U19" s="409"/>
      <c r="V19" s="409"/>
      <c r="W19" s="289"/>
      <c r="X19" s="289"/>
      <c r="Y19" s="789" t="str">
        <f>IF(Obliczenia!E61="10","",Obliczenia!E61)</f>
        <v>0.1</v>
      </c>
      <c r="Z19" s="397"/>
      <c r="AA19" s="397"/>
      <c r="AB19" s="397"/>
      <c r="AC19" s="397"/>
      <c r="AD19" s="397"/>
      <c r="AE19" s="289"/>
      <c r="AF19" s="395"/>
      <c r="AG19" s="395"/>
      <c r="AH19" s="395"/>
      <c r="AI19" s="395"/>
      <c r="AJ19" s="395"/>
      <c r="AK19" s="789" t="str">
        <f>IF(Obliczenia!E37="10","",Obliczenia!E37)</f>
        <v>0.9</v>
      </c>
      <c r="AL19" s="289"/>
      <c r="AM19" s="289"/>
      <c r="AN19" s="289"/>
      <c r="AO19" s="289"/>
      <c r="AP19" s="409"/>
      <c r="AQ19" s="409"/>
      <c r="AR19" s="409"/>
      <c r="AS19" s="409"/>
      <c r="AT19" s="409"/>
      <c r="AU19" s="409"/>
      <c r="AV19" s="409"/>
      <c r="AW19" s="409"/>
      <c r="AX19" s="409"/>
      <c r="AY19" s="409"/>
      <c r="AZ19" s="409"/>
      <c r="BA19" s="409"/>
      <c r="BB19" s="409"/>
      <c r="BC19" s="409"/>
      <c r="BD19" s="409"/>
      <c r="BE19" s="409"/>
      <c r="BF19" s="409"/>
      <c r="BG19" s="409"/>
      <c r="BH19" s="409"/>
      <c r="BI19" s="266"/>
      <c r="BJ19" s="265"/>
    </row>
    <row r="20" spans="1:62" ht="14.4" customHeight="1">
      <c r="A20" s="265"/>
      <c r="B20" s="289"/>
      <c r="C20" s="289"/>
      <c r="D20" s="409"/>
      <c r="E20" s="409"/>
      <c r="F20" s="409"/>
      <c r="G20" s="409"/>
      <c r="H20" s="409"/>
      <c r="I20" s="409"/>
      <c r="J20" s="409"/>
      <c r="K20" s="409"/>
      <c r="L20" s="409"/>
      <c r="M20" s="409"/>
      <c r="N20" s="409"/>
      <c r="O20" s="409"/>
      <c r="P20" s="409"/>
      <c r="Q20" s="409"/>
      <c r="R20" s="409"/>
      <c r="S20" s="409"/>
      <c r="T20" s="409"/>
      <c r="U20" s="409"/>
      <c r="V20" s="409"/>
      <c r="W20" s="289"/>
      <c r="X20" s="4" t="str">
        <f>IF(Y19&lt;&gt;"","1","")</f>
        <v>1</v>
      </c>
      <c r="Y20" s="789"/>
      <c r="Z20" s="397"/>
      <c r="AA20" s="772" t="str">
        <f>IF(Y19="","",VLOOKUP(Y19,big_tabela,3,0))</f>
        <v>Wiatrołap</v>
      </c>
      <c r="AB20" s="772"/>
      <c r="AC20" s="773">
        <f>IF(Y19="","",VLOOKUP(Y19,big_tabela,12,0))</f>
        <v>15</v>
      </c>
      <c r="AD20" s="774" t="s">
        <v>373</v>
      </c>
      <c r="AE20" s="289"/>
      <c r="AF20" s="395"/>
      <c r="AG20" s="783" t="str">
        <f>IF(AK19="","",VLOOKUP(AK19,big_tabela,3,0))</f>
        <v>Sypialnia</v>
      </c>
      <c r="AH20" s="783"/>
      <c r="AI20" s="784">
        <f>IF(AK19="","",VLOOKUP(AK19,big_tabela,12,0))</f>
        <v>60</v>
      </c>
      <c r="AJ20" s="767" t="s">
        <v>373</v>
      </c>
      <c r="AK20" s="789"/>
      <c r="AL20" s="4" t="str">
        <f>IF(AK19&lt;&gt;"","1","")</f>
        <v>1</v>
      </c>
      <c r="AM20" s="289"/>
      <c r="AN20" s="289"/>
      <c r="AO20" s="289"/>
      <c r="AP20" s="409"/>
      <c r="AQ20" s="409"/>
      <c r="AR20" s="409"/>
      <c r="AS20" s="409"/>
      <c r="AT20" s="409"/>
      <c r="AU20" s="409"/>
      <c r="AV20" s="409"/>
      <c r="AW20" s="409"/>
      <c r="AX20" s="409"/>
      <c r="AY20" s="409"/>
      <c r="AZ20" s="409"/>
      <c r="BA20" s="409"/>
      <c r="BB20" s="409"/>
      <c r="BC20" s="409"/>
      <c r="BD20" s="409"/>
      <c r="BE20" s="409"/>
      <c r="BF20" s="409"/>
      <c r="BG20" s="409"/>
      <c r="BH20" s="409"/>
      <c r="BI20" s="266"/>
      <c r="BJ20" s="265"/>
    </row>
    <row r="21" spans="1:62" ht="14.4" customHeight="1">
      <c r="A21" s="265"/>
      <c r="B21" s="289"/>
      <c r="C21" s="289"/>
      <c r="D21" s="409"/>
      <c r="E21" s="409"/>
      <c r="F21" s="409"/>
      <c r="G21" s="409"/>
      <c r="H21" s="409"/>
      <c r="I21" s="409"/>
      <c r="J21" s="409"/>
      <c r="K21" s="409"/>
      <c r="L21" s="409"/>
      <c r="M21" s="409"/>
      <c r="N21" s="409"/>
      <c r="O21" s="409"/>
      <c r="P21" s="409"/>
      <c r="Q21" s="409"/>
      <c r="R21" s="409"/>
      <c r="S21" s="409"/>
      <c r="T21" s="409"/>
      <c r="U21" s="409"/>
      <c r="V21" s="409"/>
      <c r="W21" s="494" t="str">
        <f>IF(Y19="","","Φ63")</f>
        <v>Φ63</v>
      </c>
      <c r="X21" s="495" t="str">
        <f>IF(Y19="","","x"&amp;VLOOKUP(Y19,big_tabela,20,0))</f>
        <v>x1</v>
      </c>
      <c r="Y21" s="403" t="str">
        <f>IF(Y19="","","◄")</f>
        <v>◄</v>
      </c>
      <c r="Z21" s="397"/>
      <c r="AA21" s="772"/>
      <c r="AB21" s="772"/>
      <c r="AC21" s="794"/>
      <c r="AD21" s="795"/>
      <c r="AE21" s="289"/>
      <c r="AF21" s="395"/>
      <c r="AG21" s="783"/>
      <c r="AH21" s="783"/>
      <c r="AI21" s="784"/>
      <c r="AJ21" s="767"/>
      <c r="AK21" s="402" t="str">
        <f>IF(AK19="","","◄")</f>
        <v>◄</v>
      </c>
      <c r="AL21" s="494" t="str">
        <f>IF(AK19="","","Φ63")</f>
        <v>Φ63</v>
      </c>
      <c r="AM21" s="495" t="str">
        <f>IF(AK19="","","x"&amp;VLOOKUP(AK19,big_tabela,19,0))</f>
        <v>x3</v>
      </c>
      <c r="AN21" s="289"/>
      <c r="AO21" s="289"/>
      <c r="AP21" s="409"/>
      <c r="AQ21" s="409"/>
      <c r="AR21" s="409"/>
      <c r="AS21" s="409"/>
      <c r="AT21" s="409"/>
      <c r="AU21" s="409"/>
      <c r="AV21" s="409"/>
      <c r="AW21" s="409"/>
      <c r="AX21" s="409"/>
      <c r="AY21" s="409"/>
      <c r="AZ21" s="409"/>
      <c r="BA21" s="409"/>
      <c r="BB21" s="409"/>
      <c r="BC21" s="409"/>
      <c r="BD21" s="409"/>
      <c r="BE21" s="409"/>
      <c r="BF21" s="409"/>
      <c r="BG21" s="409"/>
      <c r="BH21" s="409"/>
      <c r="BI21" s="266"/>
      <c r="BJ21" s="265"/>
    </row>
    <row r="22" spans="1:62" ht="3" customHeight="1">
      <c r="A22" s="265"/>
      <c r="B22" s="289"/>
      <c r="C22" s="404"/>
      <c r="D22" s="418" t="str">
        <f>$X$20</f>
        <v>1</v>
      </c>
      <c r="E22" s="418" t="str">
        <f>$X$20</f>
        <v>1</v>
      </c>
      <c r="F22" s="418" t="str">
        <f t="shared" ref="F22:Y22" si="0">$X$20</f>
        <v>1</v>
      </c>
      <c r="G22" s="418" t="str">
        <f t="shared" si="0"/>
        <v>1</v>
      </c>
      <c r="H22" s="418" t="str">
        <f t="shared" si="0"/>
        <v>1</v>
      </c>
      <c r="I22" s="418" t="str">
        <f t="shared" si="0"/>
        <v>1</v>
      </c>
      <c r="J22" s="418" t="str">
        <f t="shared" si="0"/>
        <v>1</v>
      </c>
      <c r="K22" s="418" t="str">
        <f t="shared" si="0"/>
        <v>1</v>
      </c>
      <c r="L22" s="418" t="str">
        <f t="shared" si="0"/>
        <v>1</v>
      </c>
      <c r="M22" s="418" t="str">
        <f t="shared" si="0"/>
        <v>1</v>
      </c>
      <c r="N22" s="418" t="str">
        <f t="shared" si="0"/>
        <v>1</v>
      </c>
      <c r="O22" s="418" t="str">
        <f t="shared" si="0"/>
        <v>1</v>
      </c>
      <c r="P22" s="418" t="str">
        <f t="shared" si="0"/>
        <v>1</v>
      </c>
      <c r="Q22" s="418" t="str">
        <f t="shared" si="0"/>
        <v>1</v>
      </c>
      <c r="R22" s="418" t="str">
        <f t="shared" si="0"/>
        <v>1</v>
      </c>
      <c r="S22" s="418" t="str">
        <f t="shared" si="0"/>
        <v>1</v>
      </c>
      <c r="T22" s="418" t="str">
        <f t="shared" si="0"/>
        <v>1</v>
      </c>
      <c r="U22" s="418" t="str">
        <f t="shared" si="0"/>
        <v>1</v>
      </c>
      <c r="V22" s="418" t="str">
        <f t="shared" si="0"/>
        <v>1</v>
      </c>
      <c r="W22" s="418" t="str">
        <f t="shared" si="0"/>
        <v>1</v>
      </c>
      <c r="X22" s="418" t="str">
        <f t="shared" si="0"/>
        <v>1</v>
      </c>
      <c r="Y22" s="418" t="str">
        <f t="shared" si="0"/>
        <v>1</v>
      </c>
      <c r="Z22" s="397"/>
      <c r="AA22" s="412"/>
      <c r="AB22" s="412"/>
      <c r="AC22" s="415"/>
      <c r="AD22" s="416"/>
      <c r="AE22" s="289"/>
      <c r="AF22" s="395"/>
      <c r="AG22" s="421"/>
      <c r="AH22" s="421"/>
      <c r="AI22" s="413"/>
      <c r="AJ22" s="414"/>
      <c r="AK22" s="418" t="str">
        <f>$AL$20</f>
        <v>1</v>
      </c>
      <c r="AL22" s="418" t="str">
        <f t="shared" ref="AL22:BH37" si="1">$AL$20</f>
        <v>1</v>
      </c>
      <c r="AM22" s="418" t="str">
        <f t="shared" si="1"/>
        <v>1</v>
      </c>
      <c r="AN22" s="418" t="str">
        <f t="shared" si="1"/>
        <v>1</v>
      </c>
      <c r="AO22" s="418" t="str">
        <f t="shared" si="1"/>
        <v>1</v>
      </c>
      <c r="AP22" s="418" t="str">
        <f t="shared" si="1"/>
        <v>1</v>
      </c>
      <c r="AQ22" s="418" t="str">
        <f t="shared" si="1"/>
        <v>1</v>
      </c>
      <c r="AR22" s="418" t="str">
        <f t="shared" si="1"/>
        <v>1</v>
      </c>
      <c r="AS22" s="418" t="str">
        <f t="shared" si="1"/>
        <v>1</v>
      </c>
      <c r="AT22" s="418" t="str">
        <f t="shared" si="1"/>
        <v>1</v>
      </c>
      <c r="AU22" s="418" t="str">
        <f t="shared" si="1"/>
        <v>1</v>
      </c>
      <c r="AV22" s="418" t="str">
        <f t="shared" si="1"/>
        <v>1</v>
      </c>
      <c r="AW22" s="418" t="str">
        <f t="shared" si="1"/>
        <v>1</v>
      </c>
      <c r="AX22" s="418" t="str">
        <f t="shared" si="1"/>
        <v>1</v>
      </c>
      <c r="AY22" s="418" t="str">
        <f t="shared" si="1"/>
        <v>1</v>
      </c>
      <c r="AZ22" s="418" t="str">
        <f t="shared" si="1"/>
        <v>1</v>
      </c>
      <c r="BA22" s="418" t="str">
        <f t="shared" si="1"/>
        <v>1</v>
      </c>
      <c r="BB22" s="418" t="str">
        <f t="shared" si="1"/>
        <v>1</v>
      </c>
      <c r="BC22" s="418" t="str">
        <f t="shared" si="1"/>
        <v>1</v>
      </c>
      <c r="BD22" s="418" t="str">
        <f t="shared" si="1"/>
        <v>1</v>
      </c>
      <c r="BE22" s="418" t="str">
        <f t="shared" si="1"/>
        <v>1</v>
      </c>
      <c r="BF22" s="418" t="str">
        <f t="shared" si="1"/>
        <v>1</v>
      </c>
      <c r="BG22" s="418" t="str">
        <f t="shared" si="1"/>
        <v>1</v>
      </c>
      <c r="BH22" s="418" t="str">
        <f t="shared" si="1"/>
        <v>1</v>
      </c>
      <c r="BI22" s="266"/>
      <c r="BJ22" s="265"/>
    </row>
    <row r="23" spans="1:62" ht="14.4" customHeight="1">
      <c r="A23" s="265"/>
      <c r="B23" s="289"/>
      <c r="C23" s="289"/>
      <c r="D23" s="418" t="str">
        <f t="shared" ref="D23:D86" si="2">$X$20</f>
        <v>1</v>
      </c>
      <c r="E23" s="418"/>
      <c r="F23" s="418"/>
      <c r="G23" s="418"/>
      <c r="H23" s="418"/>
      <c r="I23" s="418"/>
      <c r="J23" s="418"/>
      <c r="K23" s="418"/>
      <c r="L23" s="418"/>
      <c r="M23" s="418"/>
      <c r="N23" s="418"/>
      <c r="O23" s="418"/>
      <c r="P23" s="418"/>
      <c r="Q23" s="418"/>
      <c r="R23" s="418"/>
      <c r="S23" s="418"/>
      <c r="T23" s="418"/>
      <c r="U23" s="418"/>
      <c r="V23" s="418"/>
      <c r="W23" s="289"/>
      <c r="X23" s="289"/>
      <c r="Y23" s="289"/>
      <c r="Z23" s="397"/>
      <c r="AA23" s="399" t="str">
        <f>IF(Y19="","",VLOOKUP(Y19,big_tabela,4,0))</f>
        <v/>
      </c>
      <c r="AB23" s="400"/>
      <c r="AC23" s="634" t="str">
        <f>IF(Y19="","","anemostat")</f>
        <v>anemostat</v>
      </c>
      <c r="AD23" s="416" t="str">
        <f>IF(Y19="","","x"&amp;VLOOKUP(Y19,big_tabela,23,0))</f>
        <v>x1</v>
      </c>
      <c r="AE23" s="289"/>
      <c r="AF23" s="395"/>
      <c r="AG23" s="398" t="str">
        <f>IF(AK19="","",VLOOKUP(AK19,big_tabela,4,0))</f>
        <v/>
      </c>
      <c r="AH23" s="417"/>
      <c r="AI23" s="635" t="str">
        <f>IF(AK19="","","anemostat")</f>
        <v>anemostat</v>
      </c>
      <c r="AJ23" s="414" t="str">
        <f>IF(AK19="","","x"&amp;VLOOKUP(AK19,big_tabela,22,0))</f>
        <v>x1</v>
      </c>
      <c r="AK23" s="401"/>
      <c r="AL23" s="289"/>
      <c r="AM23" s="289"/>
      <c r="AN23" s="289"/>
      <c r="AO23" s="289"/>
      <c r="AP23" s="409"/>
      <c r="AQ23" s="409"/>
      <c r="AR23" s="409"/>
      <c r="AS23" s="409"/>
      <c r="AT23" s="409"/>
      <c r="AU23" s="409"/>
      <c r="AV23" s="409"/>
      <c r="AW23" s="409"/>
      <c r="AX23" s="409"/>
      <c r="AY23" s="409"/>
      <c r="AZ23" s="409"/>
      <c r="BA23" s="409"/>
      <c r="BB23" s="409"/>
      <c r="BC23" s="409"/>
      <c r="BD23" s="409"/>
      <c r="BE23" s="409"/>
      <c r="BF23" s="409"/>
      <c r="BG23" s="409"/>
      <c r="BH23" s="418" t="str">
        <f t="shared" si="1"/>
        <v>1</v>
      </c>
      <c r="BI23" s="266"/>
      <c r="BJ23" s="265"/>
    </row>
    <row r="24" spans="1:62" ht="6" customHeight="1">
      <c r="A24" s="265"/>
      <c r="B24" s="289"/>
      <c r="C24" s="289"/>
      <c r="D24" s="418" t="str">
        <f t="shared" si="2"/>
        <v>1</v>
      </c>
      <c r="E24" s="418"/>
      <c r="F24" s="418"/>
      <c r="G24" s="418"/>
      <c r="H24" s="418"/>
      <c r="I24" s="418"/>
      <c r="J24" s="418"/>
      <c r="K24" s="418"/>
      <c r="L24" s="418"/>
      <c r="M24" s="418"/>
      <c r="N24" s="418"/>
      <c r="O24" s="418"/>
      <c r="P24" s="418"/>
      <c r="Q24" s="418"/>
      <c r="R24" s="418"/>
      <c r="S24" s="418"/>
      <c r="T24" s="418"/>
      <c r="U24" s="418"/>
      <c r="V24" s="418"/>
      <c r="W24" s="289"/>
      <c r="X24" s="289"/>
      <c r="Y24" s="289"/>
      <c r="Z24" s="397"/>
      <c r="AA24" s="397"/>
      <c r="AB24" s="397"/>
      <c r="AC24" s="397"/>
      <c r="AD24" s="397"/>
      <c r="AE24" s="289"/>
      <c r="AF24" s="395"/>
      <c r="AG24" s="395"/>
      <c r="AH24" s="395"/>
      <c r="AI24" s="395"/>
      <c r="AJ24" s="395"/>
      <c r="AK24" s="289"/>
      <c r="AL24" s="289"/>
      <c r="AM24" s="289"/>
      <c r="AN24" s="289"/>
      <c r="AO24" s="289"/>
      <c r="AP24" s="409"/>
      <c r="AQ24" s="409"/>
      <c r="AR24" s="409"/>
      <c r="AS24" s="409"/>
      <c r="AT24" s="409"/>
      <c r="AU24" s="409"/>
      <c r="AV24" s="409"/>
      <c r="AW24" s="409"/>
      <c r="AX24" s="409"/>
      <c r="AY24" s="409"/>
      <c r="AZ24" s="409"/>
      <c r="BA24" s="409"/>
      <c r="BB24" s="409"/>
      <c r="BC24" s="409"/>
      <c r="BD24" s="409"/>
      <c r="BE24" s="409"/>
      <c r="BF24" s="409"/>
      <c r="BG24" s="409"/>
      <c r="BH24" s="418" t="str">
        <f t="shared" si="1"/>
        <v>1</v>
      </c>
      <c r="BI24" s="266"/>
      <c r="BJ24" s="265"/>
    </row>
    <row r="25" spans="1:62">
      <c r="A25" s="265"/>
      <c r="B25" s="289"/>
      <c r="C25" s="289"/>
      <c r="D25" s="418" t="str">
        <f t="shared" si="2"/>
        <v>1</v>
      </c>
      <c r="E25" s="418"/>
      <c r="F25" s="418"/>
      <c r="G25" s="418"/>
      <c r="H25" s="418"/>
      <c r="I25" s="418"/>
      <c r="J25" s="418"/>
      <c r="K25" s="418"/>
      <c r="L25" s="418"/>
      <c r="M25" s="418"/>
      <c r="N25" s="418"/>
      <c r="O25" s="418"/>
      <c r="P25" s="418"/>
      <c r="Q25" s="418"/>
      <c r="R25" s="418"/>
      <c r="S25" s="418"/>
      <c r="T25" s="418"/>
      <c r="U25" s="418"/>
      <c r="V25" s="418"/>
      <c r="W25" s="289"/>
      <c r="X25" s="289"/>
      <c r="Y25" s="289"/>
      <c r="Z25" s="289"/>
      <c r="AA25" s="289"/>
      <c r="AB25" s="289"/>
      <c r="AC25" s="289"/>
      <c r="AD25" s="289"/>
      <c r="AE25" s="289"/>
      <c r="AF25" s="289"/>
      <c r="AG25" s="289"/>
      <c r="AH25" s="289"/>
      <c r="AI25" s="289"/>
      <c r="AJ25" s="289"/>
      <c r="AK25" s="289"/>
      <c r="AL25" s="289"/>
      <c r="AM25" s="289"/>
      <c r="AN25" s="289"/>
      <c r="AO25" s="289"/>
      <c r="AP25" s="409"/>
      <c r="AQ25" s="409"/>
      <c r="AR25" s="409"/>
      <c r="AS25" s="409"/>
      <c r="AT25" s="409"/>
      <c r="AU25" s="409"/>
      <c r="AV25" s="409"/>
      <c r="AW25" s="409"/>
      <c r="AX25" s="409"/>
      <c r="AY25" s="409"/>
      <c r="AZ25" s="409"/>
      <c r="BA25" s="409"/>
      <c r="BB25" s="409"/>
      <c r="BC25" s="409"/>
      <c r="BD25" s="409"/>
      <c r="BE25" s="409"/>
      <c r="BF25" s="409"/>
      <c r="BG25" s="409"/>
      <c r="BH25" s="418" t="str">
        <f t="shared" si="1"/>
        <v>1</v>
      </c>
      <c r="BI25" s="266"/>
      <c r="BJ25" s="265"/>
    </row>
    <row r="26" spans="1:62" ht="6" customHeight="1">
      <c r="A26" s="265"/>
      <c r="B26" s="289"/>
      <c r="C26" s="289"/>
      <c r="D26" s="418" t="str">
        <f t="shared" si="2"/>
        <v>1</v>
      </c>
      <c r="E26" s="418"/>
      <c r="F26" s="418"/>
      <c r="G26" s="418"/>
      <c r="H26" s="418"/>
      <c r="I26" s="418"/>
      <c r="J26" s="418"/>
      <c r="K26" s="418"/>
      <c r="L26" s="418"/>
      <c r="M26" s="418"/>
      <c r="N26" s="418"/>
      <c r="O26" s="418"/>
      <c r="P26" s="418"/>
      <c r="Q26" s="418"/>
      <c r="R26" s="418"/>
      <c r="S26" s="418"/>
      <c r="T26" s="418"/>
      <c r="U26" s="418"/>
      <c r="V26" s="418"/>
      <c r="W26" s="289"/>
      <c r="X26" s="289"/>
      <c r="Y26" s="789" t="str">
        <f>IF(Obliczenia!E62="10","",Obliczenia!E62)</f>
        <v>0.5</v>
      </c>
      <c r="Z26" s="397"/>
      <c r="AA26" s="397"/>
      <c r="AB26" s="397"/>
      <c r="AC26" s="397"/>
      <c r="AD26" s="397"/>
      <c r="AE26" s="289"/>
      <c r="AF26" s="395"/>
      <c r="AG26" s="395"/>
      <c r="AH26" s="395"/>
      <c r="AI26" s="395"/>
      <c r="AJ26" s="395"/>
      <c r="AK26" s="789" t="str">
        <f>IF(Obliczenia!E38="10","",Obliczenia!E38)</f>
        <v>0.12</v>
      </c>
      <c r="AL26" s="289"/>
      <c r="AM26" s="289"/>
      <c r="AN26" s="289"/>
      <c r="AO26" s="289"/>
      <c r="AP26" s="409"/>
      <c r="AQ26" s="409"/>
      <c r="AR26" s="409"/>
      <c r="AS26" s="409"/>
      <c r="AT26" s="409"/>
      <c r="AU26" s="409"/>
      <c r="AV26" s="409"/>
      <c r="AW26" s="409"/>
      <c r="AX26" s="409"/>
      <c r="AY26" s="409"/>
      <c r="AZ26" s="409"/>
      <c r="BA26" s="409"/>
      <c r="BB26" s="409"/>
      <c r="BC26" s="409"/>
      <c r="BD26" s="409"/>
      <c r="BE26" s="409"/>
      <c r="BF26" s="409"/>
      <c r="BG26" s="409"/>
      <c r="BH26" s="418" t="str">
        <f t="shared" si="1"/>
        <v>1</v>
      </c>
      <c r="BI26" s="266"/>
      <c r="BJ26" s="265"/>
    </row>
    <row r="27" spans="1:62" ht="14.4" customHeight="1">
      <c r="A27" s="265"/>
      <c r="B27" s="289"/>
      <c r="C27" s="289"/>
      <c r="D27" s="418" t="str">
        <f t="shared" si="2"/>
        <v>1</v>
      </c>
      <c r="E27" s="418"/>
      <c r="F27" s="418"/>
      <c r="G27" s="418"/>
      <c r="H27" s="418"/>
      <c r="I27" s="418"/>
      <c r="J27" s="418"/>
      <c r="K27" s="418"/>
      <c r="L27" s="418"/>
      <c r="M27" s="418"/>
      <c r="N27" s="418"/>
      <c r="O27" s="418"/>
      <c r="P27" s="418"/>
      <c r="Q27" s="418"/>
      <c r="R27" s="418"/>
      <c r="S27" s="418"/>
      <c r="T27" s="418"/>
      <c r="U27" s="418"/>
      <c r="V27" s="418"/>
      <c r="W27" s="289"/>
      <c r="X27" s="4" t="str">
        <f>IF(Y26&lt;&gt;"","1","")</f>
        <v>1</v>
      </c>
      <c r="Y27" s="789"/>
      <c r="Z27" s="397"/>
      <c r="AA27" s="772" t="str">
        <f>IF(Y26="","",VLOOKUP(Y26,big_tabela,3,0))</f>
        <v>WC (bez wanny lub kabiny prysznicowej)</v>
      </c>
      <c r="AB27" s="772"/>
      <c r="AC27" s="773">
        <f>IF(Y26="","",VLOOKUP(Y26,big_tabela,12,0))</f>
        <v>30</v>
      </c>
      <c r="AD27" s="774" t="s">
        <v>373</v>
      </c>
      <c r="AE27" s="289"/>
      <c r="AF27" s="395"/>
      <c r="AG27" s="783" t="str">
        <f>IF(AK26="","",VLOOKUP(AK26,big_tabela,3,0))</f>
        <v>Sypialnia</v>
      </c>
      <c r="AH27" s="783"/>
      <c r="AI27" s="784">
        <f>IF(AK26="","",VLOOKUP(AK26,big_tabela,12,0))</f>
        <v>30</v>
      </c>
      <c r="AJ27" s="767" t="s">
        <v>373</v>
      </c>
      <c r="AK27" s="789"/>
      <c r="AL27" s="4" t="str">
        <f>IF(AK26&lt;&gt;"","1","")</f>
        <v>1</v>
      </c>
      <c r="AM27" s="289"/>
      <c r="AN27" s="289"/>
      <c r="AO27" s="289"/>
      <c r="AP27" s="409"/>
      <c r="AQ27" s="409"/>
      <c r="AR27" s="409"/>
      <c r="AS27" s="409"/>
      <c r="AT27" s="409"/>
      <c r="AU27" s="409"/>
      <c r="AV27" s="409"/>
      <c r="AW27" s="409"/>
      <c r="AX27" s="409"/>
      <c r="AY27" s="409"/>
      <c r="AZ27" s="409"/>
      <c r="BA27" s="409"/>
      <c r="BB27" s="409"/>
      <c r="BC27" s="409"/>
      <c r="BD27" s="409"/>
      <c r="BE27" s="409"/>
      <c r="BF27" s="409"/>
      <c r="BG27" s="409"/>
      <c r="BH27" s="418" t="str">
        <f t="shared" si="1"/>
        <v>1</v>
      </c>
      <c r="BI27" s="266"/>
      <c r="BJ27" s="265"/>
    </row>
    <row r="28" spans="1:62" ht="14.4" customHeight="1">
      <c r="A28" s="265"/>
      <c r="B28" s="289"/>
      <c r="C28" s="289"/>
      <c r="D28" s="418" t="str">
        <f t="shared" si="2"/>
        <v>1</v>
      </c>
      <c r="E28" s="418"/>
      <c r="F28" s="418"/>
      <c r="G28" s="418"/>
      <c r="H28" s="418"/>
      <c r="I28" s="418"/>
      <c r="J28" s="418"/>
      <c r="K28" s="418"/>
      <c r="L28" s="418"/>
      <c r="M28" s="418"/>
      <c r="N28" s="418"/>
      <c r="O28" s="418"/>
      <c r="P28" s="418"/>
      <c r="Q28" s="418"/>
      <c r="R28" s="418"/>
      <c r="S28" s="418"/>
      <c r="T28" s="418"/>
      <c r="U28" s="418"/>
      <c r="V28" s="418"/>
      <c r="W28" s="494" t="str">
        <f>IF(Y26="","","Φ63")</f>
        <v>Φ63</v>
      </c>
      <c r="X28" s="495" t="str">
        <f>IF(Y26="","","x"&amp;VLOOKUP(Y26,big_tabela,20,0))</f>
        <v>x2</v>
      </c>
      <c r="Y28" s="403" t="str">
        <f>IF(Y26="","","◄")</f>
        <v>◄</v>
      </c>
      <c r="Z28" s="397"/>
      <c r="AA28" s="772"/>
      <c r="AB28" s="772"/>
      <c r="AC28" s="773"/>
      <c r="AD28" s="774"/>
      <c r="AE28" s="289"/>
      <c r="AF28" s="395"/>
      <c r="AG28" s="783"/>
      <c r="AH28" s="783"/>
      <c r="AI28" s="784"/>
      <c r="AJ28" s="767"/>
      <c r="AK28" s="402" t="str">
        <f>IF(AK26="","","◄")</f>
        <v>◄</v>
      </c>
      <c r="AL28" s="494" t="str">
        <f>IF(AK26="","","Φ63")</f>
        <v>Φ63</v>
      </c>
      <c r="AM28" s="495" t="str">
        <f>IF(AK26="","","x"&amp;VLOOKUP(AK26,big_tabela,19,0))</f>
        <v>x2</v>
      </c>
      <c r="AN28" s="289"/>
      <c r="AO28" s="289"/>
      <c r="AP28" s="409"/>
      <c r="AQ28" s="409"/>
      <c r="AR28" s="409"/>
      <c r="AS28" s="409"/>
      <c r="AT28" s="409"/>
      <c r="AU28" s="409"/>
      <c r="AV28" s="409"/>
      <c r="AW28" s="409"/>
      <c r="AX28" s="409"/>
      <c r="AY28" s="409"/>
      <c r="AZ28" s="409"/>
      <c r="BA28" s="409"/>
      <c r="BB28" s="409"/>
      <c r="BC28" s="409"/>
      <c r="BD28" s="409"/>
      <c r="BE28" s="409"/>
      <c r="BF28" s="409"/>
      <c r="BG28" s="409"/>
      <c r="BH28" s="418" t="str">
        <f t="shared" si="1"/>
        <v>1</v>
      </c>
      <c r="BI28" s="266"/>
      <c r="BJ28" s="265"/>
    </row>
    <row r="29" spans="1:62" ht="3" customHeight="1">
      <c r="A29" s="265"/>
      <c r="B29" s="289"/>
      <c r="C29" s="404"/>
      <c r="D29" s="418" t="str">
        <f t="shared" si="2"/>
        <v>1</v>
      </c>
      <c r="E29" s="418"/>
      <c r="F29" s="418" t="str">
        <f t="shared" ref="F29:X44" si="3">$X$27</f>
        <v>1</v>
      </c>
      <c r="G29" s="418" t="str">
        <f t="shared" si="3"/>
        <v>1</v>
      </c>
      <c r="H29" s="418" t="str">
        <f t="shared" si="3"/>
        <v>1</v>
      </c>
      <c r="I29" s="418" t="str">
        <f t="shared" si="3"/>
        <v>1</v>
      </c>
      <c r="J29" s="418" t="str">
        <f t="shared" si="3"/>
        <v>1</v>
      </c>
      <c r="K29" s="418" t="str">
        <f t="shared" si="3"/>
        <v>1</v>
      </c>
      <c r="L29" s="418" t="str">
        <f t="shared" si="3"/>
        <v>1</v>
      </c>
      <c r="M29" s="418" t="str">
        <f t="shared" si="3"/>
        <v>1</v>
      </c>
      <c r="N29" s="418" t="str">
        <f t="shared" si="3"/>
        <v>1</v>
      </c>
      <c r="O29" s="418" t="str">
        <f t="shared" si="3"/>
        <v>1</v>
      </c>
      <c r="P29" s="418" t="str">
        <f t="shared" si="3"/>
        <v>1</v>
      </c>
      <c r="Q29" s="418" t="str">
        <f t="shared" si="3"/>
        <v>1</v>
      </c>
      <c r="R29" s="418" t="str">
        <f t="shared" si="3"/>
        <v>1</v>
      </c>
      <c r="S29" s="418" t="str">
        <f t="shared" si="3"/>
        <v>1</v>
      </c>
      <c r="T29" s="418" t="str">
        <f t="shared" si="3"/>
        <v>1</v>
      </c>
      <c r="U29" s="418" t="str">
        <f t="shared" si="3"/>
        <v>1</v>
      </c>
      <c r="V29" s="418" t="str">
        <f t="shared" si="3"/>
        <v>1</v>
      </c>
      <c r="W29" s="418" t="str">
        <f t="shared" si="3"/>
        <v>1</v>
      </c>
      <c r="X29" s="418" t="str">
        <f t="shared" si="3"/>
        <v>1</v>
      </c>
      <c r="Y29" s="418" t="str">
        <f>$X$27</f>
        <v>1</v>
      </c>
      <c r="Z29" s="397"/>
      <c r="AA29" s="412"/>
      <c r="AB29" s="412"/>
      <c r="AC29" s="415"/>
      <c r="AD29" s="416"/>
      <c r="AE29" s="289"/>
      <c r="AF29" s="395"/>
      <c r="AG29" s="421"/>
      <c r="AH29" s="421"/>
      <c r="AI29" s="413"/>
      <c r="AJ29" s="414"/>
      <c r="AK29" s="418" t="str">
        <f>$AL$27</f>
        <v>1</v>
      </c>
      <c r="AL29" s="418" t="str">
        <f t="shared" ref="AL29:BF44" si="4">$AL$27</f>
        <v>1</v>
      </c>
      <c r="AM29" s="418" t="str">
        <f t="shared" si="4"/>
        <v>1</v>
      </c>
      <c r="AN29" s="418" t="str">
        <f t="shared" si="4"/>
        <v>1</v>
      </c>
      <c r="AO29" s="418" t="str">
        <f t="shared" si="4"/>
        <v>1</v>
      </c>
      <c r="AP29" s="418" t="str">
        <f t="shared" si="4"/>
        <v>1</v>
      </c>
      <c r="AQ29" s="418" t="str">
        <f t="shared" si="4"/>
        <v>1</v>
      </c>
      <c r="AR29" s="418" t="str">
        <f t="shared" si="4"/>
        <v>1</v>
      </c>
      <c r="AS29" s="418" t="str">
        <f t="shared" si="4"/>
        <v>1</v>
      </c>
      <c r="AT29" s="418" t="str">
        <f t="shared" si="4"/>
        <v>1</v>
      </c>
      <c r="AU29" s="418" t="str">
        <f t="shared" si="4"/>
        <v>1</v>
      </c>
      <c r="AV29" s="418" t="str">
        <f t="shared" si="4"/>
        <v>1</v>
      </c>
      <c r="AW29" s="418" t="str">
        <f t="shared" si="4"/>
        <v>1</v>
      </c>
      <c r="AX29" s="418" t="str">
        <f t="shared" si="4"/>
        <v>1</v>
      </c>
      <c r="AY29" s="418" t="str">
        <f t="shared" si="4"/>
        <v>1</v>
      </c>
      <c r="AZ29" s="418" t="str">
        <f t="shared" si="4"/>
        <v>1</v>
      </c>
      <c r="BA29" s="418" t="str">
        <f t="shared" si="4"/>
        <v>1</v>
      </c>
      <c r="BB29" s="418" t="str">
        <f t="shared" si="4"/>
        <v>1</v>
      </c>
      <c r="BC29" s="418" t="str">
        <f t="shared" si="4"/>
        <v>1</v>
      </c>
      <c r="BD29" s="418" t="str">
        <f t="shared" si="4"/>
        <v>1</v>
      </c>
      <c r="BE29" s="418" t="str">
        <f t="shared" si="4"/>
        <v>1</v>
      </c>
      <c r="BF29" s="418" t="str">
        <f t="shared" si="4"/>
        <v>1</v>
      </c>
      <c r="BG29" s="409"/>
      <c r="BH29" s="418" t="str">
        <f t="shared" si="1"/>
        <v>1</v>
      </c>
      <c r="BI29" s="266"/>
      <c r="BJ29" s="265"/>
    </row>
    <row r="30" spans="1:62" ht="14.4" customHeight="1">
      <c r="A30" s="265"/>
      <c r="B30" s="289"/>
      <c r="C30" s="289"/>
      <c r="D30" s="418" t="str">
        <f t="shared" si="2"/>
        <v>1</v>
      </c>
      <c r="E30" s="418"/>
      <c r="F30" s="418" t="str">
        <f t="shared" si="3"/>
        <v>1</v>
      </c>
      <c r="G30" s="418"/>
      <c r="H30" s="418"/>
      <c r="I30" s="418"/>
      <c r="J30" s="418"/>
      <c r="K30" s="418"/>
      <c r="L30" s="418"/>
      <c r="M30" s="418"/>
      <c r="N30" s="418"/>
      <c r="O30" s="418"/>
      <c r="P30" s="418"/>
      <c r="Q30" s="418"/>
      <c r="R30" s="418"/>
      <c r="S30" s="418"/>
      <c r="T30" s="418"/>
      <c r="U30" s="418"/>
      <c r="V30" s="418"/>
      <c r="W30" s="289"/>
      <c r="X30" s="289"/>
      <c r="Y30" s="289"/>
      <c r="Z30" s="397"/>
      <c r="AA30" s="399" t="str">
        <f>IF(Y26="","",VLOOKUP(Y26,big_tabela,4,0))</f>
        <v/>
      </c>
      <c r="AB30" s="400"/>
      <c r="AC30" s="634" t="str">
        <f>IF(Y26="","","anemostat")</f>
        <v>anemostat</v>
      </c>
      <c r="AD30" s="416" t="str">
        <f>IF(Y26="","","x"&amp;VLOOKUP(Y26,big_tabela,23,0))</f>
        <v>x1</v>
      </c>
      <c r="AE30" s="289"/>
      <c r="AF30" s="395"/>
      <c r="AG30" s="398" t="str">
        <f>IF(AK26="","",VLOOKUP(AK26,big_tabela,4,0))</f>
        <v/>
      </c>
      <c r="AH30" s="417"/>
      <c r="AI30" s="635" t="str">
        <f>IF(AK26="","","anemostat")</f>
        <v>anemostat</v>
      </c>
      <c r="AJ30" s="414" t="str">
        <f>IF(AK26="","","x"&amp;VLOOKUP(AK26,big_tabela,22,0))</f>
        <v>x1</v>
      </c>
      <c r="AK30" s="401"/>
      <c r="AL30" s="289"/>
      <c r="AM30" s="289"/>
      <c r="AN30" s="289"/>
      <c r="AO30" s="289"/>
      <c r="AP30" s="409"/>
      <c r="AQ30" s="409"/>
      <c r="AR30" s="409"/>
      <c r="AS30" s="409"/>
      <c r="AT30" s="409"/>
      <c r="AU30" s="409"/>
      <c r="AV30" s="409"/>
      <c r="AW30" s="409"/>
      <c r="AX30" s="409"/>
      <c r="AY30" s="409"/>
      <c r="AZ30" s="409"/>
      <c r="BA30" s="409"/>
      <c r="BB30" s="409"/>
      <c r="BC30" s="409"/>
      <c r="BD30" s="409"/>
      <c r="BE30" s="409"/>
      <c r="BF30" s="418" t="str">
        <f t="shared" si="4"/>
        <v>1</v>
      </c>
      <c r="BG30" s="409"/>
      <c r="BH30" s="418" t="str">
        <f t="shared" si="1"/>
        <v>1</v>
      </c>
      <c r="BI30" s="266"/>
      <c r="BJ30" s="265"/>
    </row>
    <row r="31" spans="1:62" ht="6" customHeight="1">
      <c r="A31" s="265"/>
      <c r="B31" s="289"/>
      <c r="C31" s="289"/>
      <c r="D31" s="418" t="str">
        <f t="shared" si="2"/>
        <v>1</v>
      </c>
      <c r="E31" s="418"/>
      <c r="F31" s="418" t="str">
        <f t="shared" si="3"/>
        <v>1</v>
      </c>
      <c r="G31" s="418"/>
      <c r="H31" s="418"/>
      <c r="I31" s="418"/>
      <c r="J31" s="418"/>
      <c r="K31" s="418"/>
      <c r="L31" s="418"/>
      <c r="M31" s="418"/>
      <c r="N31" s="418"/>
      <c r="O31" s="418"/>
      <c r="P31" s="418"/>
      <c r="Q31" s="418"/>
      <c r="R31" s="418"/>
      <c r="S31" s="418"/>
      <c r="T31" s="418"/>
      <c r="U31" s="418"/>
      <c r="V31" s="418"/>
      <c r="W31" s="289"/>
      <c r="X31" s="289"/>
      <c r="Y31" s="289"/>
      <c r="Z31" s="397"/>
      <c r="AA31" s="397"/>
      <c r="AB31" s="397"/>
      <c r="AC31" s="397"/>
      <c r="AD31" s="397"/>
      <c r="AE31" s="289"/>
      <c r="AF31" s="395"/>
      <c r="AG31" s="395"/>
      <c r="AH31" s="395"/>
      <c r="AI31" s="395"/>
      <c r="AJ31" s="395"/>
      <c r="AK31" s="289"/>
      <c r="AL31" s="289"/>
      <c r="AM31" s="289"/>
      <c r="AN31" s="289"/>
      <c r="AO31" s="289"/>
      <c r="AP31" s="409"/>
      <c r="AQ31" s="409"/>
      <c r="AR31" s="409"/>
      <c r="AS31" s="409"/>
      <c r="AT31" s="409"/>
      <c r="AU31" s="409"/>
      <c r="AV31" s="409"/>
      <c r="AW31" s="409"/>
      <c r="AX31" s="409"/>
      <c r="AY31" s="409"/>
      <c r="AZ31" s="409"/>
      <c r="BA31" s="409"/>
      <c r="BB31" s="409"/>
      <c r="BC31" s="409"/>
      <c r="BD31" s="409"/>
      <c r="BE31" s="409"/>
      <c r="BF31" s="418" t="str">
        <f t="shared" si="4"/>
        <v>1</v>
      </c>
      <c r="BG31" s="409"/>
      <c r="BH31" s="418" t="str">
        <f t="shared" si="1"/>
        <v>1</v>
      </c>
      <c r="BI31" s="266"/>
      <c r="BJ31" s="265"/>
    </row>
    <row r="32" spans="1:62">
      <c r="A32" s="265"/>
      <c r="B32" s="289"/>
      <c r="C32" s="289"/>
      <c r="D32" s="418" t="str">
        <f t="shared" si="2"/>
        <v>1</v>
      </c>
      <c r="E32" s="418"/>
      <c r="F32" s="418" t="str">
        <f t="shared" si="3"/>
        <v>1</v>
      </c>
      <c r="G32" s="418"/>
      <c r="H32" s="418"/>
      <c r="I32" s="418"/>
      <c r="J32" s="418"/>
      <c r="K32" s="418"/>
      <c r="L32" s="418"/>
      <c r="M32" s="418"/>
      <c r="N32" s="418"/>
      <c r="O32" s="418"/>
      <c r="P32" s="418"/>
      <c r="Q32" s="418"/>
      <c r="R32" s="418"/>
      <c r="S32" s="418"/>
      <c r="T32" s="418"/>
      <c r="U32" s="418"/>
      <c r="V32" s="418"/>
      <c r="W32" s="289"/>
      <c r="X32" s="289"/>
      <c r="Y32" s="289"/>
      <c r="Z32" s="289"/>
      <c r="AA32" s="289"/>
      <c r="AB32" s="289"/>
      <c r="AC32" s="289"/>
      <c r="AD32" s="289"/>
      <c r="AE32" s="289"/>
      <c r="AF32" s="289"/>
      <c r="AG32" s="289"/>
      <c r="AH32" s="289"/>
      <c r="AI32" s="289"/>
      <c r="AJ32" s="289"/>
      <c r="AK32" s="289"/>
      <c r="AL32" s="289"/>
      <c r="AM32" s="289"/>
      <c r="AN32" s="289"/>
      <c r="AO32" s="289"/>
      <c r="AP32" s="409"/>
      <c r="AQ32" s="409"/>
      <c r="AR32" s="409"/>
      <c r="AS32" s="409"/>
      <c r="AT32" s="409"/>
      <c r="AU32" s="409"/>
      <c r="AV32" s="409"/>
      <c r="AW32" s="409"/>
      <c r="AX32" s="409"/>
      <c r="AY32" s="409"/>
      <c r="AZ32" s="409"/>
      <c r="BA32" s="409"/>
      <c r="BB32" s="409"/>
      <c r="BC32" s="409"/>
      <c r="BD32" s="409"/>
      <c r="BE32" s="409"/>
      <c r="BF32" s="418" t="str">
        <f t="shared" si="4"/>
        <v>1</v>
      </c>
      <c r="BG32" s="409"/>
      <c r="BH32" s="418" t="str">
        <f t="shared" si="1"/>
        <v>1</v>
      </c>
      <c r="BI32" s="266"/>
      <c r="BJ32" s="265"/>
    </row>
    <row r="33" spans="1:62" ht="6" customHeight="1">
      <c r="A33" s="265"/>
      <c r="B33" s="289"/>
      <c r="C33" s="289"/>
      <c r="D33" s="418" t="str">
        <f t="shared" si="2"/>
        <v>1</v>
      </c>
      <c r="E33" s="418"/>
      <c r="F33" s="418" t="str">
        <f t="shared" si="3"/>
        <v>1</v>
      </c>
      <c r="G33" s="418"/>
      <c r="H33" s="418"/>
      <c r="I33" s="418"/>
      <c r="J33" s="418"/>
      <c r="K33" s="418"/>
      <c r="L33" s="418"/>
      <c r="M33" s="418"/>
      <c r="N33" s="418"/>
      <c r="O33" s="418"/>
      <c r="P33" s="418"/>
      <c r="Q33" s="418"/>
      <c r="R33" s="418"/>
      <c r="S33" s="418"/>
      <c r="T33" s="418"/>
      <c r="U33" s="418"/>
      <c r="V33" s="418"/>
      <c r="W33" s="289"/>
      <c r="X33" s="289"/>
      <c r="Y33" s="789" t="str">
        <f>IF(Obliczenia!E63="10","",Obliczenia!E63)</f>
        <v>0.3</v>
      </c>
      <c r="Z33" s="397"/>
      <c r="AA33" s="397"/>
      <c r="AB33" s="397"/>
      <c r="AC33" s="397"/>
      <c r="AD33" s="397"/>
      <c r="AE33" s="289"/>
      <c r="AF33" s="395"/>
      <c r="AG33" s="395"/>
      <c r="AH33" s="395"/>
      <c r="AI33" s="395"/>
      <c r="AJ33" s="395"/>
      <c r="AK33" s="789" t="str">
        <f>IF(Obliczenia!E39="10","",Obliczenia!E39)</f>
        <v>1.1</v>
      </c>
      <c r="AL33" s="289"/>
      <c r="AM33" s="289"/>
      <c r="AN33" s="289"/>
      <c r="AO33" s="289"/>
      <c r="AP33" s="409"/>
      <c r="AQ33" s="409"/>
      <c r="AR33" s="409"/>
      <c r="AS33" s="409"/>
      <c r="AT33" s="409"/>
      <c r="AU33" s="409"/>
      <c r="AV33" s="409"/>
      <c r="AW33" s="409"/>
      <c r="AX33" s="409"/>
      <c r="AY33" s="409"/>
      <c r="AZ33" s="409"/>
      <c r="BA33" s="409"/>
      <c r="BB33" s="409"/>
      <c r="BC33" s="409"/>
      <c r="BD33" s="409"/>
      <c r="BE33" s="409"/>
      <c r="BF33" s="418" t="str">
        <f t="shared" si="4"/>
        <v>1</v>
      </c>
      <c r="BG33" s="409"/>
      <c r="BH33" s="418" t="str">
        <f t="shared" si="1"/>
        <v>1</v>
      </c>
      <c r="BI33" s="266"/>
      <c r="BJ33" s="265"/>
    </row>
    <row r="34" spans="1:62" ht="14.4" customHeight="1">
      <c r="A34" s="265"/>
      <c r="B34" s="289"/>
      <c r="C34" s="289"/>
      <c r="D34" s="418" t="str">
        <f t="shared" si="2"/>
        <v>1</v>
      </c>
      <c r="E34" s="418"/>
      <c r="F34" s="418" t="str">
        <f t="shared" si="3"/>
        <v>1</v>
      </c>
      <c r="G34" s="418">
        <v>1</v>
      </c>
      <c r="H34" s="418"/>
      <c r="I34" s="418"/>
      <c r="J34" s="418"/>
      <c r="K34" s="418"/>
      <c r="L34" s="418"/>
      <c r="M34" s="418"/>
      <c r="N34" s="418"/>
      <c r="O34" s="418"/>
      <c r="P34" s="418"/>
      <c r="Q34" s="418"/>
      <c r="R34" s="418"/>
      <c r="S34" s="418"/>
      <c r="T34" s="418"/>
      <c r="U34" s="418"/>
      <c r="V34" s="418"/>
      <c r="W34" s="289"/>
      <c r="X34" s="4" t="str">
        <f>IF(Y33&lt;&gt;"","1","")</f>
        <v>1</v>
      </c>
      <c r="Y34" s="789"/>
      <c r="Z34" s="397"/>
      <c r="AA34" s="772" t="str">
        <f>IF(Y33="","",VLOOKUP(Y33,big_tabela,3,0))</f>
        <v>Spiżarnia</v>
      </c>
      <c r="AB34" s="772"/>
      <c r="AC34" s="773">
        <f>IF(Y33="","",VLOOKUP(Y33,big_tabela,12,0))</f>
        <v>15</v>
      </c>
      <c r="AD34" s="774" t="s">
        <v>373</v>
      </c>
      <c r="AE34" s="289"/>
      <c r="AF34" s="395"/>
      <c r="AG34" s="783" t="str">
        <f>IF(AK33="","",VLOOKUP(AK33,big_tabela,3,0))</f>
        <v>Sypialnia</v>
      </c>
      <c r="AH34" s="783"/>
      <c r="AI34" s="784">
        <f>IF(AK33="","",VLOOKUP(AK33,big_tabela,12,0))</f>
        <v>40</v>
      </c>
      <c r="AJ34" s="767" t="s">
        <v>373</v>
      </c>
      <c r="AK34" s="789"/>
      <c r="AL34" s="4" t="str">
        <f>IF(AK33&lt;&gt;"","1","")</f>
        <v>1</v>
      </c>
      <c r="AM34" s="289"/>
      <c r="AN34" s="289"/>
      <c r="AO34" s="289"/>
      <c r="AP34" s="409"/>
      <c r="AQ34" s="409"/>
      <c r="AR34" s="409"/>
      <c r="AS34" s="409"/>
      <c r="AT34" s="409"/>
      <c r="AU34" s="409"/>
      <c r="AV34" s="409"/>
      <c r="AW34" s="409"/>
      <c r="AX34" s="409"/>
      <c r="AY34" s="409"/>
      <c r="AZ34" s="409"/>
      <c r="BA34" s="409"/>
      <c r="BB34" s="409"/>
      <c r="BC34" s="409"/>
      <c r="BD34" s="409"/>
      <c r="BE34" s="409"/>
      <c r="BF34" s="418" t="str">
        <f t="shared" si="4"/>
        <v>1</v>
      </c>
      <c r="BG34" s="409"/>
      <c r="BH34" s="418" t="str">
        <f t="shared" si="1"/>
        <v>1</v>
      </c>
      <c r="BI34" s="266"/>
      <c r="BJ34" s="265"/>
    </row>
    <row r="35" spans="1:62" ht="14.4" customHeight="1">
      <c r="A35" s="265"/>
      <c r="B35" s="289"/>
      <c r="C35" s="289"/>
      <c r="D35" s="418" t="str">
        <f t="shared" si="2"/>
        <v>1</v>
      </c>
      <c r="E35" s="418"/>
      <c r="F35" s="418" t="str">
        <f t="shared" si="3"/>
        <v>1</v>
      </c>
      <c r="G35" s="418"/>
      <c r="H35" s="418"/>
      <c r="I35" s="418"/>
      <c r="J35" s="418"/>
      <c r="K35" s="418"/>
      <c r="L35" s="418"/>
      <c r="M35" s="418"/>
      <c r="N35" s="418"/>
      <c r="O35" s="418"/>
      <c r="P35" s="418"/>
      <c r="Q35" s="418"/>
      <c r="R35" s="418"/>
      <c r="S35" s="418"/>
      <c r="T35" s="418"/>
      <c r="U35" s="418"/>
      <c r="V35" s="418"/>
      <c r="W35" s="494" t="str">
        <f>IF(Y33="","","Φ63")</f>
        <v>Φ63</v>
      </c>
      <c r="X35" s="495" t="str">
        <f>IF(Y33="","","x"&amp;VLOOKUP(Y33,big_tabela,20,0))</f>
        <v>x1</v>
      </c>
      <c r="Y35" s="403" t="str">
        <f>IF(Y33="","","◄")</f>
        <v>◄</v>
      </c>
      <c r="Z35" s="397"/>
      <c r="AA35" s="772"/>
      <c r="AB35" s="772"/>
      <c r="AC35" s="773"/>
      <c r="AD35" s="774"/>
      <c r="AE35" s="289"/>
      <c r="AF35" s="395"/>
      <c r="AG35" s="783"/>
      <c r="AH35" s="783"/>
      <c r="AI35" s="784"/>
      <c r="AJ35" s="767"/>
      <c r="AK35" s="402" t="str">
        <f>IF(AK33="","","◄")</f>
        <v>◄</v>
      </c>
      <c r="AL35" s="494" t="str">
        <f>IF(AK33="","","Φ63")</f>
        <v>Φ63</v>
      </c>
      <c r="AM35" s="495" t="str">
        <f>IF(AK33="","","x"&amp;VLOOKUP(AK33,big_tabela,19,0))</f>
        <v>x2</v>
      </c>
      <c r="AN35" s="289"/>
      <c r="AO35" s="289"/>
      <c r="AP35" s="409"/>
      <c r="AQ35" s="409"/>
      <c r="AR35" s="409"/>
      <c r="AS35" s="409"/>
      <c r="AT35" s="409"/>
      <c r="AU35" s="409"/>
      <c r="AV35" s="409"/>
      <c r="AW35" s="409"/>
      <c r="AX35" s="409"/>
      <c r="AY35" s="409"/>
      <c r="AZ35" s="409"/>
      <c r="BA35" s="409"/>
      <c r="BB35" s="409"/>
      <c r="BC35" s="409"/>
      <c r="BD35" s="409"/>
      <c r="BE35" s="409"/>
      <c r="BF35" s="418" t="str">
        <f t="shared" si="4"/>
        <v>1</v>
      </c>
      <c r="BG35" s="409"/>
      <c r="BH35" s="418" t="str">
        <f t="shared" si="1"/>
        <v>1</v>
      </c>
      <c r="BI35" s="266"/>
      <c r="BJ35" s="265"/>
    </row>
    <row r="36" spans="1:62" ht="3" customHeight="1">
      <c r="A36" s="265"/>
      <c r="B36" s="289"/>
      <c r="C36" s="404"/>
      <c r="D36" s="418" t="str">
        <f t="shared" si="2"/>
        <v>1</v>
      </c>
      <c r="E36" s="418"/>
      <c r="F36" s="418" t="str">
        <f t="shared" si="3"/>
        <v>1</v>
      </c>
      <c r="G36" s="418"/>
      <c r="H36" s="419" t="str">
        <f t="shared" ref="H36:H87" si="5">$X$34</f>
        <v>1</v>
      </c>
      <c r="I36" s="419" t="str">
        <f t="shared" ref="I36:X36" si="6">$X$34</f>
        <v>1</v>
      </c>
      <c r="J36" s="419" t="str">
        <f t="shared" si="6"/>
        <v>1</v>
      </c>
      <c r="K36" s="419" t="str">
        <f t="shared" si="6"/>
        <v>1</v>
      </c>
      <c r="L36" s="419" t="str">
        <f t="shared" si="6"/>
        <v>1</v>
      </c>
      <c r="M36" s="419" t="str">
        <f t="shared" si="6"/>
        <v>1</v>
      </c>
      <c r="N36" s="419" t="str">
        <f t="shared" si="6"/>
        <v>1</v>
      </c>
      <c r="O36" s="419" t="str">
        <f t="shared" si="6"/>
        <v>1</v>
      </c>
      <c r="P36" s="419" t="str">
        <f t="shared" si="6"/>
        <v>1</v>
      </c>
      <c r="Q36" s="419" t="str">
        <f t="shared" si="6"/>
        <v>1</v>
      </c>
      <c r="R36" s="419" t="str">
        <f t="shared" si="6"/>
        <v>1</v>
      </c>
      <c r="S36" s="419" t="str">
        <f t="shared" si="6"/>
        <v>1</v>
      </c>
      <c r="T36" s="419" t="str">
        <f t="shared" si="6"/>
        <v>1</v>
      </c>
      <c r="U36" s="419" t="str">
        <f t="shared" si="6"/>
        <v>1</v>
      </c>
      <c r="V36" s="419" t="str">
        <f t="shared" si="6"/>
        <v>1</v>
      </c>
      <c r="W36" s="419" t="str">
        <f t="shared" si="6"/>
        <v>1</v>
      </c>
      <c r="X36" s="419" t="str">
        <f t="shared" si="6"/>
        <v>1</v>
      </c>
      <c r="Y36" s="419" t="str">
        <f>$X$34</f>
        <v>1</v>
      </c>
      <c r="Z36" s="397"/>
      <c r="AA36" s="412"/>
      <c r="AB36" s="412"/>
      <c r="AC36" s="415"/>
      <c r="AD36" s="416"/>
      <c r="AE36" s="289"/>
      <c r="AF36" s="395"/>
      <c r="AG36" s="421"/>
      <c r="AH36" s="421"/>
      <c r="AI36" s="413"/>
      <c r="AJ36" s="414"/>
      <c r="AK36" s="418" t="str">
        <f>$AL$34</f>
        <v>1</v>
      </c>
      <c r="AL36" s="418" t="str">
        <f t="shared" ref="AL36:BD51" si="7">$AL$34</f>
        <v>1</v>
      </c>
      <c r="AM36" s="418" t="str">
        <f t="shared" si="7"/>
        <v>1</v>
      </c>
      <c r="AN36" s="418" t="str">
        <f t="shared" si="7"/>
        <v>1</v>
      </c>
      <c r="AO36" s="418" t="str">
        <f t="shared" si="7"/>
        <v>1</v>
      </c>
      <c r="AP36" s="418" t="str">
        <f t="shared" si="7"/>
        <v>1</v>
      </c>
      <c r="AQ36" s="418" t="str">
        <f t="shared" si="7"/>
        <v>1</v>
      </c>
      <c r="AR36" s="418" t="str">
        <f t="shared" si="7"/>
        <v>1</v>
      </c>
      <c r="AS36" s="418" t="str">
        <f t="shared" si="7"/>
        <v>1</v>
      </c>
      <c r="AT36" s="418" t="str">
        <f t="shared" si="7"/>
        <v>1</v>
      </c>
      <c r="AU36" s="418" t="str">
        <f t="shared" si="7"/>
        <v>1</v>
      </c>
      <c r="AV36" s="418" t="str">
        <f t="shared" si="7"/>
        <v>1</v>
      </c>
      <c r="AW36" s="418" t="str">
        <f t="shared" si="7"/>
        <v>1</v>
      </c>
      <c r="AX36" s="418" t="str">
        <f t="shared" si="7"/>
        <v>1</v>
      </c>
      <c r="AY36" s="418" t="str">
        <f t="shared" si="7"/>
        <v>1</v>
      </c>
      <c r="AZ36" s="418" t="str">
        <f t="shared" si="7"/>
        <v>1</v>
      </c>
      <c r="BA36" s="418" t="str">
        <f t="shared" si="7"/>
        <v>1</v>
      </c>
      <c r="BB36" s="418" t="str">
        <f t="shared" si="7"/>
        <v>1</v>
      </c>
      <c r="BC36" s="418" t="str">
        <f t="shared" si="7"/>
        <v>1</v>
      </c>
      <c r="BD36" s="418" t="str">
        <f t="shared" si="7"/>
        <v>1</v>
      </c>
      <c r="BE36" s="409"/>
      <c r="BF36" s="418" t="str">
        <f t="shared" si="4"/>
        <v>1</v>
      </c>
      <c r="BG36" s="409"/>
      <c r="BH36" s="418" t="str">
        <f t="shared" si="1"/>
        <v>1</v>
      </c>
      <c r="BI36" s="266"/>
      <c r="BJ36" s="265"/>
    </row>
    <row r="37" spans="1:62" ht="14.4" customHeight="1">
      <c r="A37" s="265"/>
      <c r="B37" s="289"/>
      <c r="C37" s="289"/>
      <c r="D37" s="418" t="str">
        <f t="shared" si="2"/>
        <v>1</v>
      </c>
      <c r="E37" s="418"/>
      <c r="F37" s="418" t="str">
        <f t="shared" si="3"/>
        <v>1</v>
      </c>
      <c r="G37" s="418"/>
      <c r="H37" s="419" t="str">
        <f t="shared" si="5"/>
        <v>1</v>
      </c>
      <c r="I37" s="418"/>
      <c r="J37" s="418"/>
      <c r="K37" s="418"/>
      <c r="L37" s="418"/>
      <c r="M37" s="418"/>
      <c r="N37" s="418"/>
      <c r="O37" s="418"/>
      <c r="P37" s="418"/>
      <c r="Q37" s="418"/>
      <c r="R37" s="418"/>
      <c r="S37" s="418"/>
      <c r="T37" s="418"/>
      <c r="U37" s="418"/>
      <c r="V37" s="418"/>
      <c r="W37" s="289"/>
      <c r="X37" s="289"/>
      <c r="Y37" s="289"/>
      <c r="Z37" s="397"/>
      <c r="AA37" s="399" t="str">
        <f>IF(Y33="","",VLOOKUP(Y33,big_tabela,4,0))</f>
        <v/>
      </c>
      <c r="AB37" s="400"/>
      <c r="AC37" s="634" t="str">
        <f>IF(Y33="","","anemostat")</f>
        <v>anemostat</v>
      </c>
      <c r="AD37" s="416" t="str">
        <f>IF(Y33="","","x"&amp;VLOOKUP(Y33,big_tabela,23,0))</f>
        <v>x1</v>
      </c>
      <c r="AE37" s="289"/>
      <c r="AF37" s="395"/>
      <c r="AG37" s="398" t="str">
        <f>IF(AK33="","",VLOOKUP(AK33,big_tabela,4,0))</f>
        <v/>
      </c>
      <c r="AH37" s="417"/>
      <c r="AI37" s="635" t="str">
        <f>IF(AK33="","","anemostat")</f>
        <v>anemostat</v>
      </c>
      <c r="AJ37" s="414" t="str">
        <f>IF(AK33="","","x"&amp;VLOOKUP(AK33,big_tabela,22,0))</f>
        <v>x1</v>
      </c>
      <c r="AK37" s="401"/>
      <c r="AL37" s="289"/>
      <c r="AM37" s="289"/>
      <c r="AN37" s="289"/>
      <c r="AO37" s="289"/>
      <c r="AP37" s="409"/>
      <c r="AQ37" s="409"/>
      <c r="AR37" s="409"/>
      <c r="AS37" s="409"/>
      <c r="AT37" s="409"/>
      <c r="AU37" s="409"/>
      <c r="AV37" s="409"/>
      <c r="AW37" s="409"/>
      <c r="AX37" s="409"/>
      <c r="AY37" s="409"/>
      <c r="AZ37" s="409"/>
      <c r="BA37" s="409"/>
      <c r="BB37" s="409"/>
      <c r="BC37" s="409"/>
      <c r="BD37" s="418" t="str">
        <f t="shared" si="7"/>
        <v>1</v>
      </c>
      <c r="BE37" s="409"/>
      <c r="BF37" s="418" t="str">
        <f t="shared" si="4"/>
        <v>1</v>
      </c>
      <c r="BG37" s="409"/>
      <c r="BH37" s="418" t="str">
        <f t="shared" si="1"/>
        <v>1</v>
      </c>
      <c r="BI37" s="266"/>
      <c r="BJ37" s="265"/>
    </row>
    <row r="38" spans="1:62" ht="6" customHeight="1">
      <c r="A38" s="265"/>
      <c r="B38" s="289"/>
      <c r="C38" s="289"/>
      <c r="D38" s="418" t="str">
        <f t="shared" si="2"/>
        <v>1</v>
      </c>
      <c r="E38" s="418"/>
      <c r="F38" s="418" t="str">
        <f t="shared" si="3"/>
        <v>1</v>
      </c>
      <c r="G38" s="418"/>
      <c r="H38" s="419" t="str">
        <f t="shared" si="5"/>
        <v>1</v>
      </c>
      <c r="I38" s="418"/>
      <c r="J38" s="418"/>
      <c r="K38" s="418"/>
      <c r="L38" s="418"/>
      <c r="M38" s="418"/>
      <c r="N38" s="418"/>
      <c r="O38" s="418"/>
      <c r="P38" s="418"/>
      <c r="Q38" s="418"/>
      <c r="R38" s="418"/>
      <c r="S38" s="418"/>
      <c r="T38" s="418"/>
      <c r="U38" s="418"/>
      <c r="V38" s="418"/>
      <c r="W38" s="289"/>
      <c r="X38" s="289"/>
      <c r="Y38" s="289"/>
      <c r="Z38" s="397"/>
      <c r="AA38" s="397"/>
      <c r="AB38" s="397"/>
      <c r="AC38" s="397"/>
      <c r="AD38" s="397"/>
      <c r="AE38" s="289"/>
      <c r="AF38" s="395"/>
      <c r="AG38" s="395"/>
      <c r="AH38" s="395"/>
      <c r="AI38" s="395"/>
      <c r="AJ38" s="395"/>
      <c r="AK38" s="289"/>
      <c r="AL38" s="289"/>
      <c r="AM38" s="289"/>
      <c r="AN38" s="289"/>
      <c r="AO38" s="289"/>
      <c r="AP38" s="409"/>
      <c r="AQ38" s="409"/>
      <c r="AR38" s="409"/>
      <c r="AS38" s="409"/>
      <c r="AT38" s="409"/>
      <c r="AU38" s="409"/>
      <c r="AV38" s="409"/>
      <c r="AW38" s="409"/>
      <c r="AX38" s="409"/>
      <c r="AY38" s="409"/>
      <c r="AZ38" s="409"/>
      <c r="BA38" s="409"/>
      <c r="BB38" s="409"/>
      <c r="BC38" s="409"/>
      <c r="BD38" s="418" t="str">
        <f t="shared" si="7"/>
        <v>1</v>
      </c>
      <c r="BE38" s="409"/>
      <c r="BF38" s="418" t="str">
        <f t="shared" si="4"/>
        <v>1</v>
      </c>
      <c r="BG38" s="409"/>
      <c r="BH38" s="418" t="str">
        <f t="shared" ref="BH38:BH87" si="8">$AL$20</f>
        <v>1</v>
      </c>
      <c r="BI38" s="266"/>
      <c r="BJ38" s="265"/>
    </row>
    <row r="39" spans="1:62">
      <c r="A39" s="265"/>
      <c r="B39" s="289"/>
      <c r="C39" s="289"/>
      <c r="D39" s="418" t="str">
        <f t="shared" si="2"/>
        <v>1</v>
      </c>
      <c r="E39" s="418"/>
      <c r="F39" s="418" t="str">
        <f t="shared" si="3"/>
        <v>1</v>
      </c>
      <c r="G39" s="418"/>
      <c r="H39" s="419" t="str">
        <f t="shared" si="5"/>
        <v>1</v>
      </c>
      <c r="I39" s="418"/>
      <c r="J39" s="418"/>
      <c r="K39" s="418"/>
      <c r="L39" s="418"/>
      <c r="M39" s="418"/>
      <c r="N39" s="418"/>
      <c r="O39" s="418"/>
      <c r="P39" s="418"/>
      <c r="Q39" s="418"/>
      <c r="R39" s="418"/>
      <c r="S39" s="418"/>
      <c r="T39" s="418"/>
      <c r="U39" s="418"/>
      <c r="V39" s="418"/>
      <c r="W39" s="289"/>
      <c r="X39" s="289"/>
      <c r="Y39" s="289"/>
      <c r="Z39" s="289"/>
      <c r="AA39" s="289"/>
      <c r="AB39" s="289"/>
      <c r="AC39" s="289"/>
      <c r="AD39" s="289"/>
      <c r="AE39" s="289"/>
      <c r="AF39" s="289"/>
      <c r="AG39" s="289"/>
      <c r="AH39" s="289"/>
      <c r="AI39" s="289"/>
      <c r="AJ39" s="289"/>
      <c r="AK39" s="289"/>
      <c r="AL39" s="289"/>
      <c r="AM39" s="289"/>
      <c r="AN39" s="289"/>
      <c r="AO39" s="289"/>
      <c r="AP39" s="409"/>
      <c r="AQ39" s="409"/>
      <c r="AR39" s="409"/>
      <c r="AS39" s="409"/>
      <c r="AT39" s="409"/>
      <c r="AU39" s="409"/>
      <c r="AV39" s="409"/>
      <c r="AW39" s="409"/>
      <c r="AX39" s="409"/>
      <c r="AY39" s="409"/>
      <c r="AZ39" s="409"/>
      <c r="BA39" s="409"/>
      <c r="BB39" s="409"/>
      <c r="BC39" s="409"/>
      <c r="BD39" s="418" t="str">
        <f t="shared" si="7"/>
        <v>1</v>
      </c>
      <c r="BE39" s="409"/>
      <c r="BF39" s="418" t="str">
        <f t="shared" si="4"/>
        <v>1</v>
      </c>
      <c r="BG39" s="409"/>
      <c r="BH39" s="418" t="str">
        <f t="shared" si="8"/>
        <v>1</v>
      </c>
      <c r="BI39" s="266"/>
      <c r="BJ39" s="265"/>
    </row>
    <row r="40" spans="1:62" ht="6" customHeight="1">
      <c r="A40" s="265"/>
      <c r="B40" s="289"/>
      <c r="C40" s="289"/>
      <c r="D40" s="418" t="str">
        <f t="shared" si="2"/>
        <v>1</v>
      </c>
      <c r="E40" s="418"/>
      <c r="F40" s="418" t="str">
        <f t="shared" si="3"/>
        <v>1</v>
      </c>
      <c r="G40" s="418"/>
      <c r="H40" s="419" t="str">
        <f t="shared" si="5"/>
        <v>1</v>
      </c>
      <c r="I40" s="418"/>
      <c r="J40" s="418"/>
      <c r="K40" s="418"/>
      <c r="L40" s="418"/>
      <c r="M40" s="418"/>
      <c r="N40" s="418"/>
      <c r="O40" s="418"/>
      <c r="P40" s="418"/>
      <c r="Q40" s="418"/>
      <c r="R40" s="418"/>
      <c r="S40" s="418"/>
      <c r="T40" s="418"/>
      <c r="U40" s="418"/>
      <c r="V40" s="418"/>
      <c r="W40" s="289"/>
      <c r="X40" s="289"/>
      <c r="Y40" s="789" t="str">
        <f>IF(Obliczenia!E64="10","",Obliczenia!E64)</f>
        <v>0.7</v>
      </c>
      <c r="Z40" s="397"/>
      <c r="AA40" s="397"/>
      <c r="AB40" s="397"/>
      <c r="AC40" s="397"/>
      <c r="AD40" s="397"/>
      <c r="AE40" s="289"/>
      <c r="AF40" s="395"/>
      <c r="AG40" s="395"/>
      <c r="AH40" s="395"/>
      <c r="AI40" s="395"/>
      <c r="AJ40" s="395"/>
      <c r="AK40" s="789" t="str">
        <f>IF(Obliczenia!E40="10","",Obliczenia!E40)</f>
        <v>0.4</v>
      </c>
      <c r="AL40" s="289"/>
      <c r="AM40" s="289"/>
      <c r="AN40" s="289"/>
      <c r="AO40" s="289"/>
      <c r="AP40" s="409"/>
      <c r="AQ40" s="409"/>
      <c r="AR40" s="409"/>
      <c r="AS40" s="409"/>
      <c r="AT40" s="409"/>
      <c r="AU40" s="409"/>
      <c r="AV40" s="409"/>
      <c r="AW40" s="409"/>
      <c r="AX40" s="409"/>
      <c r="AY40" s="409"/>
      <c r="AZ40" s="409"/>
      <c r="BA40" s="409"/>
      <c r="BB40" s="409"/>
      <c r="BC40" s="409"/>
      <c r="BD40" s="418" t="str">
        <f t="shared" si="7"/>
        <v>1</v>
      </c>
      <c r="BE40" s="409"/>
      <c r="BF40" s="418" t="str">
        <f t="shared" si="4"/>
        <v>1</v>
      </c>
      <c r="BG40" s="409"/>
      <c r="BH40" s="418" t="str">
        <f t="shared" si="8"/>
        <v>1</v>
      </c>
      <c r="BI40" s="266"/>
      <c r="BJ40" s="265"/>
    </row>
    <row r="41" spans="1:62" ht="14.4" customHeight="1">
      <c r="A41" s="265"/>
      <c r="B41" s="289"/>
      <c r="C41" s="289"/>
      <c r="D41" s="418" t="str">
        <f t="shared" si="2"/>
        <v>1</v>
      </c>
      <c r="E41" s="418"/>
      <c r="F41" s="418" t="str">
        <f t="shared" si="3"/>
        <v>1</v>
      </c>
      <c r="G41" s="418"/>
      <c r="H41" s="419" t="str">
        <f t="shared" si="5"/>
        <v>1</v>
      </c>
      <c r="I41" s="418"/>
      <c r="J41" s="418"/>
      <c r="K41" s="418"/>
      <c r="L41" s="418"/>
      <c r="M41" s="418"/>
      <c r="N41" s="418"/>
      <c r="O41" s="418"/>
      <c r="P41" s="418"/>
      <c r="Q41" s="418"/>
      <c r="R41" s="418"/>
      <c r="S41" s="418"/>
      <c r="T41" s="418"/>
      <c r="U41" s="418"/>
      <c r="V41" s="418"/>
      <c r="W41" s="289"/>
      <c r="X41" s="4" t="str">
        <f>IF(Y40&lt;&gt;"","1","")</f>
        <v>1</v>
      </c>
      <c r="Y41" s="789"/>
      <c r="Z41" s="397"/>
      <c r="AA41" s="772" t="str">
        <f>IF(Y40="","",VLOOKUP(Y40,big_tabela,3,0))</f>
        <v>Pomieszczenie gospodarcze</v>
      </c>
      <c r="AB41" s="772"/>
      <c r="AC41" s="773">
        <f>IF(Y40="","",VLOOKUP(Y40,big_tabela,12,0))</f>
        <v>15</v>
      </c>
      <c r="AD41" s="774" t="s">
        <v>373</v>
      </c>
      <c r="AE41" s="289"/>
      <c r="AF41" s="395"/>
      <c r="AG41" s="783" t="str">
        <f>IF(AK40="","",VLOOKUP(AK40,big_tabela,3,0))</f>
        <v>Pokój dzienny</v>
      </c>
      <c r="AH41" s="783"/>
      <c r="AI41" s="784">
        <f>IF(AK40="","",VLOOKUP(AK40,big_tabela,12,0))</f>
        <v>80</v>
      </c>
      <c r="AJ41" s="767" t="s">
        <v>373</v>
      </c>
      <c r="AK41" s="789"/>
      <c r="AL41" s="4" t="str">
        <f>IF(AK40&lt;&gt;"","1","")</f>
        <v>1</v>
      </c>
      <c r="AM41" s="289"/>
      <c r="AN41" s="289"/>
      <c r="AO41" s="289"/>
      <c r="AP41" s="409"/>
      <c r="AQ41" s="409"/>
      <c r="AR41" s="409"/>
      <c r="AS41" s="409"/>
      <c r="AT41" s="409"/>
      <c r="AU41" s="409"/>
      <c r="AV41" s="409"/>
      <c r="AW41" s="409"/>
      <c r="AX41" s="409"/>
      <c r="AY41" s="409"/>
      <c r="AZ41" s="409"/>
      <c r="BA41" s="409"/>
      <c r="BB41" s="409"/>
      <c r="BC41" s="409"/>
      <c r="BD41" s="418" t="str">
        <f t="shared" si="7"/>
        <v>1</v>
      </c>
      <c r="BE41" s="409"/>
      <c r="BF41" s="418" t="str">
        <f t="shared" si="4"/>
        <v>1</v>
      </c>
      <c r="BG41" s="409"/>
      <c r="BH41" s="418" t="str">
        <f t="shared" si="8"/>
        <v>1</v>
      </c>
      <c r="BI41" s="266"/>
      <c r="BJ41" s="265"/>
    </row>
    <row r="42" spans="1:62" ht="14.4" customHeight="1">
      <c r="A42" s="265"/>
      <c r="B42" s="289"/>
      <c r="C42" s="289"/>
      <c r="D42" s="418" t="str">
        <f t="shared" si="2"/>
        <v>1</v>
      </c>
      <c r="E42" s="418"/>
      <c r="F42" s="418" t="str">
        <f t="shared" si="3"/>
        <v>1</v>
      </c>
      <c r="G42" s="418"/>
      <c r="H42" s="419" t="str">
        <f t="shared" si="5"/>
        <v>1</v>
      </c>
      <c r="I42" s="418"/>
      <c r="J42" s="418"/>
      <c r="K42" s="418"/>
      <c r="L42" s="418"/>
      <c r="M42" s="418"/>
      <c r="N42" s="418"/>
      <c r="O42" s="418"/>
      <c r="P42" s="418"/>
      <c r="Q42" s="418"/>
      <c r="R42" s="418"/>
      <c r="S42" s="418"/>
      <c r="T42" s="418"/>
      <c r="U42" s="418"/>
      <c r="V42" s="418"/>
      <c r="W42" s="494" t="str">
        <f>IF(Y40="","","Φ63")</f>
        <v>Φ63</v>
      </c>
      <c r="X42" s="495" t="str">
        <f>IF(Y40="","","x"&amp;VLOOKUP(Y40,big_tabela,20,0))</f>
        <v>x1</v>
      </c>
      <c r="Y42" s="403" t="str">
        <f>IF(Y40="","","◄")</f>
        <v>◄</v>
      </c>
      <c r="Z42" s="397"/>
      <c r="AA42" s="772"/>
      <c r="AB42" s="772"/>
      <c r="AC42" s="773"/>
      <c r="AD42" s="774"/>
      <c r="AE42" s="289"/>
      <c r="AF42" s="395"/>
      <c r="AG42" s="783"/>
      <c r="AH42" s="783"/>
      <c r="AI42" s="784"/>
      <c r="AJ42" s="767"/>
      <c r="AK42" s="402" t="str">
        <f>IF(AK40="","","◄")</f>
        <v>◄</v>
      </c>
      <c r="AL42" s="494" t="str">
        <f>IF(AK40="","","Φ63")</f>
        <v>Φ63</v>
      </c>
      <c r="AM42" s="495" t="str">
        <f>IF(AK40="","","x"&amp;VLOOKUP(AK40,big_tabela,19,0))</f>
        <v>x4</v>
      </c>
      <c r="AN42" s="289"/>
      <c r="AO42" s="289"/>
      <c r="AP42" s="409"/>
      <c r="AQ42" s="409"/>
      <c r="AR42" s="409"/>
      <c r="AS42" s="409"/>
      <c r="AT42" s="409"/>
      <c r="AU42" s="409"/>
      <c r="AV42" s="409"/>
      <c r="AW42" s="409"/>
      <c r="AX42" s="409"/>
      <c r="AY42" s="409"/>
      <c r="AZ42" s="409"/>
      <c r="BA42" s="409"/>
      <c r="BB42" s="409"/>
      <c r="BC42" s="409"/>
      <c r="BD42" s="418" t="str">
        <f t="shared" si="7"/>
        <v>1</v>
      </c>
      <c r="BE42" s="409"/>
      <c r="BF42" s="418" t="str">
        <f t="shared" si="4"/>
        <v>1</v>
      </c>
      <c r="BG42" s="409"/>
      <c r="BH42" s="418" t="str">
        <f t="shared" si="8"/>
        <v>1</v>
      </c>
      <c r="BI42" s="266"/>
      <c r="BJ42" s="265"/>
    </row>
    <row r="43" spans="1:62" ht="3" customHeight="1">
      <c r="A43" s="265"/>
      <c r="B43" s="289"/>
      <c r="C43" s="404"/>
      <c r="D43" s="418" t="str">
        <f t="shared" si="2"/>
        <v>1</v>
      </c>
      <c r="E43" s="418"/>
      <c r="F43" s="418" t="str">
        <f t="shared" si="3"/>
        <v>1</v>
      </c>
      <c r="G43" s="418"/>
      <c r="H43" s="419" t="str">
        <f t="shared" si="5"/>
        <v>1</v>
      </c>
      <c r="I43" s="418"/>
      <c r="J43" s="419" t="str">
        <f t="shared" ref="J43:X58" si="9">$X$41</f>
        <v>1</v>
      </c>
      <c r="K43" s="419" t="str">
        <f t="shared" si="9"/>
        <v>1</v>
      </c>
      <c r="L43" s="419" t="str">
        <f t="shared" si="9"/>
        <v>1</v>
      </c>
      <c r="M43" s="419" t="str">
        <f t="shared" si="9"/>
        <v>1</v>
      </c>
      <c r="N43" s="419" t="str">
        <f t="shared" si="9"/>
        <v>1</v>
      </c>
      <c r="O43" s="419" t="str">
        <f t="shared" si="9"/>
        <v>1</v>
      </c>
      <c r="P43" s="419" t="str">
        <f t="shared" si="9"/>
        <v>1</v>
      </c>
      <c r="Q43" s="419" t="str">
        <f t="shared" si="9"/>
        <v>1</v>
      </c>
      <c r="R43" s="419" t="str">
        <f t="shared" si="9"/>
        <v>1</v>
      </c>
      <c r="S43" s="419" t="str">
        <f t="shared" si="9"/>
        <v>1</v>
      </c>
      <c r="T43" s="419" t="str">
        <f t="shared" si="9"/>
        <v>1</v>
      </c>
      <c r="U43" s="419" t="str">
        <f t="shared" si="9"/>
        <v>1</v>
      </c>
      <c r="V43" s="419" t="str">
        <f t="shared" si="9"/>
        <v>1</v>
      </c>
      <c r="W43" s="419" t="str">
        <f t="shared" si="9"/>
        <v>1</v>
      </c>
      <c r="X43" s="419" t="str">
        <f t="shared" si="9"/>
        <v>1</v>
      </c>
      <c r="Y43" s="419" t="str">
        <f>$X$41</f>
        <v>1</v>
      </c>
      <c r="Z43" s="397"/>
      <c r="AA43" s="412"/>
      <c r="AB43" s="412"/>
      <c r="AC43" s="415"/>
      <c r="AD43" s="416"/>
      <c r="AE43" s="289"/>
      <c r="AF43" s="395"/>
      <c r="AG43" s="421"/>
      <c r="AH43" s="421"/>
      <c r="AI43" s="413"/>
      <c r="AJ43" s="414"/>
      <c r="AK43" s="418" t="str">
        <f>$AL$41</f>
        <v>1</v>
      </c>
      <c r="AL43" s="418" t="str">
        <f t="shared" ref="AL43:BB58" si="10">$AL$41</f>
        <v>1</v>
      </c>
      <c r="AM43" s="418" t="str">
        <f t="shared" si="10"/>
        <v>1</v>
      </c>
      <c r="AN43" s="418" t="str">
        <f t="shared" si="10"/>
        <v>1</v>
      </c>
      <c r="AO43" s="418" t="str">
        <f t="shared" si="10"/>
        <v>1</v>
      </c>
      <c r="AP43" s="418" t="str">
        <f t="shared" si="10"/>
        <v>1</v>
      </c>
      <c r="AQ43" s="418" t="str">
        <f t="shared" si="10"/>
        <v>1</v>
      </c>
      <c r="AR43" s="418" t="str">
        <f t="shared" si="10"/>
        <v>1</v>
      </c>
      <c r="AS43" s="418" t="str">
        <f t="shared" si="10"/>
        <v>1</v>
      </c>
      <c r="AT43" s="418" t="str">
        <f t="shared" si="10"/>
        <v>1</v>
      </c>
      <c r="AU43" s="418" t="str">
        <f t="shared" si="10"/>
        <v>1</v>
      </c>
      <c r="AV43" s="418" t="str">
        <f t="shared" si="10"/>
        <v>1</v>
      </c>
      <c r="AW43" s="418" t="str">
        <f t="shared" si="10"/>
        <v>1</v>
      </c>
      <c r="AX43" s="418" t="str">
        <f t="shared" si="10"/>
        <v>1</v>
      </c>
      <c r="AY43" s="418" t="str">
        <f t="shared" si="10"/>
        <v>1</v>
      </c>
      <c r="AZ43" s="418" t="str">
        <f t="shared" si="10"/>
        <v>1</v>
      </c>
      <c r="BA43" s="418" t="str">
        <f t="shared" si="10"/>
        <v>1</v>
      </c>
      <c r="BB43" s="418" t="str">
        <f t="shared" si="10"/>
        <v>1</v>
      </c>
      <c r="BC43" s="409"/>
      <c r="BD43" s="418" t="str">
        <f t="shared" si="7"/>
        <v>1</v>
      </c>
      <c r="BE43" s="409"/>
      <c r="BF43" s="418" t="str">
        <f t="shared" si="4"/>
        <v>1</v>
      </c>
      <c r="BG43" s="409"/>
      <c r="BH43" s="418" t="str">
        <f t="shared" si="8"/>
        <v>1</v>
      </c>
      <c r="BI43" s="266"/>
      <c r="BJ43" s="265"/>
    </row>
    <row r="44" spans="1:62" ht="14.4" customHeight="1">
      <c r="A44" s="265"/>
      <c r="B44" s="289"/>
      <c r="C44" s="289"/>
      <c r="D44" s="418" t="str">
        <f t="shared" si="2"/>
        <v>1</v>
      </c>
      <c r="E44" s="418"/>
      <c r="F44" s="418" t="str">
        <f t="shared" si="3"/>
        <v>1</v>
      </c>
      <c r="G44" s="418"/>
      <c r="H44" s="419" t="str">
        <f t="shared" si="5"/>
        <v>1</v>
      </c>
      <c r="I44" s="418"/>
      <c r="J44" s="419" t="str">
        <f t="shared" si="9"/>
        <v>1</v>
      </c>
      <c r="K44" s="418"/>
      <c r="L44" s="418"/>
      <c r="M44" s="418"/>
      <c r="N44" s="418"/>
      <c r="O44" s="418"/>
      <c r="P44" s="418"/>
      <c r="Q44" s="418"/>
      <c r="R44" s="418"/>
      <c r="S44" s="418"/>
      <c r="T44" s="418"/>
      <c r="U44" s="418"/>
      <c r="V44" s="418"/>
      <c r="W44" s="289"/>
      <c r="X44" s="289"/>
      <c r="Y44" s="289"/>
      <c r="Z44" s="397"/>
      <c r="AA44" s="399" t="str">
        <f>IF(Y40="","",VLOOKUP(Y40,big_tabela,4,0))</f>
        <v/>
      </c>
      <c r="AB44" s="400"/>
      <c r="AC44" s="634" t="str">
        <f>IF(Y40="","","anemostat")</f>
        <v>anemostat</v>
      </c>
      <c r="AD44" s="416" t="str">
        <f>IF(Y40="","","x"&amp;VLOOKUP(Y40,big_tabela,23,0))</f>
        <v>x1</v>
      </c>
      <c r="AE44" s="289"/>
      <c r="AF44" s="395"/>
      <c r="AG44" s="398" t="str">
        <f>IF(AK40="","",VLOOKUP(AK40,big_tabela,4,0))</f>
        <v/>
      </c>
      <c r="AH44" s="417"/>
      <c r="AI44" s="635" t="str">
        <f>IF(AK40="","","anemostat")</f>
        <v>anemostat</v>
      </c>
      <c r="AJ44" s="414" t="str">
        <f>IF(AK40="","","x"&amp;VLOOKUP(AK40,big_tabela,22,0))</f>
        <v>x2</v>
      </c>
      <c r="AK44" s="401"/>
      <c r="AL44" s="289"/>
      <c r="AM44" s="289"/>
      <c r="AN44" s="289"/>
      <c r="AO44" s="289"/>
      <c r="AP44" s="409"/>
      <c r="AQ44" s="409"/>
      <c r="AR44" s="409"/>
      <c r="AS44" s="409"/>
      <c r="AT44" s="409"/>
      <c r="AU44" s="409"/>
      <c r="AV44" s="409"/>
      <c r="AW44" s="409"/>
      <c r="AX44" s="409"/>
      <c r="AY44" s="409"/>
      <c r="AZ44" s="409"/>
      <c r="BA44" s="409"/>
      <c r="BB44" s="418" t="str">
        <f t="shared" si="10"/>
        <v>1</v>
      </c>
      <c r="BC44" s="409"/>
      <c r="BD44" s="418" t="str">
        <f t="shared" si="7"/>
        <v>1</v>
      </c>
      <c r="BE44" s="409"/>
      <c r="BF44" s="418" t="str">
        <f t="shared" si="4"/>
        <v>1</v>
      </c>
      <c r="BG44" s="409"/>
      <c r="BH44" s="418" t="str">
        <f t="shared" si="8"/>
        <v>1</v>
      </c>
      <c r="BI44" s="266"/>
      <c r="BJ44" s="265"/>
    </row>
    <row r="45" spans="1:62" ht="6" customHeight="1">
      <c r="A45" s="265"/>
      <c r="B45" s="289"/>
      <c r="C45" s="289"/>
      <c r="D45" s="418" t="str">
        <f t="shared" si="2"/>
        <v>1</v>
      </c>
      <c r="E45" s="418"/>
      <c r="F45" s="418" t="str">
        <f t="shared" ref="F45:F87" si="11">$X$27</f>
        <v>1</v>
      </c>
      <c r="G45" s="418"/>
      <c r="H45" s="419" t="str">
        <f t="shared" si="5"/>
        <v>1</v>
      </c>
      <c r="I45" s="418"/>
      <c r="J45" s="419" t="str">
        <f t="shared" si="9"/>
        <v>1</v>
      </c>
      <c r="K45" s="418"/>
      <c r="L45" s="418"/>
      <c r="M45" s="418"/>
      <c r="N45" s="418"/>
      <c r="O45" s="418"/>
      <c r="P45" s="418"/>
      <c r="Q45" s="418"/>
      <c r="R45" s="418"/>
      <c r="S45" s="418"/>
      <c r="T45" s="418"/>
      <c r="U45" s="418"/>
      <c r="V45" s="418"/>
      <c r="W45" s="289"/>
      <c r="X45" s="289"/>
      <c r="Y45" s="289"/>
      <c r="Z45" s="397"/>
      <c r="AA45" s="397"/>
      <c r="AB45" s="397"/>
      <c r="AC45" s="397"/>
      <c r="AD45" s="397"/>
      <c r="AE45" s="289"/>
      <c r="AF45" s="395"/>
      <c r="AG45" s="395"/>
      <c r="AH45" s="395"/>
      <c r="AI45" s="395"/>
      <c r="AJ45" s="395"/>
      <c r="AK45" s="289"/>
      <c r="AL45" s="289"/>
      <c r="AM45" s="289"/>
      <c r="AN45" s="289"/>
      <c r="AO45" s="289"/>
      <c r="AP45" s="409"/>
      <c r="AQ45" s="409"/>
      <c r="AR45" s="409"/>
      <c r="AS45" s="409"/>
      <c r="AT45" s="409"/>
      <c r="AU45" s="409"/>
      <c r="AV45" s="409"/>
      <c r="AW45" s="409"/>
      <c r="AX45" s="409"/>
      <c r="AY45" s="409"/>
      <c r="AZ45" s="409"/>
      <c r="BA45" s="409"/>
      <c r="BB45" s="418" t="str">
        <f t="shared" si="10"/>
        <v>1</v>
      </c>
      <c r="BC45" s="409"/>
      <c r="BD45" s="418" t="str">
        <f t="shared" si="7"/>
        <v>1</v>
      </c>
      <c r="BE45" s="409"/>
      <c r="BF45" s="418" t="str">
        <f t="shared" ref="BF45:BF87" si="12">$AL$27</f>
        <v>1</v>
      </c>
      <c r="BG45" s="409"/>
      <c r="BH45" s="418" t="str">
        <f t="shared" si="8"/>
        <v>1</v>
      </c>
      <c r="BI45" s="266"/>
      <c r="BJ45" s="265"/>
    </row>
    <row r="46" spans="1:62">
      <c r="A46" s="265"/>
      <c r="B46" s="289"/>
      <c r="C46" s="289"/>
      <c r="D46" s="418" t="str">
        <f t="shared" si="2"/>
        <v>1</v>
      </c>
      <c r="E46" s="418"/>
      <c r="F46" s="418" t="str">
        <f t="shared" si="11"/>
        <v>1</v>
      </c>
      <c r="G46" s="418"/>
      <c r="H46" s="419" t="str">
        <f t="shared" si="5"/>
        <v>1</v>
      </c>
      <c r="I46" s="418"/>
      <c r="J46" s="419" t="str">
        <f t="shared" si="9"/>
        <v>1</v>
      </c>
      <c r="K46" s="418"/>
      <c r="L46" s="418"/>
      <c r="M46" s="418"/>
      <c r="N46" s="418"/>
      <c r="O46" s="418"/>
      <c r="P46" s="418"/>
      <c r="Q46" s="418"/>
      <c r="R46" s="418"/>
      <c r="S46" s="418"/>
      <c r="T46" s="418"/>
      <c r="U46" s="418"/>
      <c r="V46" s="418"/>
      <c r="W46" s="289"/>
      <c r="X46" s="289"/>
      <c r="Y46" s="289"/>
      <c r="Z46" s="289"/>
      <c r="AA46" s="289"/>
      <c r="AB46" s="289"/>
      <c r="AC46" s="289"/>
      <c r="AD46" s="289"/>
      <c r="AE46" s="289"/>
      <c r="AF46" s="289"/>
      <c r="AG46" s="289"/>
      <c r="AH46" s="289"/>
      <c r="AI46" s="289"/>
      <c r="AJ46" s="289"/>
      <c r="AK46" s="289"/>
      <c r="AL46" s="289"/>
      <c r="AM46" s="289"/>
      <c r="AN46" s="289"/>
      <c r="AO46" s="289"/>
      <c r="AP46" s="409"/>
      <c r="AQ46" s="409"/>
      <c r="AR46" s="409"/>
      <c r="AS46" s="409"/>
      <c r="AT46" s="409"/>
      <c r="AU46" s="409"/>
      <c r="AV46" s="409"/>
      <c r="AW46" s="409"/>
      <c r="AX46" s="409"/>
      <c r="AY46" s="409"/>
      <c r="AZ46" s="409"/>
      <c r="BA46" s="409"/>
      <c r="BB46" s="418" t="str">
        <f t="shared" si="10"/>
        <v>1</v>
      </c>
      <c r="BC46" s="409"/>
      <c r="BD46" s="418" t="str">
        <f t="shared" si="7"/>
        <v>1</v>
      </c>
      <c r="BE46" s="409"/>
      <c r="BF46" s="418" t="str">
        <f t="shared" si="12"/>
        <v>1</v>
      </c>
      <c r="BG46" s="409"/>
      <c r="BH46" s="418" t="str">
        <f t="shared" si="8"/>
        <v>1</v>
      </c>
      <c r="BI46" s="266"/>
      <c r="BJ46" s="265"/>
    </row>
    <row r="47" spans="1:62" ht="6" customHeight="1">
      <c r="A47" s="265"/>
      <c r="B47" s="289"/>
      <c r="C47" s="289"/>
      <c r="D47" s="418" t="str">
        <f t="shared" si="2"/>
        <v>1</v>
      </c>
      <c r="E47" s="418"/>
      <c r="F47" s="418" t="str">
        <f t="shared" si="11"/>
        <v>1</v>
      </c>
      <c r="G47" s="418"/>
      <c r="H47" s="419" t="str">
        <f t="shared" si="5"/>
        <v>1</v>
      </c>
      <c r="I47" s="418"/>
      <c r="J47" s="419" t="str">
        <f t="shared" si="9"/>
        <v>1</v>
      </c>
      <c r="K47" s="418"/>
      <c r="L47" s="418"/>
      <c r="M47" s="418"/>
      <c r="N47" s="418"/>
      <c r="O47" s="418"/>
      <c r="P47" s="418"/>
      <c r="Q47" s="418"/>
      <c r="R47" s="418"/>
      <c r="S47" s="418"/>
      <c r="T47" s="418"/>
      <c r="U47" s="418"/>
      <c r="V47" s="418"/>
      <c r="W47" s="289"/>
      <c r="X47" s="289"/>
      <c r="Y47" s="789" t="str">
        <f>IF(Obliczenia!E65="10","",Obliczenia!E65)</f>
        <v>0.11</v>
      </c>
      <c r="Z47" s="397"/>
      <c r="AA47" s="397"/>
      <c r="AB47" s="397"/>
      <c r="AC47" s="397"/>
      <c r="AD47" s="397"/>
      <c r="AE47" s="289"/>
      <c r="AF47" s="395"/>
      <c r="AG47" s="395"/>
      <c r="AH47" s="395"/>
      <c r="AI47" s="395"/>
      <c r="AJ47" s="395"/>
      <c r="AK47" s="789" t="str">
        <f>IF(Obliczenia!E41="10","",Obliczenia!E41)</f>
        <v>0.8</v>
      </c>
      <c r="AL47" s="289"/>
      <c r="AM47" s="289"/>
      <c r="AN47" s="289"/>
      <c r="AO47" s="289"/>
      <c r="AP47" s="409"/>
      <c r="AQ47" s="409"/>
      <c r="AR47" s="409"/>
      <c r="AS47" s="409"/>
      <c r="AT47" s="409"/>
      <c r="AU47" s="409"/>
      <c r="AV47" s="409"/>
      <c r="AW47" s="409"/>
      <c r="AX47" s="409"/>
      <c r="AY47" s="409"/>
      <c r="AZ47" s="409"/>
      <c r="BA47" s="409"/>
      <c r="BB47" s="418" t="str">
        <f t="shared" si="10"/>
        <v>1</v>
      </c>
      <c r="BC47" s="409"/>
      <c r="BD47" s="418" t="str">
        <f t="shared" si="7"/>
        <v>1</v>
      </c>
      <c r="BE47" s="409"/>
      <c r="BF47" s="418" t="str">
        <f t="shared" si="12"/>
        <v>1</v>
      </c>
      <c r="BG47" s="409"/>
      <c r="BH47" s="418" t="str">
        <f t="shared" si="8"/>
        <v>1</v>
      </c>
      <c r="BI47" s="266"/>
      <c r="BJ47" s="265"/>
    </row>
    <row r="48" spans="1:62" ht="14.4" customHeight="1">
      <c r="A48" s="265"/>
      <c r="B48" s="289"/>
      <c r="C48" s="289"/>
      <c r="D48" s="418" t="str">
        <f t="shared" si="2"/>
        <v>1</v>
      </c>
      <c r="E48" s="418"/>
      <c r="F48" s="418" t="str">
        <f t="shared" si="11"/>
        <v>1</v>
      </c>
      <c r="G48" s="418"/>
      <c r="H48" s="419" t="str">
        <f t="shared" si="5"/>
        <v>1</v>
      </c>
      <c r="I48" s="418"/>
      <c r="J48" s="419" t="str">
        <f t="shared" si="9"/>
        <v>1</v>
      </c>
      <c r="K48" s="418"/>
      <c r="L48" s="418"/>
      <c r="M48" s="418"/>
      <c r="N48" s="418"/>
      <c r="O48" s="418"/>
      <c r="P48" s="418"/>
      <c r="Q48" s="418"/>
      <c r="R48" s="418"/>
      <c r="S48" s="418"/>
      <c r="T48" s="418"/>
      <c r="U48" s="418"/>
      <c r="V48" s="418"/>
      <c r="W48" s="289"/>
      <c r="X48" s="4" t="str">
        <f>IF(Y47&lt;&gt;"","1","")</f>
        <v>1</v>
      </c>
      <c r="Y48" s="789"/>
      <c r="Z48" s="397"/>
      <c r="AA48" s="772" t="str">
        <f>IF(Y47="","",VLOOKUP(Y47,big_tabela,3,0))</f>
        <v>Łazienka</v>
      </c>
      <c r="AB48" s="772"/>
      <c r="AC48" s="773">
        <f>IF(Y47="","",VLOOKUP(Y47,big_tabela,12,0))</f>
        <v>55</v>
      </c>
      <c r="AD48" s="774" t="s">
        <v>373</v>
      </c>
      <c r="AE48" s="289"/>
      <c r="AF48" s="395"/>
      <c r="AG48" s="783" t="str">
        <f>IF(AK47="","",VLOOKUP(AK47,big_tabela,3,0))</f>
        <v>Jadalnia - nawiew</v>
      </c>
      <c r="AH48" s="783"/>
      <c r="AI48" s="784">
        <f>IF(AK47="","",VLOOKUP(AK47,big_tabela,12,0))</f>
        <v>20</v>
      </c>
      <c r="AJ48" s="767" t="s">
        <v>373</v>
      </c>
      <c r="AK48" s="789"/>
      <c r="AL48" s="4" t="str">
        <f>IF(AK47&lt;&gt;"","1","")</f>
        <v>1</v>
      </c>
      <c r="AM48" s="289"/>
      <c r="AN48" s="289"/>
      <c r="AO48" s="289"/>
      <c r="AP48" s="409"/>
      <c r="AQ48" s="409"/>
      <c r="AR48" s="409"/>
      <c r="AS48" s="409"/>
      <c r="AT48" s="409"/>
      <c r="AU48" s="409"/>
      <c r="AV48" s="409"/>
      <c r="AW48" s="409"/>
      <c r="AX48" s="409"/>
      <c r="AY48" s="409"/>
      <c r="AZ48" s="409"/>
      <c r="BA48" s="409"/>
      <c r="BB48" s="418" t="str">
        <f t="shared" si="10"/>
        <v>1</v>
      </c>
      <c r="BC48" s="409"/>
      <c r="BD48" s="418" t="str">
        <f t="shared" si="7"/>
        <v>1</v>
      </c>
      <c r="BE48" s="409"/>
      <c r="BF48" s="418" t="str">
        <f t="shared" si="12"/>
        <v>1</v>
      </c>
      <c r="BG48" s="409"/>
      <c r="BH48" s="418" t="str">
        <f t="shared" si="8"/>
        <v>1</v>
      </c>
      <c r="BI48" s="266"/>
      <c r="BJ48" s="265"/>
    </row>
    <row r="49" spans="1:62" ht="14.4" customHeight="1">
      <c r="A49" s="265"/>
      <c r="B49" s="289"/>
      <c r="C49" s="289"/>
      <c r="D49" s="418" t="str">
        <f t="shared" si="2"/>
        <v>1</v>
      </c>
      <c r="E49" s="418"/>
      <c r="F49" s="418" t="str">
        <f t="shared" si="11"/>
        <v>1</v>
      </c>
      <c r="G49" s="418"/>
      <c r="H49" s="419" t="str">
        <f t="shared" si="5"/>
        <v>1</v>
      </c>
      <c r="I49" s="418"/>
      <c r="J49" s="419" t="str">
        <f t="shared" si="9"/>
        <v>1</v>
      </c>
      <c r="K49" s="418"/>
      <c r="L49" s="418"/>
      <c r="M49" s="418"/>
      <c r="N49" s="418"/>
      <c r="O49" s="418"/>
      <c r="P49" s="418"/>
      <c r="Q49" s="418"/>
      <c r="R49" s="418"/>
      <c r="S49" s="418"/>
      <c r="T49" s="418"/>
      <c r="U49" s="418"/>
      <c r="V49" s="418"/>
      <c r="W49" s="494" t="str">
        <f>IF(Y47="","","Φ63")</f>
        <v>Φ63</v>
      </c>
      <c r="X49" s="495" t="str">
        <f>IF(Y47="","","x"&amp;VLOOKUP(Y47,big_tabela,20,0))</f>
        <v>x3</v>
      </c>
      <c r="Y49" s="403" t="str">
        <f>IF(Y47="","","◄")</f>
        <v>◄</v>
      </c>
      <c r="Z49" s="397"/>
      <c r="AA49" s="772"/>
      <c r="AB49" s="772"/>
      <c r="AC49" s="773"/>
      <c r="AD49" s="774"/>
      <c r="AE49" s="289"/>
      <c r="AF49" s="395"/>
      <c r="AG49" s="783"/>
      <c r="AH49" s="783"/>
      <c r="AI49" s="784"/>
      <c r="AJ49" s="767"/>
      <c r="AK49" s="402" t="str">
        <f>IF(AK47="","","◄")</f>
        <v>◄</v>
      </c>
      <c r="AL49" s="494" t="str">
        <f>IF(AK47="","","Φ63")</f>
        <v>Φ63</v>
      </c>
      <c r="AM49" s="495" t="str">
        <f>IF(AK47="","","x"&amp;VLOOKUP(AK47,big_tabela,19,0))</f>
        <v>x1</v>
      </c>
      <c r="AN49" s="289"/>
      <c r="AO49" s="289"/>
      <c r="AP49" s="409"/>
      <c r="AQ49" s="409"/>
      <c r="AR49" s="409"/>
      <c r="AS49" s="409"/>
      <c r="AT49" s="409"/>
      <c r="AU49" s="409"/>
      <c r="AV49" s="409"/>
      <c r="AW49" s="409"/>
      <c r="AX49" s="409"/>
      <c r="AY49" s="409"/>
      <c r="AZ49" s="409"/>
      <c r="BA49" s="409"/>
      <c r="BB49" s="418" t="str">
        <f t="shared" si="10"/>
        <v>1</v>
      </c>
      <c r="BC49" s="409"/>
      <c r="BD49" s="418" t="str">
        <f t="shared" si="7"/>
        <v>1</v>
      </c>
      <c r="BE49" s="409"/>
      <c r="BF49" s="418" t="str">
        <f t="shared" si="12"/>
        <v>1</v>
      </c>
      <c r="BG49" s="409"/>
      <c r="BH49" s="418" t="str">
        <f t="shared" si="8"/>
        <v>1</v>
      </c>
      <c r="BI49" s="266"/>
      <c r="BJ49" s="265"/>
    </row>
    <row r="50" spans="1:62" ht="3" customHeight="1">
      <c r="A50" s="265"/>
      <c r="B50" s="289"/>
      <c r="C50" s="404"/>
      <c r="D50" s="418" t="str">
        <f t="shared" si="2"/>
        <v>1</v>
      </c>
      <c r="E50" s="418"/>
      <c r="F50" s="418" t="str">
        <f t="shared" si="11"/>
        <v>1</v>
      </c>
      <c r="G50" s="418"/>
      <c r="H50" s="419" t="str">
        <f t="shared" si="5"/>
        <v>1</v>
      </c>
      <c r="I50" s="418"/>
      <c r="J50" s="419" t="str">
        <f t="shared" si="9"/>
        <v>1</v>
      </c>
      <c r="K50" s="418"/>
      <c r="L50" s="419" t="str">
        <f t="shared" ref="L50:L87" si="13">$X$48</f>
        <v>1</v>
      </c>
      <c r="M50" s="419" t="str">
        <f t="shared" ref="M50:X50" si="14">$X$48</f>
        <v>1</v>
      </c>
      <c r="N50" s="419" t="str">
        <f t="shared" si="14"/>
        <v>1</v>
      </c>
      <c r="O50" s="419" t="str">
        <f t="shared" si="14"/>
        <v>1</v>
      </c>
      <c r="P50" s="419" t="str">
        <f t="shared" si="14"/>
        <v>1</v>
      </c>
      <c r="Q50" s="419" t="str">
        <f t="shared" si="14"/>
        <v>1</v>
      </c>
      <c r="R50" s="419" t="str">
        <f t="shared" si="14"/>
        <v>1</v>
      </c>
      <c r="S50" s="419" t="str">
        <f t="shared" si="14"/>
        <v>1</v>
      </c>
      <c r="T50" s="419" t="str">
        <f t="shared" si="14"/>
        <v>1</v>
      </c>
      <c r="U50" s="419" t="str">
        <f t="shared" si="14"/>
        <v>1</v>
      </c>
      <c r="V50" s="419" t="str">
        <f t="shared" si="14"/>
        <v>1</v>
      </c>
      <c r="W50" s="419" t="str">
        <f t="shared" si="14"/>
        <v>1</v>
      </c>
      <c r="X50" s="419" t="str">
        <f t="shared" si="14"/>
        <v>1</v>
      </c>
      <c r="Y50" s="419" t="str">
        <f>$X$48</f>
        <v>1</v>
      </c>
      <c r="Z50" s="397"/>
      <c r="AA50" s="412"/>
      <c r="AB50" s="412"/>
      <c r="AC50" s="415"/>
      <c r="AD50" s="416"/>
      <c r="AE50" s="289"/>
      <c r="AF50" s="395"/>
      <c r="AG50" s="421"/>
      <c r="AH50" s="421"/>
      <c r="AI50" s="413"/>
      <c r="AJ50" s="414"/>
      <c r="AK50" s="418" t="str">
        <f t="shared" ref="AK50:AZ50" si="15">$AL$48</f>
        <v>1</v>
      </c>
      <c r="AL50" s="418" t="str">
        <f t="shared" si="15"/>
        <v>1</v>
      </c>
      <c r="AM50" s="418" t="str">
        <f t="shared" si="15"/>
        <v>1</v>
      </c>
      <c r="AN50" s="418" t="str">
        <f t="shared" si="15"/>
        <v>1</v>
      </c>
      <c r="AO50" s="418" t="str">
        <f t="shared" si="15"/>
        <v>1</v>
      </c>
      <c r="AP50" s="418" t="str">
        <f t="shared" si="15"/>
        <v>1</v>
      </c>
      <c r="AQ50" s="418" t="str">
        <f t="shared" si="15"/>
        <v>1</v>
      </c>
      <c r="AR50" s="418" t="str">
        <f t="shared" si="15"/>
        <v>1</v>
      </c>
      <c r="AS50" s="418" t="str">
        <f t="shared" si="15"/>
        <v>1</v>
      </c>
      <c r="AT50" s="418" t="str">
        <f t="shared" si="15"/>
        <v>1</v>
      </c>
      <c r="AU50" s="418" t="str">
        <f t="shared" si="15"/>
        <v>1</v>
      </c>
      <c r="AV50" s="418" t="str">
        <f t="shared" si="15"/>
        <v>1</v>
      </c>
      <c r="AW50" s="418" t="str">
        <f t="shared" si="15"/>
        <v>1</v>
      </c>
      <c r="AX50" s="418" t="str">
        <f t="shared" si="15"/>
        <v>1</v>
      </c>
      <c r="AY50" s="418" t="str">
        <f t="shared" si="15"/>
        <v>1</v>
      </c>
      <c r="AZ50" s="418" t="str">
        <f t="shared" si="15"/>
        <v>1</v>
      </c>
      <c r="BA50" s="409"/>
      <c r="BB50" s="418" t="str">
        <f t="shared" si="10"/>
        <v>1</v>
      </c>
      <c r="BC50" s="409"/>
      <c r="BD50" s="418" t="str">
        <f t="shared" si="7"/>
        <v>1</v>
      </c>
      <c r="BE50" s="409"/>
      <c r="BF50" s="418" t="str">
        <f t="shared" si="12"/>
        <v>1</v>
      </c>
      <c r="BG50" s="409"/>
      <c r="BH50" s="418" t="str">
        <f t="shared" si="8"/>
        <v>1</v>
      </c>
      <c r="BI50" s="266"/>
      <c r="BJ50" s="265"/>
    </row>
    <row r="51" spans="1:62" ht="14.4" customHeight="1">
      <c r="A51" s="265"/>
      <c r="B51" s="289"/>
      <c r="C51" s="289"/>
      <c r="D51" s="418" t="str">
        <f t="shared" si="2"/>
        <v>1</v>
      </c>
      <c r="E51" s="418"/>
      <c r="F51" s="418" t="str">
        <f t="shared" si="11"/>
        <v>1</v>
      </c>
      <c r="G51" s="418"/>
      <c r="H51" s="419" t="str">
        <f t="shared" si="5"/>
        <v>1</v>
      </c>
      <c r="I51" s="418"/>
      <c r="J51" s="419" t="str">
        <f t="shared" si="9"/>
        <v>1</v>
      </c>
      <c r="K51" s="418"/>
      <c r="L51" s="419" t="str">
        <f t="shared" si="13"/>
        <v>1</v>
      </c>
      <c r="M51" s="418"/>
      <c r="N51" s="418"/>
      <c r="O51" s="418"/>
      <c r="P51" s="418"/>
      <c r="Q51" s="418"/>
      <c r="R51" s="418"/>
      <c r="S51" s="418"/>
      <c r="T51" s="418"/>
      <c r="U51" s="418"/>
      <c r="V51" s="418"/>
      <c r="W51" s="289"/>
      <c r="X51" s="289"/>
      <c r="Y51" s="289"/>
      <c r="Z51" s="397"/>
      <c r="AA51" s="399" t="str">
        <f>IF(Y47="","",VLOOKUP(Y47,big_tabela,4,0))</f>
        <v/>
      </c>
      <c r="AB51" s="400"/>
      <c r="AC51" s="634" t="str">
        <f>IF(Y47="","","anemostat")</f>
        <v>anemostat</v>
      </c>
      <c r="AD51" s="416" t="str">
        <f>IF(Y47="","","x"&amp;VLOOKUP(Y47,big_tabela,23,0))</f>
        <v>x1</v>
      </c>
      <c r="AE51" s="289"/>
      <c r="AF51" s="395"/>
      <c r="AG51" s="398" t="str">
        <f>IF(AK47="","",VLOOKUP(AK47,big_tabela,4,0))</f>
        <v/>
      </c>
      <c r="AH51" s="417"/>
      <c r="AI51" s="635" t="str">
        <f>IF(AK47="","","anemostat")</f>
        <v>anemostat</v>
      </c>
      <c r="AJ51" s="414" t="str">
        <f>IF(AK47="","","x"&amp;VLOOKUP(AK47,big_tabela,22,0))</f>
        <v>x1</v>
      </c>
      <c r="AK51" s="401"/>
      <c r="AL51" s="289"/>
      <c r="AM51" s="289"/>
      <c r="AN51" s="289"/>
      <c r="AO51" s="289"/>
      <c r="AP51" s="409"/>
      <c r="AQ51" s="409"/>
      <c r="AR51" s="409"/>
      <c r="AS51" s="409"/>
      <c r="AT51" s="409"/>
      <c r="AU51" s="409"/>
      <c r="AV51" s="409"/>
      <c r="AW51" s="409"/>
      <c r="AX51" s="409"/>
      <c r="AY51" s="409"/>
      <c r="AZ51" s="418" t="str">
        <f t="shared" ref="AZ51:AZ65" si="16">$AL$48</f>
        <v>1</v>
      </c>
      <c r="BA51" s="409"/>
      <c r="BB51" s="418" t="str">
        <f t="shared" si="10"/>
        <v>1</v>
      </c>
      <c r="BC51" s="409"/>
      <c r="BD51" s="418" t="str">
        <f t="shared" si="7"/>
        <v>1</v>
      </c>
      <c r="BE51" s="409"/>
      <c r="BF51" s="418" t="str">
        <f t="shared" si="12"/>
        <v>1</v>
      </c>
      <c r="BG51" s="409"/>
      <c r="BH51" s="418" t="str">
        <f t="shared" si="8"/>
        <v>1</v>
      </c>
      <c r="BI51" s="266"/>
      <c r="BJ51" s="265"/>
    </row>
    <row r="52" spans="1:62" ht="6" customHeight="1">
      <c r="A52" s="265"/>
      <c r="B52" s="289"/>
      <c r="C52" s="289"/>
      <c r="D52" s="418" t="str">
        <f t="shared" si="2"/>
        <v>1</v>
      </c>
      <c r="E52" s="418"/>
      <c r="F52" s="418" t="str">
        <f t="shared" si="11"/>
        <v>1</v>
      </c>
      <c r="G52" s="418"/>
      <c r="H52" s="419" t="str">
        <f t="shared" si="5"/>
        <v>1</v>
      </c>
      <c r="I52" s="418"/>
      <c r="J52" s="419" t="str">
        <f t="shared" si="9"/>
        <v>1</v>
      </c>
      <c r="K52" s="418"/>
      <c r="L52" s="419" t="str">
        <f t="shared" si="13"/>
        <v>1</v>
      </c>
      <c r="M52" s="418"/>
      <c r="N52" s="418"/>
      <c r="O52" s="418"/>
      <c r="P52" s="418"/>
      <c r="Q52" s="418"/>
      <c r="R52" s="418"/>
      <c r="S52" s="418"/>
      <c r="T52" s="418"/>
      <c r="U52" s="418"/>
      <c r="V52" s="418"/>
      <c r="W52" s="289"/>
      <c r="X52" s="289"/>
      <c r="Y52" s="289"/>
      <c r="Z52" s="397"/>
      <c r="AA52" s="397"/>
      <c r="AB52" s="397"/>
      <c r="AC52" s="397"/>
      <c r="AD52" s="397"/>
      <c r="AE52" s="289"/>
      <c r="AF52" s="395"/>
      <c r="AG52" s="395"/>
      <c r="AH52" s="395"/>
      <c r="AI52" s="395"/>
      <c r="AJ52" s="395"/>
      <c r="AK52" s="289"/>
      <c r="AL52" s="289"/>
      <c r="AM52" s="289"/>
      <c r="AN52" s="289"/>
      <c r="AO52" s="289"/>
      <c r="AP52" s="409"/>
      <c r="AQ52" s="409"/>
      <c r="AR52" s="409"/>
      <c r="AS52" s="409"/>
      <c r="AT52" s="409"/>
      <c r="AU52" s="409"/>
      <c r="AV52" s="409"/>
      <c r="AW52" s="409"/>
      <c r="AX52" s="409"/>
      <c r="AY52" s="409"/>
      <c r="AZ52" s="418" t="str">
        <f t="shared" si="16"/>
        <v>1</v>
      </c>
      <c r="BA52" s="409"/>
      <c r="BB52" s="418" t="str">
        <f t="shared" si="10"/>
        <v>1</v>
      </c>
      <c r="BC52" s="409"/>
      <c r="BD52" s="418" t="str">
        <f t="shared" ref="BD52:BD87" si="17">$AL$34</f>
        <v>1</v>
      </c>
      <c r="BE52" s="409"/>
      <c r="BF52" s="418" t="str">
        <f t="shared" si="12"/>
        <v>1</v>
      </c>
      <c r="BG52" s="409"/>
      <c r="BH52" s="418" t="str">
        <f t="shared" si="8"/>
        <v>1</v>
      </c>
      <c r="BI52" s="266"/>
      <c r="BJ52" s="265"/>
    </row>
    <row r="53" spans="1:62">
      <c r="A53" s="265"/>
      <c r="B53" s="289"/>
      <c r="C53" s="289"/>
      <c r="D53" s="418" t="str">
        <f t="shared" si="2"/>
        <v>1</v>
      </c>
      <c r="E53" s="418"/>
      <c r="F53" s="418" t="str">
        <f t="shared" si="11"/>
        <v>1</v>
      </c>
      <c r="G53" s="418"/>
      <c r="H53" s="419" t="str">
        <f t="shared" si="5"/>
        <v>1</v>
      </c>
      <c r="I53" s="418"/>
      <c r="J53" s="419" t="str">
        <f t="shared" si="9"/>
        <v>1</v>
      </c>
      <c r="K53" s="418"/>
      <c r="L53" s="419" t="str">
        <f t="shared" si="13"/>
        <v>1</v>
      </c>
      <c r="M53" s="418"/>
      <c r="N53" s="418"/>
      <c r="O53" s="418"/>
      <c r="P53" s="418"/>
      <c r="Q53" s="418"/>
      <c r="R53" s="418"/>
      <c r="S53" s="418"/>
      <c r="T53" s="418"/>
      <c r="U53" s="418"/>
      <c r="V53" s="418"/>
      <c r="W53" s="289"/>
      <c r="X53" s="289"/>
      <c r="Y53" s="289"/>
      <c r="Z53" s="289"/>
      <c r="AA53" s="289"/>
      <c r="AB53" s="289"/>
      <c r="AC53" s="289"/>
      <c r="AD53" s="289"/>
      <c r="AE53" s="289"/>
      <c r="AF53" s="289"/>
      <c r="AG53" s="289"/>
      <c r="AH53" s="289"/>
      <c r="AI53" s="289"/>
      <c r="AJ53" s="289"/>
      <c r="AK53" s="289"/>
      <c r="AL53" s="289"/>
      <c r="AM53" s="289"/>
      <c r="AN53" s="289"/>
      <c r="AO53" s="289"/>
      <c r="AP53" s="409"/>
      <c r="AQ53" s="409"/>
      <c r="AR53" s="409"/>
      <c r="AS53" s="409"/>
      <c r="AT53" s="409"/>
      <c r="AU53" s="409"/>
      <c r="AV53" s="409"/>
      <c r="AW53" s="409"/>
      <c r="AX53" s="409"/>
      <c r="AY53" s="409"/>
      <c r="AZ53" s="418" t="str">
        <f t="shared" si="16"/>
        <v>1</v>
      </c>
      <c r="BA53" s="409"/>
      <c r="BB53" s="418" t="str">
        <f t="shared" si="10"/>
        <v>1</v>
      </c>
      <c r="BC53" s="409"/>
      <c r="BD53" s="418" t="str">
        <f t="shared" si="17"/>
        <v>1</v>
      </c>
      <c r="BE53" s="409"/>
      <c r="BF53" s="418" t="str">
        <f t="shared" si="12"/>
        <v>1</v>
      </c>
      <c r="BG53" s="409"/>
      <c r="BH53" s="418" t="str">
        <f t="shared" si="8"/>
        <v>1</v>
      </c>
      <c r="BI53" s="266"/>
      <c r="BJ53" s="265"/>
    </row>
    <row r="54" spans="1:62" ht="6" customHeight="1">
      <c r="A54" s="265"/>
      <c r="B54" s="289"/>
      <c r="C54" s="289"/>
      <c r="D54" s="418" t="str">
        <f t="shared" si="2"/>
        <v>1</v>
      </c>
      <c r="E54" s="418"/>
      <c r="F54" s="418" t="str">
        <f t="shared" si="11"/>
        <v>1</v>
      </c>
      <c r="G54" s="418"/>
      <c r="H54" s="419" t="str">
        <f t="shared" si="5"/>
        <v>1</v>
      </c>
      <c r="I54" s="418"/>
      <c r="J54" s="419" t="str">
        <f t="shared" si="9"/>
        <v>1</v>
      </c>
      <c r="K54" s="418"/>
      <c r="L54" s="419" t="str">
        <f t="shared" si="13"/>
        <v>1</v>
      </c>
      <c r="M54" s="418"/>
      <c r="N54" s="418"/>
      <c r="O54" s="418"/>
      <c r="P54" s="418"/>
      <c r="Q54" s="418"/>
      <c r="R54" s="418"/>
      <c r="S54" s="418"/>
      <c r="T54" s="418"/>
      <c r="U54" s="418"/>
      <c r="V54" s="418"/>
      <c r="W54" s="289"/>
      <c r="X54" s="289"/>
      <c r="Y54" s="789" t="str">
        <f>IF(Obliczenia!E66="10","",Obliczenia!E66)</f>
        <v>1.2</v>
      </c>
      <c r="Z54" s="397"/>
      <c r="AA54" s="397"/>
      <c r="AB54" s="397"/>
      <c r="AC54" s="397"/>
      <c r="AD54" s="397"/>
      <c r="AE54" s="289"/>
      <c r="AF54" s="395"/>
      <c r="AG54" s="395"/>
      <c r="AH54" s="395"/>
      <c r="AI54" s="395"/>
      <c r="AJ54" s="395"/>
      <c r="AK54" s="789" t="str">
        <f>IF(Obliczenia!E42="10","",Obliczenia!E42)</f>
        <v>0.6</v>
      </c>
      <c r="AL54" s="289"/>
      <c r="AM54" s="289"/>
      <c r="AN54" s="289"/>
      <c r="AO54" s="289"/>
      <c r="AP54" s="409"/>
      <c r="AQ54" s="409"/>
      <c r="AR54" s="409"/>
      <c r="AS54" s="409"/>
      <c r="AT54" s="409"/>
      <c r="AU54" s="409"/>
      <c r="AV54" s="409"/>
      <c r="AW54" s="409"/>
      <c r="AX54" s="409"/>
      <c r="AY54" s="409"/>
      <c r="AZ54" s="418" t="str">
        <f t="shared" si="16"/>
        <v>1</v>
      </c>
      <c r="BA54" s="409"/>
      <c r="BB54" s="418" t="str">
        <f t="shared" si="10"/>
        <v>1</v>
      </c>
      <c r="BC54" s="409"/>
      <c r="BD54" s="418" t="str">
        <f t="shared" si="17"/>
        <v>1</v>
      </c>
      <c r="BE54" s="409"/>
      <c r="BF54" s="418" t="str">
        <f t="shared" si="12"/>
        <v>1</v>
      </c>
      <c r="BG54" s="409"/>
      <c r="BH54" s="418" t="str">
        <f t="shared" si="8"/>
        <v>1</v>
      </c>
      <c r="BI54" s="266"/>
      <c r="BJ54" s="265"/>
    </row>
    <row r="55" spans="1:62" ht="14.4" customHeight="1">
      <c r="A55" s="265"/>
      <c r="B55" s="289"/>
      <c r="C55" s="289"/>
      <c r="D55" s="418" t="str">
        <f t="shared" si="2"/>
        <v>1</v>
      </c>
      <c r="E55" s="418"/>
      <c r="F55" s="418" t="str">
        <f t="shared" si="11"/>
        <v>1</v>
      </c>
      <c r="G55" s="418"/>
      <c r="H55" s="419" t="str">
        <f t="shared" si="5"/>
        <v>1</v>
      </c>
      <c r="I55" s="418"/>
      <c r="J55" s="419" t="str">
        <f t="shared" si="9"/>
        <v>1</v>
      </c>
      <c r="K55" s="418"/>
      <c r="L55" s="419" t="str">
        <f t="shared" si="13"/>
        <v>1</v>
      </c>
      <c r="M55" s="418"/>
      <c r="N55" s="418"/>
      <c r="O55" s="418"/>
      <c r="P55" s="418"/>
      <c r="Q55" s="418"/>
      <c r="R55" s="418"/>
      <c r="S55" s="418"/>
      <c r="T55" s="418"/>
      <c r="U55" s="418"/>
      <c r="V55" s="418"/>
      <c r="W55" s="289"/>
      <c r="X55" s="4" t="str">
        <f>IF(Y54&lt;&gt;"","1","")</f>
        <v>1</v>
      </c>
      <c r="Y55" s="789"/>
      <c r="Z55" s="397"/>
      <c r="AA55" s="772" t="str">
        <f>IF(Y54="","",VLOOKUP(Y54,big_tabela,3,0))</f>
        <v>Łazienka</v>
      </c>
      <c r="AB55" s="772"/>
      <c r="AC55" s="773">
        <f>IF(Y54="","",VLOOKUP(Y54,big_tabela,12,0))</f>
        <v>50</v>
      </c>
      <c r="AD55" s="774" t="s">
        <v>373</v>
      </c>
      <c r="AE55" s="289"/>
      <c r="AF55" s="395"/>
      <c r="AG55" s="783" t="str">
        <f>IF(AK54="","",VLOOKUP(AK54,big_tabela,3,0))</f>
        <v>Gabinet</v>
      </c>
      <c r="AH55" s="783"/>
      <c r="AI55" s="784">
        <f>IF(AK54="","",VLOOKUP(AK54,big_tabela,12,0))</f>
        <v>30</v>
      </c>
      <c r="AJ55" s="767" t="s">
        <v>373</v>
      </c>
      <c r="AK55" s="789"/>
      <c r="AL55" s="4" t="str">
        <f>IF(AK54&lt;&gt;"","1","")</f>
        <v>1</v>
      </c>
      <c r="AM55" s="289"/>
      <c r="AN55" s="289"/>
      <c r="AO55" s="289"/>
      <c r="AP55" s="409"/>
      <c r="AQ55" s="409"/>
      <c r="AR55" s="409"/>
      <c r="AS55" s="409"/>
      <c r="AT55" s="409"/>
      <c r="AU55" s="409"/>
      <c r="AV55" s="409"/>
      <c r="AW55" s="409"/>
      <c r="AX55" s="409"/>
      <c r="AY55" s="409"/>
      <c r="AZ55" s="418" t="str">
        <f t="shared" si="16"/>
        <v>1</v>
      </c>
      <c r="BA55" s="409"/>
      <c r="BB55" s="418" t="str">
        <f t="shared" si="10"/>
        <v>1</v>
      </c>
      <c r="BC55" s="409"/>
      <c r="BD55" s="418" t="str">
        <f t="shared" si="17"/>
        <v>1</v>
      </c>
      <c r="BE55" s="409"/>
      <c r="BF55" s="418" t="str">
        <f t="shared" si="12"/>
        <v>1</v>
      </c>
      <c r="BG55" s="409"/>
      <c r="BH55" s="418" t="str">
        <f t="shared" si="8"/>
        <v>1</v>
      </c>
      <c r="BI55" s="266"/>
      <c r="BJ55" s="265"/>
    </row>
    <row r="56" spans="1:62" ht="14.4" customHeight="1">
      <c r="A56" s="265"/>
      <c r="B56" s="289"/>
      <c r="C56" s="289"/>
      <c r="D56" s="418" t="str">
        <f t="shared" si="2"/>
        <v>1</v>
      </c>
      <c r="E56" s="418"/>
      <c r="F56" s="418" t="str">
        <f t="shared" si="11"/>
        <v>1</v>
      </c>
      <c r="G56" s="418"/>
      <c r="H56" s="419" t="str">
        <f t="shared" si="5"/>
        <v>1</v>
      </c>
      <c r="I56" s="418"/>
      <c r="J56" s="419" t="str">
        <f t="shared" si="9"/>
        <v>1</v>
      </c>
      <c r="K56" s="418"/>
      <c r="L56" s="419" t="str">
        <f t="shared" si="13"/>
        <v>1</v>
      </c>
      <c r="M56" s="418"/>
      <c r="N56" s="418"/>
      <c r="O56" s="418"/>
      <c r="P56" s="418"/>
      <c r="Q56" s="418"/>
      <c r="R56" s="418"/>
      <c r="S56" s="418"/>
      <c r="T56" s="418"/>
      <c r="U56" s="418"/>
      <c r="V56" s="418"/>
      <c r="W56" s="494" t="str">
        <f>IF(Y54="","","Φ63")</f>
        <v>Φ63</v>
      </c>
      <c r="X56" s="495" t="str">
        <f>IF(Y54="","","x"&amp;VLOOKUP(Y54,big_tabela,20,0))</f>
        <v>x2</v>
      </c>
      <c r="Y56" s="403" t="str">
        <f>IF(Y54="","","◄")</f>
        <v>◄</v>
      </c>
      <c r="Z56" s="397"/>
      <c r="AA56" s="772"/>
      <c r="AB56" s="772"/>
      <c r="AC56" s="773"/>
      <c r="AD56" s="774"/>
      <c r="AE56" s="289"/>
      <c r="AF56" s="395"/>
      <c r="AG56" s="783"/>
      <c r="AH56" s="783"/>
      <c r="AI56" s="784"/>
      <c r="AJ56" s="767"/>
      <c r="AK56" s="402" t="str">
        <f>IF(AK54="","","◄")</f>
        <v>◄</v>
      </c>
      <c r="AL56" s="494" t="str">
        <f>IF(AK54="","","Φ63")</f>
        <v>Φ63</v>
      </c>
      <c r="AM56" s="495" t="str">
        <f>IF(AK54="","","x"&amp;VLOOKUP(AK54,big_tabela,19,0))</f>
        <v>x2</v>
      </c>
      <c r="AN56" s="289"/>
      <c r="AO56" s="289"/>
      <c r="AP56" s="409"/>
      <c r="AQ56" s="409"/>
      <c r="AR56" s="409"/>
      <c r="AS56" s="409"/>
      <c r="AT56" s="409"/>
      <c r="AU56" s="409"/>
      <c r="AV56" s="409"/>
      <c r="AW56" s="409"/>
      <c r="AX56" s="409"/>
      <c r="AY56" s="409"/>
      <c r="AZ56" s="418" t="str">
        <f t="shared" si="16"/>
        <v>1</v>
      </c>
      <c r="BA56" s="409"/>
      <c r="BB56" s="418" t="str">
        <f t="shared" si="10"/>
        <v>1</v>
      </c>
      <c r="BC56" s="409"/>
      <c r="BD56" s="418" t="str">
        <f t="shared" si="17"/>
        <v>1</v>
      </c>
      <c r="BE56" s="409"/>
      <c r="BF56" s="418" t="str">
        <f t="shared" si="12"/>
        <v>1</v>
      </c>
      <c r="BG56" s="409"/>
      <c r="BH56" s="418" t="str">
        <f t="shared" si="8"/>
        <v>1</v>
      </c>
      <c r="BI56" s="266"/>
      <c r="BJ56" s="265"/>
    </row>
    <row r="57" spans="1:62" ht="3" customHeight="1">
      <c r="A57" s="265"/>
      <c r="B57" s="289"/>
      <c r="C57" s="404"/>
      <c r="D57" s="418" t="str">
        <f t="shared" si="2"/>
        <v>1</v>
      </c>
      <c r="E57" s="418"/>
      <c r="F57" s="418" t="str">
        <f t="shared" si="11"/>
        <v>1</v>
      </c>
      <c r="G57" s="418"/>
      <c r="H57" s="419" t="str">
        <f t="shared" si="5"/>
        <v>1</v>
      </c>
      <c r="I57" s="418"/>
      <c r="J57" s="419" t="str">
        <f t="shared" si="9"/>
        <v>1</v>
      </c>
      <c r="K57" s="418"/>
      <c r="L57" s="419" t="str">
        <f t="shared" si="13"/>
        <v>1</v>
      </c>
      <c r="M57" s="418"/>
      <c r="N57" s="419" t="str">
        <f t="shared" ref="N57:N87" si="18">$X$55</f>
        <v>1</v>
      </c>
      <c r="O57" s="419" t="str">
        <f t="shared" ref="O57:X57" si="19">$X$55</f>
        <v>1</v>
      </c>
      <c r="P57" s="419" t="str">
        <f t="shared" si="19"/>
        <v>1</v>
      </c>
      <c r="Q57" s="419" t="str">
        <f t="shared" si="19"/>
        <v>1</v>
      </c>
      <c r="R57" s="419" t="str">
        <f t="shared" si="19"/>
        <v>1</v>
      </c>
      <c r="S57" s="419" t="str">
        <f t="shared" si="19"/>
        <v>1</v>
      </c>
      <c r="T57" s="419" t="str">
        <f t="shared" si="19"/>
        <v>1</v>
      </c>
      <c r="U57" s="419" t="str">
        <f t="shared" si="19"/>
        <v>1</v>
      </c>
      <c r="V57" s="419" t="str">
        <f t="shared" si="19"/>
        <v>1</v>
      </c>
      <c r="W57" s="419" t="str">
        <f t="shared" si="19"/>
        <v>1</v>
      </c>
      <c r="X57" s="419" t="str">
        <f t="shared" si="19"/>
        <v>1</v>
      </c>
      <c r="Y57" s="419" t="str">
        <f>$X$55</f>
        <v>1</v>
      </c>
      <c r="Z57" s="397"/>
      <c r="AA57" s="412"/>
      <c r="AB57" s="412"/>
      <c r="AC57" s="415"/>
      <c r="AD57" s="416"/>
      <c r="AE57" s="289"/>
      <c r="AF57" s="395"/>
      <c r="AG57" s="421"/>
      <c r="AH57" s="421"/>
      <c r="AI57" s="413"/>
      <c r="AJ57" s="414"/>
      <c r="AK57" s="418" t="str">
        <f t="shared" ref="AK57:AX57" si="20">$AL$55</f>
        <v>1</v>
      </c>
      <c r="AL57" s="418" t="str">
        <f t="shared" si="20"/>
        <v>1</v>
      </c>
      <c r="AM57" s="418" t="str">
        <f t="shared" si="20"/>
        <v>1</v>
      </c>
      <c r="AN57" s="418" t="str">
        <f t="shared" si="20"/>
        <v>1</v>
      </c>
      <c r="AO57" s="418" t="str">
        <f t="shared" si="20"/>
        <v>1</v>
      </c>
      <c r="AP57" s="418" t="str">
        <f t="shared" si="20"/>
        <v>1</v>
      </c>
      <c r="AQ57" s="418" t="str">
        <f t="shared" si="20"/>
        <v>1</v>
      </c>
      <c r="AR57" s="418" t="str">
        <f t="shared" si="20"/>
        <v>1</v>
      </c>
      <c r="AS57" s="418" t="str">
        <f t="shared" si="20"/>
        <v>1</v>
      </c>
      <c r="AT57" s="418" t="str">
        <f t="shared" si="20"/>
        <v>1</v>
      </c>
      <c r="AU57" s="418" t="str">
        <f t="shared" si="20"/>
        <v>1</v>
      </c>
      <c r="AV57" s="418" t="str">
        <f t="shared" si="20"/>
        <v>1</v>
      </c>
      <c r="AW57" s="418" t="str">
        <f t="shared" si="20"/>
        <v>1</v>
      </c>
      <c r="AX57" s="418" t="str">
        <f t="shared" si="20"/>
        <v>1</v>
      </c>
      <c r="AY57" s="409"/>
      <c r="AZ57" s="418" t="str">
        <f t="shared" si="16"/>
        <v>1</v>
      </c>
      <c r="BA57" s="409"/>
      <c r="BB57" s="418" t="str">
        <f t="shared" si="10"/>
        <v>1</v>
      </c>
      <c r="BC57" s="409"/>
      <c r="BD57" s="418" t="str">
        <f t="shared" si="17"/>
        <v>1</v>
      </c>
      <c r="BE57" s="409"/>
      <c r="BF57" s="418" t="str">
        <f t="shared" si="12"/>
        <v>1</v>
      </c>
      <c r="BG57" s="409"/>
      <c r="BH57" s="418" t="str">
        <f t="shared" si="8"/>
        <v>1</v>
      </c>
      <c r="BI57" s="266"/>
      <c r="BJ57" s="265"/>
    </row>
    <row r="58" spans="1:62" ht="14.4" customHeight="1">
      <c r="A58" s="265"/>
      <c r="B58" s="289"/>
      <c r="C58" s="289"/>
      <c r="D58" s="418" t="str">
        <f t="shared" si="2"/>
        <v>1</v>
      </c>
      <c r="E58" s="418"/>
      <c r="F58" s="418" t="str">
        <f t="shared" si="11"/>
        <v>1</v>
      </c>
      <c r="G58" s="418"/>
      <c r="H58" s="419" t="str">
        <f t="shared" si="5"/>
        <v>1</v>
      </c>
      <c r="I58" s="418"/>
      <c r="J58" s="419" t="str">
        <f t="shared" si="9"/>
        <v>1</v>
      </c>
      <c r="K58" s="418"/>
      <c r="L58" s="419" t="str">
        <f t="shared" si="13"/>
        <v>1</v>
      </c>
      <c r="M58" s="418"/>
      <c r="N58" s="419" t="str">
        <f t="shared" si="18"/>
        <v>1</v>
      </c>
      <c r="O58" s="418"/>
      <c r="P58" s="418"/>
      <c r="Q58" s="418"/>
      <c r="R58" s="418"/>
      <c r="S58" s="418"/>
      <c r="T58" s="418"/>
      <c r="U58" s="418"/>
      <c r="V58" s="418"/>
      <c r="W58" s="289"/>
      <c r="X58" s="289"/>
      <c r="Y58" s="289"/>
      <c r="Z58" s="397"/>
      <c r="AA58" s="399" t="str">
        <f>IF(Y54="","",VLOOKUP(Y54,big_tabela,4,0))</f>
        <v/>
      </c>
      <c r="AB58" s="400"/>
      <c r="AC58" s="634" t="str">
        <f>IF(Y54="","","anemostat")</f>
        <v>anemostat</v>
      </c>
      <c r="AD58" s="416" t="str">
        <f>IF(Y54="","","x"&amp;VLOOKUP(Y54,big_tabela,23,0))</f>
        <v>x1</v>
      </c>
      <c r="AE58" s="289"/>
      <c r="AF58" s="395"/>
      <c r="AG58" s="398" t="str">
        <f>IF(AK54="","",VLOOKUP(AK54,big_tabela,4,0))</f>
        <v/>
      </c>
      <c r="AH58" s="417"/>
      <c r="AI58" s="635" t="str">
        <f>IF(AK54="","","anemostat")</f>
        <v>anemostat</v>
      </c>
      <c r="AJ58" s="414" t="str">
        <f>IF(AK54="","","x"&amp;VLOOKUP(AK54,big_tabela,22,0))</f>
        <v>x1</v>
      </c>
      <c r="AK58" s="401"/>
      <c r="AL58" s="289"/>
      <c r="AM58" s="289"/>
      <c r="AN58" s="289"/>
      <c r="AO58" s="289"/>
      <c r="AP58" s="409"/>
      <c r="AQ58" s="409"/>
      <c r="AR58" s="409"/>
      <c r="AS58" s="409"/>
      <c r="AT58" s="409"/>
      <c r="AU58" s="409"/>
      <c r="AV58" s="409"/>
      <c r="AW58" s="409"/>
      <c r="AX58" s="418" t="str">
        <f t="shared" ref="AX58:AX72" si="21">$AL$55</f>
        <v>1</v>
      </c>
      <c r="AY58" s="409"/>
      <c r="AZ58" s="418" t="str">
        <f t="shared" si="16"/>
        <v>1</v>
      </c>
      <c r="BA58" s="409"/>
      <c r="BB58" s="418" t="str">
        <f t="shared" si="10"/>
        <v>1</v>
      </c>
      <c r="BC58" s="409"/>
      <c r="BD58" s="418" t="str">
        <f t="shared" si="17"/>
        <v>1</v>
      </c>
      <c r="BE58" s="409"/>
      <c r="BF58" s="418" t="str">
        <f t="shared" si="12"/>
        <v>1</v>
      </c>
      <c r="BG58" s="409"/>
      <c r="BH58" s="418" t="str">
        <f t="shared" si="8"/>
        <v>1</v>
      </c>
      <c r="BI58" s="266"/>
      <c r="BJ58" s="265"/>
    </row>
    <row r="59" spans="1:62" ht="6" customHeight="1">
      <c r="A59" s="265"/>
      <c r="B59" s="289"/>
      <c r="C59" s="289"/>
      <c r="D59" s="418" t="str">
        <f t="shared" si="2"/>
        <v>1</v>
      </c>
      <c r="E59" s="418"/>
      <c r="F59" s="418" t="str">
        <f t="shared" si="11"/>
        <v>1</v>
      </c>
      <c r="G59" s="418"/>
      <c r="H59" s="419" t="str">
        <f t="shared" si="5"/>
        <v>1</v>
      </c>
      <c r="I59" s="418"/>
      <c r="J59" s="419" t="str">
        <f t="shared" ref="J59:J87" si="22">$X$41</f>
        <v>1</v>
      </c>
      <c r="K59" s="418"/>
      <c r="L59" s="419" t="str">
        <f t="shared" si="13"/>
        <v>1</v>
      </c>
      <c r="M59" s="418"/>
      <c r="N59" s="419" t="str">
        <f t="shared" si="18"/>
        <v>1</v>
      </c>
      <c r="O59" s="418"/>
      <c r="P59" s="418"/>
      <c r="Q59" s="418"/>
      <c r="R59" s="418"/>
      <c r="S59" s="418"/>
      <c r="T59" s="418"/>
      <c r="U59" s="418"/>
      <c r="V59" s="418"/>
      <c r="W59" s="289"/>
      <c r="X59" s="289"/>
      <c r="Y59" s="418"/>
      <c r="Z59" s="397"/>
      <c r="AA59" s="397"/>
      <c r="AB59" s="397"/>
      <c r="AC59" s="397"/>
      <c r="AD59" s="397"/>
      <c r="AE59" s="289"/>
      <c r="AF59" s="395"/>
      <c r="AG59" s="395"/>
      <c r="AH59" s="395"/>
      <c r="AI59" s="395"/>
      <c r="AJ59" s="395"/>
      <c r="AK59" s="289"/>
      <c r="AL59" s="289"/>
      <c r="AM59" s="289"/>
      <c r="AN59" s="289"/>
      <c r="AO59" s="289"/>
      <c r="AP59" s="409"/>
      <c r="AQ59" s="409"/>
      <c r="AR59" s="409"/>
      <c r="AS59" s="409"/>
      <c r="AT59" s="409"/>
      <c r="AU59" s="409"/>
      <c r="AV59" s="409"/>
      <c r="AW59" s="409"/>
      <c r="AX59" s="418" t="str">
        <f t="shared" si="21"/>
        <v>1</v>
      </c>
      <c r="AY59" s="409"/>
      <c r="AZ59" s="418" t="str">
        <f t="shared" si="16"/>
        <v>1</v>
      </c>
      <c r="BA59" s="409"/>
      <c r="BB59" s="418" t="str">
        <f t="shared" ref="BB59:BB87" si="23">$AL$41</f>
        <v>1</v>
      </c>
      <c r="BC59" s="409"/>
      <c r="BD59" s="418" t="str">
        <f t="shared" si="17"/>
        <v>1</v>
      </c>
      <c r="BE59" s="409"/>
      <c r="BF59" s="418" t="str">
        <f t="shared" si="12"/>
        <v>1</v>
      </c>
      <c r="BG59" s="409"/>
      <c r="BH59" s="418" t="str">
        <f t="shared" si="8"/>
        <v>1</v>
      </c>
      <c r="BI59" s="266"/>
      <c r="BJ59" s="265"/>
    </row>
    <row r="60" spans="1:62">
      <c r="A60" s="265"/>
      <c r="B60" s="289"/>
      <c r="C60" s="289"/>
      <c r="D60" s="418" t="str">
        <f t="shared" si="2"/>
        <v>1</v>
      </c>
      <c r="E60" s="418"/>
      <c r="F60" s="418" t="str">
        <f t="shared" si="11"/>
        <v>1</v>
      </c>
      <c r="G60" s="418"/>
      <c r="H60" s="419" t="str">
        <f t="shared" si="5"/>
        <v>1</v>
      </c>
      <c r="I60" s="418"/>
      <c r="J60" s="419" t="str">
        <f t="shared" si="22"/>
        <v>1</v>
      </c>
      <c r="K60" s="418"/>
      <c r="L60" s="419" t="str">
        <f t="shared" si="13"/>
        <v>1</v>
      </c>
      <c r="M60" s="418"/>
      <c r="N60" s="419" t="str">
        <f t="shared" si="18"/>
        <v>1</v>
      </c>
      <c r="O60" s="418"/>
      <c r="P60" s="418"/>
      <c r="Q60" s="418"/>
      <c r="R60" s="418"/>
      <c r="S60" s="418"/>
      <c r="T60" s="418"/>
      <c r="U60" s="418"/>
      <c r="V60" s="418"/>
      <c r="W60" s="289"/>
      <c r="X60" s="289"/>
      <c r="Y60" s="289"/>
      <c r="Z60" s="289"/>
      <c r="AA60" s="289"/>
      <c r="AB60" s="289"/>
      <c r="AC60" s="289"/>
      <c r="AD60" s="289"/>
      <c r="AE60" s="289"/>
      <c r="AF60" s="289"/>
      <c r="AG60" s="289"/>
      <c r="AH60" s="289"/>
      <c r="AI60" s="289"/>
      <c r="AJ60" s="289"/>
      <c r="AK60" s="289"/>
      <c r="AL60" s="289"/>
      <c r="AM60" s="289"/>
      <c r="AN60" s="289"/>
      <c r="AO60" s="289"/>
      <c r="AP60" s="409"/>
      <c r="AQ60" s="409"/>
      <c r="AR60" s="409"/>
      <c r="AS60" s="409"/>
      <c r="AT60" s="409"/>
      <c r="AU60" s="409"/>
      <c r="AV60" s="409"/>
      <c r="AW60" s="409"/>
      <c r="AX60" s="418" t="str">
        <f t="shared" si="21"/>
        <v>1</v>
      </c>
      <c r="AY60" s="409"/>
      <c r="AZ60" s="418" t="str">
        <f t="shared" si="16"/>
        <v>1</v>
      </c>
      <c r="BA60" s="409"/>
      <c r="BB60" s="418" t="str">
        <f t="shared" si="23"/>
        <v>1</v>
      </c>
      <c r="BC60" s="409"/>
      <c r="BD60" s="418" t="str">
        <f t="shared" si="17"/>
        <v>1</v>
      </c>
      <c r="BE60" s="409"/>
      <c r="BF60" s="418" t="str">
        <f t="shared" si="12"/>
        <v>1</v>
      </c>
      <c r="BG60" s="409"/>
      <c r="BH60" s="418" t="str">
        <f t="shared" si="8"/>
        <v>1</v>
      </c>
      <c r="BI60" s="266"/>
      <c r="BJ60" s="265"/>
    </row>
    <row r="61" spans="1:62" ht="6" customHeight="1">
      <c r="A61" s="265"/>
      <c r="B61" s="289"/>
      <c r="C61" s="289"/>
      <c r="D61" s="418" t="str">
        <f t="shared" si="2"/>
        <v>1</v>
      </c>
      <c r="E61" s="418"/>
      <c r="F61" s="418" t="str">
        <f t="shared" si="11"/>
        <v>1</v>
      </c>
      <c r="G61" s="418"/>
      <c r="H61" s="419" t="str">
        <f t="shared" si="5"/>
        <v>1</v>
      </c>
      <c r="I61" s="418"/>
      <c r="J61" s="419" t="str">
        <f t="shared" si="22"/>
        <v>1</v>
      </c>
      <c r="K61" s="418"/>
      <c r="L61" s="419" t="str">
        <f t="shared" si="13"/>
        <v>1</v>
      </c>
      <c r="M61" s="418"/>
      <c r="N61" s="419" t="str">
        <f t="shared" si="18"/>
        <v>1</v>
      </c>
      <c r="O61" s="418"/>
      <c r="P61" s="418"/>
      <c r="Q61" s="418"/>
      <c r="R61" s="418"/>
      <c r="S61" s="418"/>
      <c r="T61" s="418"/>
      <c r="U61" s="418"/>
      <c r="V61" s="418"/>
      <c r="W61" s="289"/>
      <c r="X61" s="289"/>
      <c r="Y61" s="789" t="str">
        <f>IF(Obliczenia!E67="10","",Obliczenia!E67)</f>
        <v>0.2</v>
      </c>
      <c r="Z61" s="397"/>
      <c r="AA61" s="397"/>
      <c r="AB61" s="397"/>
      <c r="AC61" s="397"/>
      <c r="AD61" s="397"/>
      <c r="AE61" s="289"/>
      <c r="AF61" s="395"/>
      <c r="AG61" s="395"/>
      <c r="AH61" s="395"/>
      <c r="AI61" s="395"/>
      <c r="AJ61" s="395"/>
      <c r="AK61" s="789" t="str">
        <f>IF(Obliczenia!E43="10","",Obliczenia!E43)</f>
        <v/>
      </c>
      <c r="AL61" s="289"/>
      <c r="AM61" s="289"/>
      <c r="AN61" s="289"/>
      <c r="AO61" s="289"/>
      <c r="AP61" s="409"/>
      <c r="AQ61" s="409"/>
      <c r="AR61" s="409"/>
      <c r="AS61" s="409"/>
      <c r="AT61" s="409"/>
      <c r="AU61" s="409"/>
      <c r="AV61" s="409"/>
      <c r="AW61" s="409"/>
      <c r="AX61" s="418" t="str">
        <f t="shared" si="21"/>
        <v>1</v>
      </c>
      <c r="AY61" s="409"/>
      <c r="AZ61" s="418" t="str">
        <f t="shared" si="16"/>
        <v>1</v>
      </c>
      <c r="BA61" s="409"/>
      <c r="BB61" s="418" t="str">
        <f t="shared" si="23"/>
        <v>1</v>
      </c>
      <c r="BC61" s="409"/>
      <c r="BD61" s="418" t="str">
        <f t="shared" si="17"/>
        <v>1</v>
      </c>
      <c r="BE61" s="409"/>
      <c r="BF61" s="418" t="str">
        <f t="shared" si="12"/>
        <v>1</v>
      </c>
      <c r="BG61" s="409"/>
      <c r="BH61" s="418" t="str">
        <f t="shared" si="8"/>
        <v>1</v>
      </c>
      <c r="BI61" s="266"/>
      <c r="BJ61" s="265"/>
    </row>
    <row r="62" spans="1:62" ht="14.4" customHeight="1">
      <c r="A62" s="265"/>
      <c r="B62" s="289"/>
      <c r="C62" s="289"/>
      <c r="D62" s="418" t="str">
        <f t="shared" si="2"/>
        <v>1</v>
      </c>
      <c r="E62" s="418"/>
      <c r="F62" s="418" t="str">
        <f t="shared" si="11"/>
        <v>1</v>
      </c>
      <c r="G62" s="418"/>
      <c r="H62" s="419" t="str">
        <f t="shared" si="5"/>
        <v>1</v>
      </c>
      <c r="I62" s="418"/>
      <c r="J62" s="419" t="str">
        <f t="shared" si="22"/>
        <v>1</v>
      </c>
      <c r="K62" s="418"/>
      <c r="L62" s="419" t="str">
        <f t="shared" si="13"/>
        <v>1</v>
      </c>
      <c r="M62" s="418"/>
      <c r="N62" s="419" t="str">
        <f t="shared" si="18"/>
        <v>1</v>
      </c>
      <c r="O62" s="418"/>
      <c r="P62" s="418"/>
      <c r="Q62" s="418"/>
      <c r="R62" s="418"/>
      <c r="S62" s="418"/>
      <c r="T62" s="418"/>
      <c r="U62" s="418"/>
      <c r="V62" s="418"/>
      <c r="W62" s="289"/>
      <c r="X62" s="4" t="str">
        <f>IF(Y61&lt;&gt;"","1","")</f>
        <v>1</v>
      </c>
      <c r="Y62" s="789"/>
      <c r="Z62" s="397"/>
      <c r="AA62" s="772" t="str">
        <f>IF(Y61="","",VLOOKUP(Y61,big_tabela,3,0))</f>
        <v>Kuchnia otwarta z kuchenką elektryczną</v>
      </c>
      <c r="AB62" s="772"/>
      <c r="AC62" s="773">
        <f>IF(Y61="","",VLOOKUP(Y61,big_tabela,12,0))</f>
        <v>50</v>
      </c>
      <c r="AD62" s="774" t="s">
        <v>373</v>
      </c>
      <c r="AE62" s="289"/>
      <c r="AF62" s="395"/>
      <c r="AG62" s="783" t="str">
        <f>IF(AK61="","",VLOOKUP(AK61,big_tabela,3,0))</f>
        <v/>
      </c>
      <c r="AH62" s="783"/>
      <c r="AI62" s="784" t="str">
        <f>IF(AK61="","",VLOOKUP(AK61,big_tabela,12,0))</f>
        <v/>
      </c>
      <c r="AJ62" s="767" t="s">
        <v>373</v>
      </c>
      <c r="AK62" s="789"/>
      <c r="AL62" s="4" t="str">
        <f>IF(AK61&lt;&gt;"","1","")</f>
        <v/>
      </c>
      <c r="AM62" s="289"/>
      <c r="AN62" s="289"/>
      <c r="AO62" s="289"/>
      <c r="AP62" s="409"/>
      <c r="AQ62" s="409"/>
      <c r="AR62" s="409"/>
      <c r="AS62" s="409"/>
      <c r="AT62" s="409"/>
      <c r="AU62" s="409"/>
      <c r="AV62" s="409"/>
      <c r="AW62" s="409"/>
      <c r="AX62" s="418" t="str">
        <f t="shared" si="21"/>
        <v>1</v>
      </c>
      <c r="AY62" s="409"/>
      <c r="AZ62" s="418" t="str">
        <f t="shared" si="16"/>
        <v>1</v>
      </c>
      <c r="BA62" s="409"/>
      <c r="BB62" s="418" t="str">
        <f t="shared" si="23"/>
        <v>1</v>
      </c>
      <c r="BC62" s="409"/>
      <c r="BD62" s="418" t="str">
        <f t="shared" si="17"/>
        <v>1</v>
      </c>
      <c r="BE62" s="409"/>
      <c r="BF62" s="418" t="str">
        <f t="shared" si="12"/>
        <v>1</v>
      </c>
      <c r="BG62" s="409"/>
      <c r="BH62" s="418" t="str">
        <f t="shared" si="8"/>
        <v>1</v>
      </c>
      <c r="BI62" s="266"/>
      <c r="BJ62" s="265"/>
    </row>
    <row r="63" spans="1:62" ht="14.4" customHeight="1">
      <c r="A63" s="265"/>
      <c r="B63" s="289"/>
      <c r="C63" s="289"/>
      <c r="D63" s="418" t="str">
        <f t="shared" si="2"/>
        <v>1</v>
      </c>
      <c r="E63" s="418"/>
      <c r="F63" s="418" t="str">
        <f t="shared" si="11"/>
        <v>1</v>
      </c>
      <c r="G63" s="418"/>
      <c r="H63" s="419" t="str">
        <f t="shared" si="5"/>
        <v>1</v>
      </c>
      <c r="I63" s="418"/>
      <c r="J63" s="419" t="str">
        <f t="shared" si="22"/>
        <v>1</v>
      </c>
      <c r="K63" s="418"/>
      <c r="L63" s="419" t="str">
        <f t="shared" si="13"/>
        <v>1</v>
      </c>
      <c r="M63" s="418"/>
      <c r="N63" s="419" t="str">
        <f t="shared" si="18"/>
        <v>1</v>
      </c>
      <c r="O63" s="418"/>
      <c r="P63" s="418"/>
      <c r="Q63" s="418"/>
      <c r="R63" s="418"/>
      <c r="S63" s="418"/>
      <c r="T63" s="418"/>
      <c r="U63" s="418"/>
      <c r="V63" s="418"/>
      <c r="W63" s="494" t="str">
        <f>IF(Y61="","","Φ63")</f>
        <v>Φ63</v>
      </c>
      <c r="X63" s="495" t="str">
        <f>IF(Y61="","","x"&amp;VLOOKUP(Y61,big_tabela,20,0))</f>
        <v>x2</v>
      </c>
      <c r="Y63" s="403" t="str">
        <f>IF(Y61="","","◄")</f>
        <v>◄</v>
      </c>
      <c r="Z63" s="397"/>
      <c r="AA63" s="772"/>
      <c r="AB63" s="772"/>
      <c r="AC63" s="773"/>
      <c r="AD63" s="774"/>
      <c r="AE63" s="289"/>
      <c r="AF63" s="395"/>
      <c r="AG63" s="783"/>
      <c r="AH63" s="783"/>
      <c r="AI63" s="784"/>
      <c r="AJ63" s="767"/>
      <c r="AK63" s="402" t="str">
        <f>IF(AK61="","","◄")</f>
        <v/>
      </c>
      <c r="AL63" s="650" t="str">
        <f>IF(AK61="","","Φ63")</f>
        <v/>
      </c>
      <c r="AM63" s="495" t="str">
        <f>IF(AK61="","","x"&amp;VLOOKUP(AK61,big_tabela,19,0))</f>
        <v/>
      </c>
      <c r="AN63" s="289"/>
      <c r="AO63" s="289"/>
      <c r="AP63" s="409"/>
      <c r="AQ63" s="409"/>
      <c r="AR63" s="409"/>
      <c r="AS63" s="409"/>
      <c r="AT63" s="409"/>
      <c r="AU63" s="409"/>
      <c r="AV63" s="409"/>
      <c r="AW63" s="409"/>
      <c r="AX63" s="418" t="str">
        <f t="shared" si="21"/>
        <v>1</v>
      </c>
      <c r="AY63" s="409"/>
      <c r="AZ63" s="418" t="str">
        <f t="shared" si="16"/>
        <v>1</v>
      </c>
      <c r="BA63" s="409"/>
      <c r="BB63" s="418" t="str">
        <f t="shared" si="23"/>
        <v>1</v>
      </c>
      <c r="BC63" s="409"/>
      <c r="BD63" s="418" t="str">
        <f t="shared" si="17"/>
        <v>1</v>
      </c>
      <c r="BE63" s="409"/>
      <c r="BF63" s="418" t="str">
        <f t="shared" si="12"/>
        <v>1</v>
      </c>
      <c r="BG63" s="409"/>
      <c r="BH63" s="418" t="str">
        <f t="shared" si="8"/>
        <v>1</v>
      </c>
      <c r="BI63" s="266"/>
      <c r="BJ63" s="265"/>
    </row>
    <row r="64" spans="1:62" ht="3" customHeight="1">
      <c r="A64" s="265"/>
      <c r="B64" s="289"/>
      <c r="C64" s="404"/>
      <c r="D64" s="418" t="str">
        <f t="shared" si="2"/>
        <v>1</v>
      </c>
      <c r="E64" s="418"/>
      <c r="F64" s="418" t="str">
        <f t="shared" si="11"/>
        <v>1</v>
      </c>
      <c r="G64" s="418"/>
      <c r="H64" s="419" t="str">
        <f t="shared" si="5"/>
        <v>1</v>
      </c>
      <c r="I64" s="418"/>
      <c r="J64" s="419" t="str">
        <f t="shared" si="22"/>
        <v>1</v>
      </c>
      <c r="K64" s="418"/>
      <c r="L64" s="419" t="str">
        <f t="shared" si="13"/>
        <v>1</v>
      </c>
      <c r="M64" s="418"/>
      <c r="N64" s="419" t="str">
        <f t="shared" si="18"/>
        <v>1</v>
      </c>
      <c r="O64" s="418"/>
      <c r="P64" s="418" t="str">
        <f>$X$62</f>
        <v>1</v>
      </c>
      <c r="Q64" s="418" t="str">
        <f t="shared" ref="Q64:Y64" si="24">$X$62</f>
        <v>1</v>
      </c>
      <c r="R64" s="418" t="str">
        <f t="shared" si="24"/>
        <v>1</v>
      </c>
      <c r="S64" s="418" t="str">
        <f t="shared" si="24"/>
        <v>1</v>
      </c>
      <c r="T64" s="418" t="str">
        <f t="shared" si="24"/>
        <v>1</v>
      </c>
      <c r="U64" s="418" t="str">
        <f t="shared" si="24"/>
        <v>1</v>
      </c>
      <c r="V64" s="418" t="str">
        <f t="shared" si="24"/>
        <v>1</v>
      </c>
      <c r="W64" s="418" t="str">
        <f t="shared" si="24"/>
        <v>1</v>
      </c>
      <c r="X64" s="418" t="str">
        <f t="shared" si="24"/>
        <v>1</v>
      </c>
      <c r="Y64" s="418" t="str">
        <f t="shared" si="24"/>
        <v>1</v>
      </c>
      <c r="Z64" s="397"/>
      <c r="AA64" s="412"/>
      <c r="AB64" s="412"/>
      <c r="AC64" s="415"/>
      <c r="AD64" s="416"/>
      <c r="AE64" s="289"/>
      <c r="AF64" s="395"/>
      <c r="AG64" s="421"/>
      <c r="AH64" s="421"/>
      <c r="AI64" s="413"/>
      <c r="AJ64" s="414"/>
      <c r="AK64" s="418" t="str">
        <f t="shared" ref="AK64:AV64" si="25">$AL$62</f>
        <v/>
      </c>
      <c r="AL64" s="418" t="str">
        <f t="shared" si="25"/>
        <v/>
      </c>
      <c r="AM64" s="418" t="str">
        <f t="shared" si="25"/>
        <v/>
      </c>
      <c r="AN64" s="418" t="str">
        <f t="shared" si="25"/>
        <v/>
      </c>
      <c r="AO64" s="418" t="str">
        <f t="shared" si="25"/>
        <v/>
      </c>
      <c r="AP64" s="418" t="str">
        <f t="shared" si="25"/>
        <v/>
      </c>
      <c r="AQ64" s="418" t="str">
        <f t="shared" si="25"/>
        <v/>
      </c>
      <c r="AR64" s="418" t="str">
        <f t="shared" si="25"/>
        <v/>
      </c>
      <c r="AS64" s="418" t="str">
        <f t="shared" si="25"/>
        <v/>
      </c>
      <c r="AT64" s="418" t="str">
        <f t="shared" si="25"/>
        <v/>
      </c>
      <c r="AU64" s="418" t="str">
        <f t="shared" si="25"/>
        <v/>
      </c>
      <c r="AV64" s="418" t="str">
        <f t="shared" si="25"/>
        <v/>
      </c>
      <c r="AW64" s="409"/>
      <c r="AX64" s="418" t="str">
        <f t="shared" si="21"/>
        <v>1</v>
      </c>
      <c r="AY64" s="409"/>
      <c r="AZ64" s="418" t="str">
        <f t="shared" si="16"/>
        <v>1</v>
      </c>
      <c r="BA64" s="409"/>
      <c r="BB64" s="418" t="str">
        <f t="shared" si="23"/>
        <v>1</v>
      </c>
      <c r="BC64" s="409"/>
      <c r="BD64" s="418" t="str">
        <f t="shared" si="17"/>
        <v>1</v>
      </c>
      <c r="BE64" s="409"/>
      <c r="BF64" s="418" t="str">
        <f t="shared" si="12"/>
        <v>1</v>
      </c>
      <c r="BG64" s="409"/>
      <c r="BH64" s="418" t="str">
        <f t="shared" si="8"/>
        <v>1</v>
      </c>
      <c r="BI64" s="266"/>
      <c r="BJ64" s="265"/>
    </row>
    <row r="65" spans="1:62" ht="14.4" customHeight="1">
      <c r="A65" s="265"/>
      <c r="B65" s="289"/>
      <c r="C65" s="289"/>
      <c r="D65" s="418" t="str">
        <f t="shared" si="2"/>
        <v>1</v>
      </c>
      <c r="E65" s="418"/>
      <c r="F65" s="418" t="str">
        <f t="shared" si="11"/>
        <v>1</v>
      </c>
      <c r="G65" s="418"/>
      <c r="H65" s="419" t="str">
        <f t="shared" si="5"/>
        <v>1</v>
      </c>
      <c r="I65" s="418"/>
      <c r="J65" s="419" t="str">
        <f t="shared" si="22"/>
        <v>1</v>
      </c>
      <c r="K65" s="418"/>
      <c r="L65" s="419" t="str">
        <f t="shared" si="13"/>
        <v>1</v>
      </c>
      <c r="M65" s="418"/>
      <c r="N65" s="419" t="str">
        <f t="shared" si="18"/>
        <v>1</v>
      </c>
      <c r="O65" s="418"/>
      <c r="P65" s="418" t="str">
        <f t="shared" ref="P65:P87" si="26">$X$62</f>
        <v>1</v>
      </c>
      <c r="Q65" s="418"/>
      <c r="R65" s="418"/>
      <c r="S65" s="418"/>
      <c r="T65" s="418"/>
      <c r="U65" s="418"/>
      <c r="V65" s="418"/>
      <c r="W65" s="289"/>
      <c r="X65" s="289"/>
      <c r="Y65" s="289"/>
      <c r="Z65" s="397"/>
      <c r="AA65" s="399" t="str">
        <f>IF(Y61="","",VLOOKUP(Y61,big_tabela,4,0))</f>
        <v/>
      </c>
      <c r="AB65" s="400"/>
      <c r="AC65" s="634" t="str">
        <f>IF(Y61="","","anemostat")</f>
        <v>anemostat</v>
      </c>
      <c r="AD65" s="416" t="str">
        <f>IF(Y61="","","x"&amp;VLOOKUP(Y61,big_tabela,23,0))</f>
        <v>x1</v>
      </c>
      <c r="AE65" s="289"/>
      <c r="AF65" s="395"/>
      <c r="AG65" s="398" t="str">
        <f>IF(AK61="","",VLOOKUP(AK61,big_tabela,4,0))</f>
        <v/>
      </c>
      <c r="AH65" s="417"/>
      <c r="AI65" s="635" t="str">
        <f>IF(AK61="","","anemostat")</f>
        <v/>
      </c>
      <c r="AJ65" s="414" t="str">
        <f>IF(AK61="","","x"&amp;VLOOKUP(AK61,big_tabela,22,0))</f>
        <v/>
      </c>
      <c r="AK65" s="401"/>
      <c r="AL65" s="289"/>
      <c r="AM65" s="289"/>
      <c r="AN65" s="289"/>
      <c r="AO65" s="289"/>
      <c r="AP65" s="409"/>
      <c r="AQ65" s="409"/>
      <c r="AR65" s="409"/>
      <c r="AS65" s="409"/>
      <c r="AT65" s="409"/>
      <c r="AU65" s="409"/>
      <c r="AV65" s="418" t="str">
        <f t="shared" ref="AV65:AV79" si="27">$AL$62</f>
        <v/>
      </c>
      <c r="AW65" s="409"/>
      <c r="AX65" s="418" t="str">
        <f t="shared" si="21"/>
        <v>1</v>
      </c>
      <c r="AY65" s="409"/>
      <c r="AZ65" s="418" t="str">
        <f t="shared" si="16"/>
        <v>1</v>
      </c>
      <c r="BA65" s="409"/>
      <c r="BB65" s="418" t="str">
        <f t="shared" si="23"/>
        <v>1</v>
      </c>
      <c r="BC65" s="409"/>
      <c r="BD65" s="418" t="str">
        <f t="shared" si="17"/>
        <v>1</v>
      </c>
      <c r="BE65" s="409"/>
      <c r="BF65" s="418" t="str">
        <f t="shared" si="12"/>
        <v>1</v>
      </c>
      <c r="BG65" s="409"/>
      <c r="BH65" s="418" t="str">
        <f t="shared" si="8"/>
        <v>1</v>
      </c>
      <c r="BI65" s="266"/>
      <c r="BJ65" s="265"/>
    </row>
    <row r="66" spans="1:62" ht="6" customHeight="1">
      <c r="A66" s="265"/>
      <c r="B66" s="289"/>
      <c r="C66" s="289"/>
      <c r="D66" s="418" t="str">
        <f t="shared" si="2"/>
        <v>1</v>
      </c>
      <c r="E66" s="418"/>
      <c r="F66" s="418" t="str">
        <f t="shared" si="11"/>
        <v>1</v>
      </c>
      <c r="G66" s="418"/>
      <c r="H66" s="419" t="str">
        <f t="shared" si="5"/>
        <v>1</v>
      </c>
      <c r="I66" s="418"/>
      <c r="J66" s="419" t="str">
        <f t="shared" si="22"/>
        <v>1</v>
      </c>
      <c r="K66" s="418"/>
      <c r="L66" s="419" t="str">
        <f t="shared" si="13"/>
        <v>1</v>
      </c>
      <c r="M66" s="418"/>
      <c r="N66" s="419" t="str">
        <f t="shared" si="18"/>
        <v>1</v>
      </c>
      <c r="O66" s="418"/>
      <c r="P66" s="418" t="str">
        <f t="shared" si="26"/>
        <v>1</v>
      </c>
      <c r="Q66" s="418"/>
      <c r="R66" s="418"/>
      <c r="S66" s="418"/>
      <c r="T66" s="418"/>
      <c r="U66" s="418"/>
      <c r="V66" s="418"/>
      <c r="W66" s="289"/>
      <c r="X66" s="289"/>
      <c r="Y66" s="289"/>
      <c r="Z66" s="397"/>
      <c r="AA66" s="397"/>
      <c r="AB66" s="397"/>
      <c r="AC66" s="397"/>
      <c r="AD66" s="397"/>
      <c r="AE66" s="289"/>
      <c r="AF66" s="395"/>
      <c r="AG66" s="395"/>
      <c r="AH66" s="395"/>
      <c r="AI66" s="395"/>
      <c r="AJ66" s="395"/>
      <c r="AK66" s="289"/>
      <c r="AL66" s="289"/>
      <c r="AM66" s="289"/>
      <c r="AN66" s="289"/>
      <c r="AO66" s="289"/>
      <c r="AP66" s="409"/>
      <c r="AQ66" s="409"/>
      <c r="AR66" s="409"/>
      <c r="AS66" s="409"/>
      <c r="AT66" s="409"/>
      <c r="AU66" s="409"/>
      <c r="AV66" s="418" t="str">
        <f t="shared" si="27"/>
        <v/>
      </c>
      <c r="AW66" s="409"/>
      <c r="AX66" s="418" t="str">
        <f t="shared" si="21"/>
        <v>1</v>
      </c>
      <c r="AY66" s="409"/>
      <c r="AZ66" s="418" t="str">
        <f t="shared" ref="AZ66:AZ87" si="28">$AL$48</f>
        <v>1</v>
      </c>
      <c r="BA66" s="409"/>
      <c r="BB66" s="418" t="str">
        <f t="shared" si="23"/>
        <v>1</v>
      </c>
      <c r="BC66" s="409"/>
      <c r="BD66" s="418" t="str">
        <f t="shared" si="17"/>
        <v>1</v>
      </c>
      <c r="BE66" s="409"/>
      <c r="BF66" s="418" t="str">
        <f t="shared" si="12"/>
        <v>1</v>
      </c>
      <c r="BG66" s="409"/>
      <c r="BH66" s="418" t="str">
        <f t="shared" si="8"/>
        <v>1</v>
      </c>
      <c r="BI66" s="266"/>
      <c r="BJ66" s="265"/>
    </row>
    <row r="67" spans="1:62">
      <c r="A67" s="265"/>
      <c r="B67" s="289"/>
      <c r="C67" s="289"/>
      <c r="D67" s="418" t="str">
        <f t="shared" si="2"/>
        <v>1</v>
      </c>
      <c r="E67" s="418"/>
      <c r="F67" s="418" t="str">
        <f t="shared" si="11"/>
        <v>1</v>
      </c>
      <c r="G67" s="418"/>
      <c r="H67" s="419" t="str">
        <f t="shared" si="5"/>
        <v>1</v>
      </c>
      <c r="I67" s="418"/>
      <c r="J67" s="419" t="str">
        <f t="shared" si="22"/>
        <v>1</v>
      </c>
      <c r="K67" s="418"/>
      <c r="L67" s="419" t="str">
        <f t="shared" si="13"/>
        <v>1</v>
      </c>
      <c r="M67" s="418"/>
      <c r="N67" s="419" t="str">
        <f t="shared" si="18"/>
        <v>1</v>
      </c>
      <c r="O67" s="418"/>
      <c r="P67" s="418" t="str">
        <f t="shared" si="26"/>
        <v>1</v>
      </c>
      <c r="Q67" s="418"/>
      <c r="R67" s="418"/>
      <c r="S67" s="418"/>
      <c r="T67" s="418"/>
      <c r="U67" s="418"/>
      <c r="V67" s="418"/>
      <c r="W67" s="289"/>
      <c r="X67" s="289"/>
      <c r="Y67" s="289"/>
      <c r="Z67" s="289"/>
      <c r="AA67" s="289"/>
      <c r="AB67" s="289"/>
      <c r="AC67" s="289"/>
      <c r="AD67" s="289"/>
      <c r="AE67" s="289"/>
      <c r="AF67" s="289"/>
      <c r="AG67" s="289"/>
      <c r="AH67" s="289"/>
      <c r="AI67" s="289"/>
      <c r="AJ67" s="289"/>
      <c r="AK67" s="289"/>
      <c r="AL67" s="289"/>
      <c r="AM67" s="289"/>
      <c r="AN67" s="289"/>
      <c r="AO67" s="289"/>
      <c r="AP67" s="409"/>
      <c r="AQ67" s="409"/>
      <c r="AR67" s="409"/>
      <c r="AS67" s="409"/>
      <c r="AT67" s="409"/>
      <c r="AU67" s="409"/>
      <c r="AV67" s="418" t="str">
        <f t="shared" si="27"/>
        <v/>
      </c>
      <c r="AW67" s="409"/>
      <c r="AX67" s="418" t="str">
        <f t="shared" si="21"/>
        <v>1</v>
      </c>
      <c r="AY67" s="409"/>
      <c r="AZ67" s="418" t="str">
        <f t="shared" si="28"/>
        <v>1</v>
      </c>
      <c r="BA67" s="409"/>
      <c r="BB67" s="418" t="str">
        <f t="shared" si="23"/>
        <v>1</v>
      </c>
      <c r="BC67" s="409"/>
      <c r="BD67" s="418" t="str">
        <f t="shared" si="17"/>
        <v>1</v>
      </c>
      <c r="BE67" s="409"/>
      <c r="BF67" s="418" t="str">
        <f t="shared" si="12"/>
        <v>1</v>
      </c>
      <c r="BG67" s="409"/>
      <c r="BH67" s="418" t="str">
        <f t="shared" si="8"/>
        <v>1</v>
      </c>
      <c r="BI67" s="266"/>
      <c r="BJ67" s="265"/>
    </row>
    <row r="68" spans="1:62" ht="6" customHeight="1">
      <c r="A68" s="265"/>
      <c r="B68" s="289"/>
      <c r="C68" s="289"/>
      <c r="D68" s="418" t="str">
        <f t="shared" si="2"/>
        <v>1</v>
      </c>
      <c r="E68" s="418"/>
      <c r="F68" s="418" t="str">
        <f t="shared" si="11"/>
        <v>1</v>
      </c>
      <c r="G68" s="418"/>
      <c r="H68" s="419" t="str">
        <f t="shared" si="5"/>
        <v>1</v>
      </c>
      <c r="I68" s="418"/>
      <c r="J68" s="419" t="str">
        <f t="shared" si="22"/>
        <v>1</v>
      </c>
      <c r="K68" s="418"/>
      <c r="L68" s="419" t="str">
        <f t="shared" si="13"/>
        <v>1</v>
      </c>
      <c r="M68" s="418"/>
      <c r="N68" s="419" t="str">
        <f t="shared" si="18"/>
        <v>1</v>
      </c>
      <c r="O68" s="418"/>
      <c r="P68" s="418" t="str">
        <f t="shared" si="26"/>
        <v>1</v>
      </c>
      <c r="Q68" s="418"/>
      <c r="R68" s="418"/>
      <c r="S68" s="418"/>
      <c r="T68" s="418"/>
      <c r="U68" s="418"/>
      <c r="V68" s="418"/>
      <c r="W68" s="289"/>
      <c r="X68" s="289"/>
      <c r="Y68" s="789" t="str">
        <f>IF(Obliczenia!E68="10","",Obliczenia!E68)</f>
        <v>0.10</v>
      </c>
      <c r="Z68" s="397"/>
      <c r="AA68" s="397"/>
      <c r="AB68" s="397"/>
      <c r="AC68" s="397"/>
      <c r="AD68" s="397"/>
      <c r="AE68" s="289"/>
      <c r="AF68" s="395"/>
      <c r="AG68" s="395"/>
      <c r="AH68" s="395"/>
      <c r="AI68" s="395"/>
      <c r="AJ68" s="395"/>
      <c r="AK68" s="789" t="str">
        <f>IF(Obliczenia!E44="10","",Obliczenia!E44)</f>
        <v/>
      </c>
      <c r="AL68" s="289"/>
      <c r="AM68" s="289"/>
      <c r="AN68" s="289"/>
      <c r="AO68" s="289"/>
      <c r="AP68" s="409"/>
      <c r="AQ68" s="409"/>
      <c r="AR68" s="409"/>
      <c r="AS68" s="409"/>
      <c r="AT68" s="409"/>
      <c r="AU68" s="409"/>
      <c r="AV68" s="418" t="str">
        <f t="shared" si="27"/>
        <v/>
      </c>
      <c r="AW68" s="409"/>
      <c r="AX68" s="418" t="str">
        <f t="shared" si="21"/>
        <v>1</v>
      </c>
      <c r="AY68" s="409"/>
      <c r="AZ68" s="418" t="str">
        <f t="shared" si="28"/>
        <v>1</v>
      </c>
      <c r="BA68" s="409"/>
      <c r="BB68" s="418" t="str">
        <f t="shared" si="23"/>
        <v>1</v>
      </c>
      <c r="BC68" s="409"/>
      <c r="BD68" s="418" t="str">
        <f t="shared" si="17"/>
        <v>1</v>
      </c>
      <c r="BE68" s="409"/>
      <c r="BF68" s="418" t="str">
        <f t="shared" si="12"/>
        <v>1</v>
      </c>
      <c r="BG68" s="409"/>
      <c r="BH68" s="418" t="str">
        <f t="shared" si="8"/>
        <v>1</v>
      </c>
      <c r="BI68" s="266"/>
      <c r="BJ68" s="265"/>
    </row>
    <row r="69" spans="1:62" ht="14.4" customHeight="1">
      <c r="A69" s="265"/>
      <c r="B69" s="289"/>
      <c r="C69" s="289"/>
      <c r="D69" s="418" t="str">
        <f t="shared" si="2"/>
        <v>1</v>
      </c>
      <c r="E69" s="418"/>
      <c r="F69" s="418" t="str">
        <f t="shared" si="11"/>
        <v>1</v>
      </c>
      <c r="G69" s="418"/>
      <c r="H69" s="419" t="str">
        <f t="shared" si="5"/>
        <v>1</v>
      </c>
      <c r="I69" s="418"/>
      <c r="J69" s="419" t="str">
        <f t="shared" si="22"/>
        <v>1</v>
      </c>
      <c r="K69" s="418"/>
      <c r="L69" s="419" t="str">
        <f t="shared" si="13"/>
        <v>1</v>
      </c>
      <c r="M69" s="418"/>
      <c r="N69" s="419" t="str">
        <f t="shared" si="18"/>
        <v>1</v>
      </c>
      <c r="O69" s="418"/>
      <c r="P69" s="418" t="str">
        <f t="shared" si="26"/>
        <v>1</v>
      </c>
      <c r="Q69" s="418"/>
      <c r="R69" s="418"/>
      <c r="S69" s="418"/>
      <c r="T69" s="418"/>
      <c r="U69" s="418"/>
      <c r="V69" s="418"/>
      <c r="W69" s="289"/>
      <c r="X69" s="4" t="str">
        <f>IF(Y68&lt;&gt;"","1","")</f>
        <v>1</v>
      </c>
      <c r="Y69" s="789"/>
      <c r="Z69" s="397"/>
      <c r="AA69" s="772" t="str">
        <f>IF(Y68="","",VLOOKUP(Y68,big_tabela,3,0))</f>
        <v>Garderoba</v>
      </c>
      <c r="AB69" s="772"/>
      <c r="AC69" s="773">
        <f>IF(Y68="","",VLOOKUP(Y68,big_tabela,12,0))</f>
        <v>30</v>
      </c>
      <c r="AD69" s="774" t="s">
        <v>373</v>
      </c>
      <c r="AE69" s="289"/>
      <c r="AF69" s="395"/>
      <c r="AG69" s="783" t="str">
        <f>IF(AK68="","",VLOOKUP(AK68,big_tabela,3,0))</f>
        <v/>
      </c>
      <c r="AH69" s="783"/>
      <c r="AI69" s="784" t="str">
        <f>IF(AK68="","",VLOOKUP(AK68,big_tabela,12,0))</f>
        <v/>
      </c>
      <c r="AJ69" s="767" t="s">
        <v>373</v>
      </c>
      <c r="AK69" s="789"/>
      <c r="AL69" s="4" t="str">
        <f>IF(AK68&lt;&gt;"","1","")</f>
        <v/>
      </c>
      <c r="AM69" s="289"/>
      <c r="AN69" s="289"/>
      <c r="AO69" s="289"/>
      <c r="AP69" s="409"/>
      <c r="AQ69" s="409"/>
      <c r="AR69" s="409"/>
      <c r="AS69" s="409"/>
      <c r="AT69" s="409"/>
      <c r="AU69" s="409"/>
      <c r="AV69" s="418" t="str">
        <f t="shared" si="27"/>
        <v/>
      </c>
      <c r="AW69" s="409"/>
      <c r="AX69" s="418" t="str">
        <f t="shared" si="21"/>
        <v>1</v>
      </c>
      <c r="AY69" s="409"/>
      <c r="AZ69" s="418" t="str">
        <f t="shared" si="28"/>
        <v>1</v>
      </c>
      <c r="BA69" s="409"/>
      <c r="BB69" s="418" t="str">
        <f t="shared" si="23"/>
        <v>1</v>
      </c>
      <c r="BC69" s="409"/>
      <c r="BD69" s="418" t="str">
        <f t="shared" si="17"/>
        <v>1</v>
      </c>
      <c r="BE69" s="409"/>
      <c r="BF69" s="418" t="str">
        <f t="shared" si="12"/>
        <v>1</v>
      </c>
      <c r="BG69" s="409"/>
      <c r="BH69" s="418" t="str">
        <f t="shared" si="8"/>
        <v>1</v>
      </c>
      <c r="BI69" s="266"/>
      <c r="BJ69" s="265"/>
    </row>
    <row r="70" spans="1:62" ht="14.4" customHeight="1">
      <c r="A70" s="265"/>
      <c r="B70" s="289"/>
      <c r="C70" s="289"/>
      <c r="D70" s="418" t="str">
        <f t="shared" si="2"/>
        <v>1</v>
      </c>
      <c r="E70" s="418"/>
      <c r="F70" s="418" t="str">
        <f t="shared" si="11"/>
        <v>1</v>
      </c>
      <c r="G70" s="418"/>
      <c r="H70" s="419" t="str">
        <f t="shared" si="5"/>
        <v>1</v>
      </c>
      <c r="I70" s="418"/>
      <c r="J70" s="419" t="str">
        <f t="shared" si="22"/>
        <v>1</v>
      </c>
      <c r="K70" s="418"/>
      <c r="L70" s="419" t="str">
        <f t="shared" si="13"/>
        <v>1</v>
      </c>
      <c r="M70" s="418"/>
      <c r="N70" s="419" t="str">
        <f t="shared" si="18"/>
        <v>1</v>
      </c>
      <c r="O70" s="418"/>
      <c r="P70" s="418" t="str">
        <f t="shared" si="26"/>
        <v>1</v>
      </c>
      <c r="Q70" s="418"/>
      <c r="R70" s="418"/>
      <c r="S70" s="418"/>
      <c r="T70" s="418"/>
      <c r="U70" s="418"/>
      <c r="V70" s="418"/>
      <c r="W70" s="494" t="str">
        <f>IF(Y68="","","Φ63")</f>
        <v>Φ63</v>
      </c>
      <c r="X70" s="495" t="str">
        <f>IF(Y68="","","x"&amp;VLOOKUP(Y68,big_tabela,20,0))</f>
        <v>x2</v>
      </c>
      <c r="Y70" s="403" t="str">
        <f>IF(Y68="","","◄")</f>
        <v>◄</v>
      </c>
      <c r="Z70" s="397"/>
      <c r="AA70" s="772"/>
      <c r="AB70" s="772"/>
      <c r="AC70" s="773"/>
      <c r="AD70" s="774"/>
      <c r="AE70" s="289"/>
      <c r="AF70" s="395"/>
      <c r="AG70" s="783"/>
      <c r="AH70" s="783"/>
      <c r="AI70" s="784"/>
      <c r="AJ70" s="767"/>
      <c r="AK70" s="402" t="str">
        <f>IF(AK68="","","◄")</f>
        <v/>
      </c>
      <c r="AL70" s="494" t="str">
        <f>IF(AK68="","","Φ63")</f>
        <v/>
      </c>
      <c r="AM70" s="495" t="str">
        <f>IF(AK68="","","x"&amp;VLOOKUP(AK68,big_tabela,19,0))</f>
        <v/>
      </c>
      <c r="AN70" s="289"/>
      <c r="AO70" s="289"/>
      <c r="AP70" s="409"/>
      <c r="AQ70" s="409"/>
      <c r="AR70" s="409"/>
      <c r="AS70" s="409"/>
      <c r="AT70" s="409"/>
      <c r="AU70" s="409"/>
      <c r="AV70" s="418" t="str">
        <f t="shared" si="27"/>
        <v/>
      </c>
      <c r="AW70" s="409"/>
      <c r="AX70" s="418" t="str">
        <f t="shared" si="21"/>
        <v>1</v>
      </c>
      <c r="AY70" s="409"/>
      <c r="AZ70" s="418" t="str">
        <f t="shared" si="28"/>
        <v>1</v>
      </c>
      <c r="BA70" s="409"/>
      <c r="BB70" s="418" t="str">
        <f t="shared" si="23"/>
        <v>1</v>
      </c>
      <c r="BC70" s="409"/>
      <c r="BD70" s="418" t="str">
        <f t="shared" si="17"/>
        <v>1</v>
      </c>
      <c r="BE70" s="409"/>
      <c r="BF70" s="418" t="str">
        <f t="shared" si="12"/>
        <v>1</v>
      </c>
      <c r="BG70" s="409"/>
      <c r="BH70" s="418" t="str">
        <f t="shared" si="8"/>
        <v>1</v>
      </c>
      <c r="BI70" s="266"/>
      <c r="BJ70" s="265"/>
    </row>
    <row r="71" spans="1:62" ht="3" customHeight="1">
      <c r="A71" s="265"/>
      <c r="B71" s="289"/>
      <c r="C71" s="404"/>
      <c r="D71" s="418" t="str">
        <f t="shared" si="2"/>
        <v>1</v>
      </c>
      <c r="E71" s="418"/>
      <c r="F71" s="418" t="str">
        <f t="shared" si="11"/>
        <v>1</v>
      </c>
      <c r="G71" s="418"/>
      <c r="H71" s="419" t="str">
        <f t="shared" si="5"/>
        <v>1</v>
      </c>
      <c r="I71" s="418"/>
      <c r="J71" s="419" t="str">
        <f t="shared" si="22"/>
        <v>1</v>
      </c>
      <c r="K71" s="418"/>
      <c r="L71" s="419" t="str">
        <f t="shared" si="13"/>
        <v>1</v>
      </c>
      <c r="M71" s="418"/>
      <c r="N71" s="419" t="str">
        <f t="shared" si="18"/>
        <v>1</v>
      </c>
      <c r="O71" s="418"/>
      <c r="P71" s="418" t="str">
        <f t="shared" si="26"/>
        <v>1</v>
      </c>
      <c r="Q71" s="418"/>
      <c r="R71" s="418" t="str">
        <f t="shared" ref="R71:R87" si="29">$X$69</f>
        <v>1</v>
      </c>
      <c r="S71" s="418" t="str">
        <f t="shared" ref="S71:X71" si="30">$X$69</f>
        <v>1</v>
      </c>
      <c r="T71" s="418" t="str">
        <f t="shared" si="30"/>
        <v>1</v>
      </c>
      <c r="U71" s="418" t="str">
        <f t="shared" si="30"/>
        <v>1</v>
      </c>
      <c r="V71" s="418" t="str">
        <f t="shared" si="30"/>
        <v>1</v>
      </c>
      <c r="W71" s="418" t="str">
        <f t="shared" si="30"/>
        <v>1</v>
      </c>
      <c r="X71" s="418" t="str">
        <f t="shared" si="30"/>
        <v>1</v>
      </c>
      <c r="Y71" s="418" t="str">
        <f>$X$69</f>
        <v>1</v>
      </c>
      <c r="Z71" s="397"/>
      <c r="AA71" s="412"/>
      <c r="AB71" s="412"/>
      <c r="AC71" s="415"/>
      <c r="AD71" s="416"/>
      <c r="AE71" s="289"/>
      <c r="AF71" s="395"/>
      <c r="AG71" s="421"/>
      <c r="AH71" s="421"/>
      <c r="AI71" s="413"/>
      <c r="AJ71" s="414"/>
      <c r="AK71" s="418" t="str">
        <f t="shared" ref="AK71:AT71" si="31">$AL$69</f>
        <v/>
      </c>
      <c r="AL71" s="418" t="str">
        <f t="shared" si="31"/>
        <v/>
      </c>
      <c r="AM71" s="418" t="str">
        <f t="shared" si="31"/>
        <v/>
      </c>
      <c r="AN71" s="418" t="str">
        <f t="shared" si="31"/>
        <v/>
      </c>
      <c r="AO71" s="418" t="str">
        <f t="shared" si="31"/>
        <v/>
      </c>
      <c r="AP71" s="418" t="str">
        <f t="shared" si="31"/>
        <v/>
      </c>
      <c r="AQ71" s="418" t="str">
        <f t="shared" si="31"/>
        <v/>
      </c>
      <c r="AR71" s="418" t="str">
        <f t="shared" si="31"/>
        <v/>
      </c>
      <c r="AS71" s="418" t="str">
        <f t="shared" si="31"/>
        <v/>
      </c>
      <c r="AT71" s="418" t="str">
        <f t="shared" si="31"/>
        <v/>
      </c>
      <c r="AU71" s="409"/>
      <c r="AV71" s="418" t="str">
        <f t="shared" si="27"/>
        <v/>
      </c>
      <c r="AW71" s="409"/>
      <c r="AX71" s="418" t="str">
        <f t="shared" si="21"/>
        <v>1</v>
      </c>
      <c r="AY71" s="409"/>
      <c r="AZ71" s="418" t="str">
        <f t="shared" si="28"/>
        <v>1</v>
      </c>
      <c r="BA71" s="409"/>
      <c r="BB71" s="418" t="str">
        <f t="shared" si="23"/>
        <v>1</v>
      </c>
      <c r="BC71" s="409"/>
      <c r="BD71" s="418" t="str">
        <f t="shared" si="17"/>
        <v>1</v>
      </c>
      <c r="BE71" s="409"/>
      <c r="BF71" s="418" t="str">
        <f t="shared" si="12"/>
        <v>1</v>
      </c>
      <c r="BG71" s="409"/>
      <c r="BH71" s="418" t="str">
        <f t="shared" si="8"/>
        <v>1</v>
      </c>
      <c r="BI71" s="266"/>
      <c r="BJ71" s="265"/>
    </row>
    <row r="72" spans="1:62" ht="14.4" customHeight="1">
      <c r="A72" s="265"/>
      <c r="B72" s="289"/>
      <c r="C72" s="289"/>
      <c r="D72" s="418" t="str">
        <f t="shared" si="2"/>
        <v>1</v>
      </c>
      <c r="E72" s="418"/>
      <c r="F72" s="418" t="str">
        <f t="shared" si="11"/>
        <v>1</v>
      </c>
      <c r="G72" s="418"/>
      <c r="H72" s="419" t="str">
        <f t="shared" si="5"/>
        <v>1</v>
      </c>
      <c r="I72" s="418"/>
      <c r="J72" s="419" t="str">
        <f t="shared" si="22"/>
        <v>1</v>
      </c>
      <c r="K72" s="418"/>
      <c r="L72" s="419" t="str">
        <f t="shared" si="13"/>
        <v>1</v>
      </c>
      <c r="M72" s="418"/>
      <c r="N72" s="419" t="str">
        <f t="shared" si="18"/>
        <v>1</v>
      </c>
      <c r="O72" s="418"/>
      <c r="P72" s="418" t="str">
        <f t="shared" si="26"/>
        <v>1</v>
      </c>
      <c r="Q72" s="418"/>
      <c r="R72" s="418" t="str">
        <f t="shared" si="29"/>
        <v>1</v>
      </c>
      <c r="S72" s="418"/>
      <c r="T72" s="418"/>
      <c r="U72" s="418"/>
      <c r="V72" s="418"/>
      <c r="W72" s="289"/>
      <c r="X72" s="289"/>
      <c r="Y72" s="289"/>
      <c r="Z72" s="397"/>
      <c r="AA72" s="399" t="str">
        <f>IF(Y68="","",VLOOKUP(Y68,big_tabela,4,0))</f>
        <v/>
      </c>
      <c r="AB72" s="400"/>
      <c r="AC72" s="634" t="str">
        <f>IF(Y68="","","anemostat")</f>
        <v>anemostat</v>
      </c>
      <c r="AD72" s="416" t="str">
        <f>IF(Y68="","","x"&amp;VLOOKUP(Y68,big_tabela,23,0))</f>
        <v>x1</v>
      </c>
      <c r="AE72" s="289"/>
      <c r="AF72" s="395"/>
      <c r="AG72" s="398" t="str">
        <f>IF(AK68="","",VLOOKUP(AK68,big_tabela,4,0))</f>
        <v/>
      </c>
      <c r="AH72" s="417"/>
      <c r="AI72" s="635" t="str">
        <f>IF(AK68="","","anemostat")</f>
        <v/>
      </c>
      <c r="AJ72" s="414" t="str">
        <f>IF(AK68="","","x"&amp;VLOOKUP(AK68,big_tabela,22,0))</f>
        <v/>
      </c>
      <c r="AK72" s="401"/>
      <c r="AL72" s="289"/>
      <c r="AM72" s="289"/>
      <c r="AN72" s="289"/>
      <c r="AO72" s="289"/>
      <c r="AP72" s="409"/>
      <c r="AQ72" s="409"/>
      <c r="AR72" s="409"/>
      <c r="AS72" s="409"/>
      <c r="AT72" s="418" t="str">
        <f t="shared" ref="AT72:AT86" si="32">$AL$69</f>
        <v/>
      </c>
      <c r="AU72" s="409"/>
      <c r="AV72" s="418" t="str">
        <f t="shared" si="27"/>
        <v/>
      </c>
      <c r="AW72" s="409"/>
      <c r="AX72" s="418" t="str">
        <f t="shared" si="21"/>
        <v>1</v>
      </c>
      <c r="AY72" s="409"/>
      <c r="AZ72" s="418" t="str">
        <f t="shared" si="28"/>
        <v>1</v>
      </c>
      <c r="BA72" s="409"/>
      <c r="BB72" s="418" t="str">
        <f t="shared" si="23"/>
        <v>1</v>
      </c>
      <c r="BC72" s="409"/>
      <c r="BD72" s="418" t="str">
        <f t="shared" si="17"/>
        <v>1</v>
      </c>
      <c r="BE72" s="409"/>
      <c r="BF72" s="418" t="str">
        <f t="shared" si="12"/>
        <v>1</v>
      </c>
      <c r="BG72" s="409"/>
      <c r="BH72" s="418" t="str">
        <f t="shared" si="8"/>
        <v>1</v>
      </c>
      <c r="BI72" s="266"/>
      <c r="BJ72" s="265"/>
    </row>
    <row r="73" spans="1:62" ht="6" customHeight="1">
      <c r="A73" s="265"/>
      <c r="B73" s="289"/>
      <c r="C73" s="289"/>
      <c r="D73" s="418" t="str">
        <f t="shared" si="2"/>
        <v>1</v>
      </c>
      <c r="E73" s="418"/>
      <c r="F73" s="418" t="str">
        <f t="shared" si="11"/>
        <v>1</v>
      </c>
      <c r="G73" s="418"/>
      <c r="H73" s="419" t="str">
        <f t="shared" si="5"/>
        <v>1</v>
      </c>
      <c r="I73" s="418"/>
      <c r="J73" s="419" t="str">
        <f t="shared" si="22"/>
        <v>1</v>
      </c>
      <c r="K73" s="418"/>
      <c r="L73" s="419" t="str">
        <f t="shared" si="13"/>
        <v>1</v>
      </c>
      <c r="M73" s="418"/>
      <c r="N73" s="419" t="str">
        <f t="shared" si="18"/>
        <v>1</v>
      </c>
      <c r="O73" s="418"/>
      <c r="P73" s="418" t="str">
        <f t="shared" si="26"/>
        <v>1</v>
      </c>
      <c r="Q73" s="418"/>
      <c r="R73" s="418" t="str">
        <f t="shared" si="29"/>
        <v>1</v>
      </c>
      <c r="S73" s="418"/>
      <c r="T73" s="418"/>
      <c r="U73" s="418"/>
      <c r="V73" s="418"/>
      <c r="W73" s="289"/>
      <c r="X73" s="289"/>
      <c r="Y73" s="289"/>
      <c r="Z73" s="397"/>
      <c r="AA73" s="397"/>
      <c r="AB73" s="397"/>
      <c r="AC73" s="397"/>
      <c r="AD73" s="397"/>
      <c r="AE73" s="289"/>
      <c r="AF73" s="395"/>
      <c r="AG73" s="395"/>
      <c r="AH73" s="395"/>
      <c r="AI73" s="395"/>
      <c r="AJ73" s="395"/>
      <c r="AK73" s="289"/>
      <c r="AL73" s="289"/>
      <c r="AM73" s="289"/>
      <c r="AN73" s="289"/>
      <c r="AO73" s="289"/>
      <c r="AP73" s="409"/>
      <c r="AQ73" s="409"/>
      <c r="AR73" s="409"/>
      <c r="AS73" s="409"/>
      <c r="AT73" s="418" t="str">
        <f t="shared" si="32"/>
        <v/>
      </c>
      <c r="AU73" s="409"/>
      <c r="AV73" s="418" t="str">
        <f t="shared" si="27"/>
        <v/>
      </c>
      <c r="AW73" s="409"/>
      <c r="AX73" s="418" t="str">
        <f t="shared" ref="AX73:AX87" si="33">$AL$55</f>
        <v>1</v>
      </c>
      <c r="AY73" s="409"/>
      <c r="AZ73" s="418" t="str">
        <f t="shared" si="28"/>
        <v>1</v>
      </c>
      <c r="BA73" s="409"/>
      <c r="BB73" s="418" t="str">
        <f t="shared" si="23"/>
        <v>1</v>
      </c>
      <c r="BC73" s="409"/>
      <c r="BD73" s="418" t="str">
        <f t="shared" si="17"/>
        <v>1</v>
      </c>
      <c r="BE73" s="409"/>
      <c r="BF73" s="418" t="str">
        <f t="shared" si="12"/>
        <v>1</v>
      </c>
      <c r="BG73" s="409"/>
      <c r="BH73" s="418" t="str">
        <f t="shared" si="8"/>
        <v>1</v>
      </c>
      <c r="BI73" s="266"/>
      <c r="BJ73" s="265"/>
    </row>
    <row r="74" spans="1:62">
      <c r="A74" s="265"/>
      <c r="B74" s="289"/>
      <c r="C74" s="289"/>
      <c r="D74" s="418" t="str">
        <f t="shared" si="2"/>
        <v>1</v>
      </c>
      <c r="E74" s="418"/>
      <c r="F74" s="418" t="str">
        <f t="shared" si="11"/>
        <v>1</v>
      </c>
      <c r="G74" s="418"/>
      <c r="H74" s="419" t="str">
        <f t="shared" si="5"/>
        <v>1</v>
      </c>
      <c r="I74" s="418"/>
      <c r="J74" s="419" t="str">
        <f t="shared" si="22"/>
        <v>1</v>
      </c>
      <c r="K74" s="418"/>
      <c r="L74" s="419" t="str">
        <f t="shared" si="13"/>
        <v>1</v>
      </c>
      <c r="M74" s="418"/>
      <c r="N74" s="419" t="str">
        <f t="shared" si="18"/>
        <v>1</v>
      </c>
      <c r="O74" s="418"/>
      <c r="P74" s="418" t="str">
        <f t="shared" si="26"/>
        <v>1</v>
      </c>
      <c r="Q74" s="418"/>
      <c r="R74" s="418" t="str">
        <f t="shared" si="29"/>
        <v>1</v>
      </c>
      <c r="S74" s="418"/>
      <c r="T74" s="418"/>
      <c r="U74" s="418"/>
      <c r="V74" s="418"/>
      <c r="W74" s="289"/>
      <c r="X74" s="289"/>
      <c r="Y74" s="289"/>
      <c r="Z74" s="289"/>
      <c r="AA74" s="289"/>
      <c r="AB74" s="289"/>
      <c r="AC74" s="289"/>
      <c r="AD74" s="289"/>
      <c r="AE74" s="289"/>
      <c r="AF74" s="289"/>
      <c r="AG74" s="289"/>
      <c r="AH74" s="289"/>
      <c r="AI74" s="289"/>
      <c r="AJ74" s="289"/>
      <c r="AK74" s="289"/>
      <c r="AL74" s="289"/>
      <c r="AM74" s="289"/>
      <c r="AN74" s="289"/>
      <c r="AO74" s="289"/>
      <c r="AP74" s="409"/>
      <c r="AQ74" s="409"/>
      <c r="AR74" s="409"/>
      <c r="AS74" s="409"/>
      <c r="AT74" s="418" t="str">
        <f t="shared" si="32"/>
        <v/>
      </c>
      <c r="AU74" s="409"/>
      <c r="AV74" s="418" t="str">
        <f t="shared" si="27"/>
        <v/>
      </c>
      <c r="AW74" s="409"/>
      <c r="AX74" s="418" t="str">
        <f t="shared" si="33"/>
        <v>1</v>
      </c>
      <c r="AY74" s="409"/>
      <c r="AZ74" s="418" t="str">
        <f t="shared" si="28"/>
        <v>1</v>
      </c>
      <c r="BA74" s="409"/>
      <c r="BB74" s="418" t="str">
        <f t="shared" si="23"/>
        <v>1</v>
      </c>
      <c r="BC74" s="409"/>
      <c r="BD74" s="418" t="str">
        <f t="shared" si="17"/>
        <v>1</v>
      </c>
      <c r="BE74" s="409"/>
      <c r="BF74" s="418" t="str">
        <f t="shared" si="12"/>
        <v>1</v>
      </c>
      <c r="BG74" s="409"/>
      <c r="BH74" s="418" t="str">
        <f t="shared" si="8"/>
        <v>1</v>
      </c>
      <c r="BI74" s="266"/>
      <c r="BJ74" s="265"/>
    </row>
    <row r="75" spans="1:62" ht="6" customHeight="1">
      <c r="A75" s="265"/>
      <c r="B75" s="289"/>
      <c r="C75" s="289"/>
      <c r="D75" s="418" t="str">
        <f t="shared" si="2"/>
        <v>1</v>
      </c>
      <c r="E75" s="418"/>
      <c r="F75" s="418" t="str">
        <f t="shared" si="11"/>
        <v>1</v>
      </c>
      <c r="G75" s="418"/>
      <c r="H75" s="419" t="str">
        <f t="shared" si="5"/>
        <v>1</v>
      </c>
      <c r="I75" s="418"/>
      <c r="J75" s="419" t="str">
        <f t="shared" si="22"/>
        <v>1</v>
      </c>
      <c r="K75" s="418"/>
      <c r="L75" s="419" t="str">
        <f t="shared" si="13"/>
        <v>1</v>
      </c>
      <c r="M75" s="418"/>
      <c r="N75" s="419" t="str">
        <f t="shared" si="18"/>
        <v>1</v>
      </c>
      <c r="O75" s="418"/>
      <c r="P75" s="418" t="str">
        <f t="shared" si="26"/>
        <v>1</v>
      </c>
      <c r="Q75" s="418"/>
      <c r="R75" s="418" t="str">
        <f t="shared" si="29"/>
        <v>1</v>
      </c>
      <c r="S75" s="418"/>
      <c r="T75" s="418"/>
      <c r="U75" s="418"/>
      <c r="V75" s="418"/>
      <c r="W75" s="289"/>
      <c r="X75" s="289"/>
      <c r="Y75" s="789" t="str">
        <f>IF(Obliczenia!E69="10","",Obliczenia!E69)</f>
        <v/>
      </c>
      <c r="Z75" s="397"/>
      <c r="AA75" s="397"/>
      <c r="AB75" s="397"/>
      <c r="AC75" s="397"/>
      <c r="AD75" s="397"/>
      <c r="AE75" s="289"/>
      <c r="AF75" s="395"/>
      <c r="AG75" s="395"/>
      <c r="AH75" s="395"/>
      <c r="AI75" s="395"/>
      <c r="AJ75" s="395"/>
      <c r="AK75" s="789" t="str">
        <f>IF(Obliczenia!E45="10","",Obliczenia!E45)</f>
        <v/>
      </c>
      <c r="AL75" s="289"/>
      <c r="AM75" s="289"/>
      <c r="AN75" s="289"/>
      <c r="AO75" s="289"/>
      <c r="AP75" s="409"/>
      <c r="AQ75" s="409"/>
      <c r="AR75" s="409"/>
      <c r="AS75" s="409"/>
      <c r="AT75" s="418" t="str">
        <f t="shared" si="32"/>
        <v/>
      </c>
      <c r="AU75" s="409"/>
      <c r="AV75" s="418" t="str">
        <f t="shared" si="27"/>
        <v/>
      </c>
      <c r="AW75" s="409"/>
      <c r="AX75" s="418" t="str">
        <f t="shared" si="33"/>
        <v>1</v>
      </c>
      <c r="AY75" s="409"/>
      <c r="AZ75" s="418" t="str">
        <f t="shared" si="28"/>
        <v>1</v>
      </c>
      <c r="BA75" s="409"/>
      <c r="BB75" s="418" t="str">
        <f t="shared" si="23"/>
        <v>1</v>
      </c>
      <c r="BC75" s="409"/>
      <c r="BD75" s="418" t="str">
        <f t="shared" si="17"/>
        <v>1</v>
      </c>
      <c r="BE75" s="409"/>
      <c r="BF75" s="418" t="str">
        <f t="shared" si="12"/>
        <v>1</v>
      </c>
      <c r="BG75" s="409"/>
      <c r="BH75" s="418" t="str">
        <f t="shared" si="8"/>
        <v>1</v>
      </c>
      <c r="BI75" s="266"/>
      <c r="BJ75" s="265"/>
    </row>
    <row r="76" spans="1:62" ht="14.4" customHeight="1">
      <c r="A76" s="265"/>
      <c r="B76" s="289"/>
      <c r="C76" s="289"/>
      <c r="D76" s="418" t="str">
        <f t="shared" si="2"/>
        <v>1</v>
      </c>
      <c r="E76" s="418"/>
      <c r="F76" s="418" t="str">
        <f t="shared" si="11"/>
        <v>1</v>
      </c>
      <c r="G76" s="418"/>
      <c r="H76" s="419" t="str">
        <f t="shared" si="5"/>
        <v>1</v>
      </c>
      <c r="I76" s="418"/>
      <c r="J76" s="419" t="str">
        <f t="shared" si="22"/>
        <v>1</v>
      </c>
      <c r="K76" s="418"/>
      <c r="L76" s="419" t="str">
        <f t="shared" si="13"/>
        <v>1</v>
      </c>
      <c r="M76" s="418"/>
      <c r="N76" s="419" t="str">
        <f t="shared" si="18"/>
        <v>1</v>
      </c>
      <c r="O76" s="418"/>
      <c r="P76" s="418" t="str">
        <f t="shared" si="26"/>
        <v>1</v>
      </c>
      <c r="Q76" s="418"/>
      <c r="R76" s="418" t="str">
        <f t="shared" si="29"/>
        <v>1</v>
      </c>
      <c r="S76" s="418"/>
      <c r="T76" s="418"/>
      <c r="U76" s="418"/>
      <c r="V76" s="418"/>
      <c r="W76" s="289"/>
      <c r="X76" s="4" t="str">
        <f>IF(Y75&lt;&gt;"","1","")</f>
        <v/>
      </c>
      <c r="Y76" s="789"/>
      <c r="Z76" s="397"/>
      <c r="AA76" s="772" t="str">
        <f>IF(Y75="","",VLOOKUP(Y75,big_tabela,3,0))</f>
        <v/>
      </c>
      <c r="AB76" s="772"/>
      <c r="AC76" s="773" t="str">
        <f>IF(Y75="","",VLOOKUP(Y75,big_tabela,12,0))</f>
        <v/>
      </c>
      <c r="AD76" s="774" t="s">
        <v>373</v>
      </c>
      <c r="AE76" s="289"/>
      <c r="AF76" s="395"/>
      <c r="AG76" s="783" t="str">
        <f>IF(AK75="","",VLOOKUP(AK75,big_tabela,3,0))</f>
        <v/>
      </c>
      <c r="AH76" s="783"/>
      <c r="AI76" s="784" t="str">
        <f>IF(AK75="","",VLOOKUP(AK75,big_tabela,12,0))</f>
        <v/>
      </c>
      <c r="AJ76" s="767" t="s">
        <v>373</v>
      </c>
      <c r="AK76" s="789"/>
      <c r="AL76" s="4" t="str">
        <f>IF(AK75&lt;&gt;"","1","")</f>
        <v/>
      </c>
      <c r="AM76" s="289"/>
      <c r="AN76" s="289"/>
      <c r="AO76" s="289"/>
      <c r="AP76" s="409"/>
      <c r="AQ76" s="409"/>
      <c r="AR76" s="409"/>
      <c r="AS76" s="409"/>
      <c r="AT76" s="418" t="str">
        <f t="shared" si="32"/>
        <v/>
      </c>
      <c r="AU76" s="409"/>
      <c r="AV76" s="418" t="str">
        <f t="shared" si="27"/>
        <v/>
      </c>
      <c r="AW76" s="409"/>
      <c r="AX76" s="418" t="str">
        <f t="shared" si="33"/>
        <v>1</v>
      </c>
      <c r="AY76" s="409"/>
      <c r="AZ76" s="418" t="str">
        <f t="shared" si="28"/>
        <v>1</v>
      </c>
      <c r="BA76" s="409"/>
      <c r="BB76" s="418" t="str">
        <f t="shared" si="23"/>
        <v>1</v>
      </c>
      <c r="BC76" s="409"/>
      <c r="BD76" s="418" t="str">
        <f t="shared" si="17"/>
        <v>1</v>
      </c>
      <c r="BE76" s="409"/>
      <c r="BF76" s="418" t="str">
        <f t="shared" si="12"/>
        <v>1</v>
      </c>
      <c r="BG76" s="409"/>
      <c r="BH76" s="418" t="str">
        <f t="shared" si="8"/>
        <v>1</v>
      </c>
      <c r="BI76" s="266"/>
      <c r="BJ76" s="265"/>
    </row>
    <row r="77" spans="1:62" ht="14.4" customHeight="1">
      <c r="A77" s="265"/>
      <c r="B77" s="289"/>
      <c r="C77" s="289"/>
      <c r="D77" s="418" t="str">
        <f t="shared" si="2"/>
        <v>1</v>
      </c>
      <c r="E77" s="418"/>
      <c r="F77" s="418" t="str">
        <f t="shared" si="11"/>
        <v>1</v>
      </c>
      <c r="G77" s="418"/>
      <c r="H77" s="419" t="str">
        <f t="shared" si="5"/>
        <v>1</v>
      </c>
      <c r="I77" s="418"/>
      <c r="J77" s="419" t="str">
        <f t="shared" si="22"/>
        <v>1</v>
      </c>
      <c r="K77" s="418"/>
      <c r="L77" s="419" t="str">
        <f t="shared" si="13"/>
        <v>1</v>
      </c>
      <c r="M77" s="418"/>
      <c r="N77" s="419" t="str">
        <f t="shared" si="18"/>
        <v>1</v>
      </c>
      <c r="O77" s="418"/>
      <c r="P77" s="418" t="str">
        <f t="shared" si="26"/>
        <v>1</v>
      </c>
      <c r="Q77" s="418"/>
      <c r="R77" s="418" t="str">
        <f t="shared" si="29"/>
        <v>1</v>
      </c>
      <c r="S77" s="418"/>
      <c r="T77" s="418"/>
      <c r="U77" s="418"/>
      <c r="V77" s="418"/>
      <c r="W77" s="494" t="str">
        <f>IF(Y75="","","Φ63")</f>
        <v/>
      </c>
      <c r="X77" s="495" t="str">
        <f>IF(Y75="","","x"&amp;VLOOKUP(Y75,big_tabela,20,0))</f>
        <v/>
      </c>
      <c r="Y77" s="403" t="str">
        <f>IF(Y75="","","◄")</f>
        <v/>
      </c>
      <c r="Z77" s="397"/>
      <c r="AA77" s="772"/>
      <c r="AB77" s="772"/>
      <c r="AC77" s="773"/>
      <c r="AD77" s="774"/>
      <c r="AE77" s="289"/>
      <c r="AF77" s="395"/>
      <c r="AG77" s="783"/>
      <c r="AH77" s="783"/>
      <c r="AI77" s="784"/>
      <c r="AJ77" s="767"/>
      <c r="AK77" s="402" t="str">
        <f>IF(AK75="","","◄")</f>
        <v/>
      </c>
      <c r="AL77" s="494" t="str">
        <f>IF(AK75="","","Φ63")</f>
        <v/>
      </c>
      <c r="AM77" s="495" t="str">
        <f>IF(AK75="","","x"&amp;VLOOKUP(AK75,big_tabela,19,0))</f>
        <v/>
      </c>
      <c r="AN77" s="289"/>
      <c r="AO77" s="289"/>
      <c r="AP77" s="409"/>
      <c r="AQ77" s="409"/>
      <c r="AR77" s="409"/>
      <c r="AS77" s="409"/>
      <c r="AT77" s="418" t="str">
        <f t="shared" si="32"/>
        <v/>
      </c>
      <c r="AU77" s="409"/>
      <c r="AV77" s="418" t="str">
        <f t="shared" si="27"/>
        <v/>
      </c>
      <c r="AW77" s="409"/>
      <c r="AX77" s="418" t="str">
        <f t="shared" si="33"/>
        <v>1</v>
      </c>
      <c r="AY77" s="409"/>
      <c r="AZ77" s="418" t="str">
        <f t="shared" si="28"/>
        <v>1</v>
      </c>
      <c r="BA77" s="409"/>
      <c r="BB77" s="418" t="str">
        <f t="shared" si="23"/>
        <v>1</v>
      </c>
      <c r="BC77" s="409"/>
      <c r="BD77" s="418" t="str">
        <f t="shared" si="17"/>
        <v>1</v>
      </c>
      <c r="BE77" s="409"/>
      <c r="BF77" s="418" t="str">
        <f t="shared" si="12"/>
        <v>1</v>
      </c>
      <c r="BG77" s="409"/>
      <c r="BH77" s="418" t="str">
        <f t="shared" si="8"/>
        <v>1</v>
      </c>
      <c r="BI77" s="266"/>
      <c r="BJ77" s="265"/>
    </row>
    <row r="78" spans="1:62" ht="3" customHeight="1">
      <c r="A78" s="265"/>
      <c r="B78" s="289"/>
      <c r="C78" s="404"/>
      <c r="D78" s="418" t="str">
        <f t="shared" si="2"/>
        <v>1</v>
      </c>
      <c r="E78" s="418"/>
      <c r="F78" s="418" t="str">
        <f t="shared" si="11"/>
        <v>1</v>
      </c>
      <c r="G78" s="418"/>
      <c r="H78" s="419" t="str">
        <f t="shared" si="5"/>
        <v>1</v>
      </c>
      <c r="I78" s="418"/>
      <c r="J78" s="419" t="str">
        <f t="shared" si="22"/>
        <v>1</v>
      </c>
      <c r="K78" s="418"/>
      <c r="L78" s="419" t="str">
        <f t="shared" si="13"/>
        <v>1</v>
      </c>
      <c r="M78" s="418"/>
      <c r="N78" s="419" t="str">
        <f t="shared" si="18"/>
        <v>1</v>
      </c>
      <c r="O78" s="418"/>
      <c r="P78" s="418" t="str">
        <f t="shared" si="26"/>
        <v>1</v>
      </c>
      <c r="Q78" s="418"/>
      <c r="R78" s="418" t="str">
        <f t="shared" si="29"/>
        <v>1</v>
      </c>
      <c r="S78" s="418"/>
      <c r="T78" s="418" t="str">
        <f t="shared" ref="T78:T87" si="34">$X$76</f>
        <v/>
      </c>
      <c r="U78" s="418" t="str">
        <f t="shared" ref="U78:X78" si="35">$X$76</f>
        <v/>
      </c>
      <c r="V78" s="418" t="str">
        <f t="shared" si="35"/>
        <v/>
      </c>
      <c r="W78" s="418" t="str">
        <f t="shared" si="35"/>
        <v/>
      </c>
      <c r="X78" s="418" t="str">
        <f t="shared" si="35"/>
        <v/>
      </c>
      <c r="Y78" s="418" t="str">
        <f>$X$76</f>
        <v/>
      </c>
      <c r="Z78" s="397"/>
      <c r="AA78" s="412"/>
      <c r="AB78" s="412"/>
      <c r="AC78" s="415"/>
      <c r="AD78" s="416"/>
      <c r="AE78" s="289"/>
      <c r="AF78" s="395"/>
      <c r="AG78" s="421"/>
      <c r="AH78" s="421"/>
      <c r="AI78" s="413"/>
      <c r="AJ78" s="414"/>
      <c r="AK78" s="418" t="str">
        <f>$AL$76</f>
        <v/>
      </c>
      <c r="AL78" s="418" t="str">
        <f t="shared" ref="AL78:AR87" si="36">$AL$76</f>
        <v/>
      </c>
      <c r="AM78" s="418" t="str">
        <f t="shared" si="36"/>
        <v/>
      </c>
      <c r="AN78" s="418" t="str">
        <f t="shared" si="36"/>
        <v/>
      </c>
      <c r="AO78" s="418" t="str">
        <f t="shared" si="36"/>
        <v/>
      </c>
      <c r="AP78" s="418" t="str">
        <f t="shared" si="36"/>
        <v/>
      </c>
      <c r="AQ78" s="418" t="str">
        <f t="shared" si="36"/>
        <v/>
      </c>
      <c r="AR78" s="418" t="str">
        <f t="shared" si="36"/>
        <v/>
      </c>
      <c r="AS78" s="409"/>
      <c r="AT78" s="418" t="str">
        <f t="shared" si="32"/>
        <v/>
      </c>
      <c r="AU78" s="409"/>
      <c r="AV78" s="418" t="str">
        <f t="shared" si="27"/>
        <v/>
      </c>
      <c r="AW78" s="409"/>
      <c r="AX78" s="418" t="str">
        <f t="shared" si="33"/>
        <v>1</v>
      </c>
      <c r="AY78" s="409"/>
      <c r="AZ78" s="418" t="str">
        <f t="shared" si="28"/>
        <v>1</v>
      </c>
      <c r="BA78" s="409"/>
      <c r="BB78" s="418" t="str">
        <f t="shared" si="23"/>
        <v>1</v>
      </c>
      <c r="BC78" s="409"/>
      <c r="BD78" s="418" t="str">
        <f t="shared" si="17"/>
        <v>1</v>
      </c>
      <c r="BE78" s="409"/>
      <c r="BF78" s="418" t="str">
        <f t="shared" si="12"/>
        <v>1</v>
      </c>
      <c r="BG78" s="409"/>
      <c r="BH78" s="418" t="str">
        <f t="shared" si="8"/>
        <v>1</v>
      </c>
      <c r="BI78" s="266"/>
      <c r="BJ78" s="265"/>
    </row>
    <row r="79" spans="1:62" ht="14.4" customHeight="1">
      <c r="A79" s="265"/>
      <c r="B79" s="289"/>
      <c r="C79" s="289"/>
      <c r="D79" s="418" t="str">
        <f t="shared" si="2"/>
        <v>1</v>
      </c>
      <c r="E79" s="418"/>
      <c r="F79" s="418" t="str">
        <f t="shared" si="11"/>
        <v>1</v>
      </c>
      <c r="G79" s="418"/>
      <c r="H79" s="419" t="str">
        <f t="shared" si="5"/>
        <v>1</v>
      </c>
      <c r="I79" s="418"/>
      <c r="J79" s="419" t="str">
        <f t="shared" si="22"/>
        <v>1</v>
      </c>
      <c r="K79" s="418"/>
      <c r="L79" s="419" t="str">
        <f t="shared" si="13"/>
        <v>1</v>
      </c>
      <c r="M79" s="418"/>
      <c r="N79" s="419" t="str">
        <f t="shared" si="18"/>
        <v>1</v>
      </c>
      <c r="O79" s="418"/>
      <c r="P79" s="418" t="str">
        <f t="shared" si="26"/>
        <v>1</v>
      </c>
      <c r="Q79" s="418"/>
      <c r="R79" s="418" t="str">
        <f t="shared" si="29"/>
        <v>1</v>
      </c>
      <c r="S79" s="418"/>
      <c r="T79" s="418" t="str">
        <f t="shared" si="34"/>
        <v/>
      </c>
      <c r="U79" s="418"/>
      <c r="V79" s="418"/>
      <c r="W79" s="289"/>
      <c r="X79" s="289"/>
      <c r="Y79" s="289"/>
      <c r="Z79" s="397"/>
      <c r="AA79" s="399" t="str">
        <f>IF(Y75="","",VLOOKUP(Y75,big_tabela,4,0))</f>
        <v/>
      </c>
      <c r="AB79" s="400"/>
      <c r="AC79" s="634" t="str">
        <f>IF(Y75="","","anemostat")</f>
        <v/>
      </c>
      <c r="AD79" s="416" t="str">
        <f>IF(Y75="","","x"&amp;VLOOKUP(Y75,big_tabela,23,0))</f>
        <v/>
      </c>
      <c r="AE79" s="289"/>
      <c r="AF79" s="395"/>
      <c r="AG79" s="398" t="str">
        <f>IF(AK75="","",VLOOKUP(AK75,big_tabela,4,0))</f>
        <v/>
      </c>
      <c r="AH79" s="417"/>
      <c r="AI79" s="635" t="str">
        <f>IF(AK75="","","anemostat")</f>
        <v/>
      </c>
      <c r="AJ79" s="414" t="str">
        <f>IF(AK75="","","x"&amp;VLOOKUP(AK75,big_tabela,22,0))</f>
        <v/>
      </c>
      <c r="AK79" s="401"/>
      <c r="AL79" s="289"/>
      <c r="AM79" s="289"/>
      <c r="AN79" s="289"/>
      <c r="AO79" s="289"/>
      <c r="AP79" s="409"/>
      <c r="AQ79" s="409"/>
      <c r="AR79" s="418" t="str">
        <f t="shared" si="36"/>
        <v/>
      </c>
      <c r="AS79" s="409"/>
      <c r="AT79" s="418" t="str">
        <f t="shared" si="32"/>
        <v/>
      </c>
      <c r="AU79" s="409"/>
      <c r="AV79" s="418" t="str">
        <f t="shared" si="27"/>
        <v/>
      </c>
      <c r="AW79" s="409"/>
      <c r="AX79" s="418" t="str">
        <f t="shared" si="33"/>
        <v>1</v>
      </c>
      <c r="AY79" s="409"/>
      <c r="AZ79" s="418" t="str">
        <f t="shared" si="28"/>
        <v>1</v>
      </c>
      <c r="BA79" s="409"/>
      <c r="BB79" s="418" t="str">
        <f t="shared" si="23"/>
        <v>1</v>
      </c>
      <c r="BC79" s="409"/>
      <c r="BD79" s="418" t="str">
        <f t="shared" si="17"/>
        <v>1</v>
      </c>
      <c r="BE79" s="409"/>
      <c r="BF79" s="418" t="str">
        <f t="shared" si="12"/>
        <v>1</v>
      </c>
      <c r="BG79" s="409"/>
      <c r="BH79" s="418" t="str">
        <f t="shared" si="8"/>
        <v>1</v>
      </c>
      <c r="BI79" s="266"/>
      <c r="BJ79" s="265"/>
    </row>
    <row r="80" spans="1:62" ht="6" customHeight="1">
      <c r="A80" s="265"/>
      <c r="B80" s="289"/>
      <c r="C80" s="289"/>
      <c r="D80" s="418" t="str">
        <f t="shared" si="2"/>
        <v>1</v>
      </c>
      <c r="E80" s="418"/>
      <c r="F80" s="418" t="str">
        <f t="shared" si="11"/>
        <v>1</v>
      </c>
      <c r="G80" s="418"/>
      <c r="H80" s="419" t="str">
        <f t="shared" si="5"/>
        <v>1</v>
      </c>
      <c r="I80" s="418"/>
      <c r="J80" s="419" t="str">
        <f t="shared" si="22"/>
        <v>1</v>
      </c>
      <c r="K80" s="418"/>
      <c r="L80" s="419" t="str">
        <f t="shared" si="13"/>
        <v>1</v>
      </c>
      <c r="M80" s="418"/>
      <c r="N80" s="419" t="str">
        <f t="shared" si="18"/>
        <v>1</v>
      </c>
      <c r="O80" s="418"/>
      <c r="P80" s="418" t="str">
        <f t="shared" si="26"/>
        <v>1</v>
      </c>
      <c r="Q80" s="418"/>
      <c r="R80" s="418" t="str">
        <f t="shared" si="29"/>
        <v>1</v>
      </c>
      <c r="S80" s="418"/>
      <c r="T80" s="418" t="str">
        <f t="shared" si="34"/>
        <v/>
      </c>
      <c r="U80" s="418"/>
      <c r="V80" s="418"/>
      <c r="W80" s="289"/>
      <c r="X80" s="289"/>
      <c r="Y80" s="289"/>
      <c r="Z80" s="397"/>
      <c r="AA80" s="397"/>
      <c r="AB80" s="397"/>
      <c r="AC80" s="397"/>
      <c r="AD80" s="397"/>
      <c r="AE80" s="289"/>
      <c r="AF80" s="395"/>
      <c r="AG80" s="395"/>
      <c r="AH80" s="395"/>
      <c r="AI80" s="395"/>
      <c r="AJ80" s="395"/>
      <c r="AK80" s="289"/>
      <c r="AL80" s="289"/>
      <c r="AM80" s="289"/>
      <c r="AN80" s="289"/>
      <c r="AO80" s="289"/>
      <c r="AP80" s="409"/>
      <c r="AQ80" s="409"/>
      <c r="AR80" s="418" t="str">
        <f t="shared" si="36"/>
        <v/>
      </c>
      <c r="AS80" s="409"/>
      <c r="AT80" s="418" t="str">
        <f t="shared" si="32"/>
        <v/>
      </c>
      <c r="AU80" s="409"/>
      <c r="AV80" s="418" t="str">
        <f t="shared" ref="AV80:AV87" si="37">$AL$62</f>
        <v/>
      </c>
      <c r="AW80" s="409"/>
      <c r="AX80" s="418" t="str">
        <f t="shared" si="33"/>
        <v>1</v>
      </c>
      <c r="AY80" s="409"/>
      <c r="AZ80" s="418" t="str">
        <f t="shared" si="28"/>
        <v>1</v>
      </c>
      <c r="BA80" s="409"/>
      <c r="BB80" s="418" t="str">
        <f t="shared" si="23"/>
        <v>1</v>
      </c>
      <c r="BC80" s="409"/>
      <c r="BD80" s="418" t="str">
        <f t="shared" si="17"/>
        <v>1</v>
      </c>
      <c r="BE80" s="409"/>
      <c r="BF80" s="418" t="str">
        <f t="shared" si="12"/>
        <v>1</v>
      </c>
      <c r="BG80" s="409"/>
      <c r="BH80" s="418" t="str">
        <f t="shared" si="8"/>
        <v>1</v>
      </c>
      <c r="BI80" s="266"/>
      <c r="BJ80" s="265"/>
    </row>
    <row r="81" spans="1:62">
      <c r="A81" s="265"/>
      <c r="B81" s="289"/>
      <c r="C81" s="289"/>
      <c r="D81" s="418" t="str">
        <f t="shared" si="2"/>
        <v>1</v>
      </c>
      <c r="E81" s="418"/>
      <c r="F81" s="418" t="str">
        <f t="shared" si="11"/>
        <v>1</v>
      </c>
      <c r="G81" s="418"/>
      <c r="H81" s="419" t="str">
        <f t="shared" si="5"/>
        <v>1</v>
      </c>
      <c r="I81" s="418"/>
      <c r="J81" s="419" t="str">
        <f t="shared" si="22"/>
        <v>1</v>
      </c>
      <c r="K81" s="418"/>
      <c r="L81" s="419" t="str">
        <f t="shared" si="13"/>
        <v>1</v>
      </c>
      <c r="M81" s="418"/>
      <c r="N81" s="419" t="str">
        <f t="shared" si="18"/>
        <v>1</v>
      </c>
      <c r="O81" s="418"/>
      <c r="P81" s="418" t="str">
        <f t="shared" si="26"/>
        <v>1</v>
      </c>
      <c r="Q81" s="418"/>
      <c r="R81" s="418" t="str">
        <f t="shared" si="29"/>
        <v>1</v>
      </c>
      <c r="S81" s="418"/>
      <c r="T81" s="418" t="str">
        <f t="shared" si="34"/>
        <v/>
      </c>
      <c r="U81" s="418"/>
      <c r="V81" s="418"/>
      <c r="W81" s="289"/>
      <c r="X81" s="289"/>
      <c r="Y81" s="289"/>
      <c r="Z81" s="289"/>
      <c r="AA81" s="289"/>
      <c r="AB81" s="289"/>
      <c r="AC81" s="289"/>
      <c r="AD81" s="289"/>
      <c r="AE81" s="289"/>
      <c r="AF81" s="289"/>
      <c r="AG81" s="289"/>
      <c r="AH81" s="289"/>
      <c r="AI81" s="289"/>
      <c r="AJ81" s="289"/>
      <c r="AK81" s="289"/>
      <c r="AL81" s="289"/>
      <c r="AM81" s="289"/>
      <c r="AN81" s="289"/>
      <c r="AO81" s="289"/>
      <c r="AP81" s="409"/>
      <c r="AQ81" s="409"/>
      <c r="AR81" s="418" t="str">
        <f t="shared" si="36"/>
        <v/>
      </c>
      <c r="AS81" s="409"/>
      <c r="AT81" s="418" t="str">
        <f t="shared" si="32"/>
        <v/>
      </c>
      <c r="AU81" s="409"/>
      <c r="AV81" s="418" t="str">
        <f t="shared" si="37"/>
        <v/>
      </c>
      <c r="AW81" s="409"/>
      <c r="AX81" s="418" t="str">
        <f t="shared" si="33"/>
        <v>1</v>
      </c>
      <c r="AY81" s="409"/>
      <c r="AZ81" s="418" t="str">
        <f t="shared" si="28"/>
        <v>1</v>
      </c>
      <c r="BA81" s="409"/>
      <c r="BB81" s="418" t="str">
        <f t="shared" si="23"/>
        <v>1</v>
      </c>
      <c r="BC81" s="409"/>
      <c r="BD81" s="418" t="str">
        <f t="shared" si="17"/>
        <v>1</v>
      </c>
      <c r="BE81" s="409"/>
      <c r="BF81" s="418" t="str">
        <f t="shared" si="12"/>
        <v>1</v>
      </c>
      <c r="BG81" s="409"/>
      <c r="BH81" s="418" t="str">
        <f t="shared" si="8"/>
        <v>1</v>
      </c>
      <c r="BI81" s="266"/>
      <c r="BJ81" s="265"/>
    </row>
    <row r="82" spans="1:62" ht="6" customHeight="1">
      <c r="A82" s="265"/>
      <c r="B82" s="289"/>
      <c r="C82" s="289"/>
      <c r="D82" s="418" t="str">
        <f t="shared" si="2"/>
        <v>1</v>
      </c>
      <c r="E82" s="418"/>
      <c r="F82" s="418" t="str">
        <f t="shared" si="11"/>
        <v>1</v>
      </c>
      <c r="G82" s="418"/>
      <c r="H82" s="419" t="str">
        <f t="shared" si="5"/>
        <v>1</v>
      </c>
      <c r="I82" s="418"/>
      <c r="J82" s="419" t="str">
        <f t="shared" si="22"/>
        <v>1</v>
      </c>
      <c r="K82" s="418"/>
      <c r="L82" s="419" t="str">
        <f t="shared" si="13"/>
        <v>1</v>
      </c>
      <c r="M82" s="418"/>
      <c r="N82" s="419" t="str">
        <f t="shared" si="18"/>
        <v>1</v>
      </c>
      <c r="O82" s="418"/>
      <c r="P82" s="418" t="str">
        <f t="shared" si="26"/>
        <v>1</v>
      </c>
      <c r="Q82" s="418"/>
      <c r="R82" s="418" t="str">
        <f t="shared" si="29"/>
        <v>1</v>
      </c>
      <c r="S82" s="418"/>
      <c r="T82" s="418" t="str">
        <f t="shared" si="34"/>
        <v/>
      </c>
      <c r="U82" s="418"/>
      <c r="V82" s="418"/>
      <c r="W82" s="289"/>
      <c r="X82" s="289"/>
      <c r="Y82" s="789" t="str">
        <f>IF(Obliczenia!E70="10","",Obliczenia!E70)</f>
        <v/>
      </c>
      <c r="Z82" s="397"/>
      <c r="AA82" s="397"/>
      <c r="AB82" s="397"/>
      <c r="AC82" s="397"/>
      <c r="AD82" s="397"/>
      <c r="AE82" s="289"/>
      <c r="AF82" s="395"/>
      <c r="AG82" s="395"/>
      <c r="AH82" s="395"/>
      <c r="AI82" s="395"/>
      <c r="AJ82" s="395"/>
      <c r="AK82" s="789" t="str">
        <f>IF(Obliczenia!E46="10","",Obliczenia!E46)</f>
        <v/>
      </c>
      <c r="AL82" s="289"/>
      <c r="AM82" s="289"/>
      <c r="AN82" s="289"/>
      <c r="AO82" s="289"/>
      <c r="AP82" s="409"/>
      <c r="AQ82" s="409"/>
      <c r="AR82" s="418" t="str">
        <f t="shared" si="36"/>
        <v/>
      </c>
      <c r="AS82" s="409"/>
      <c r="AT82" s="418" t="str">
        <f t="shared" si="32"/>
        <v/>
      </c>
      <c r="AU82" s="409"/>
      <c r="AV82" s="418" t="str">
        <f t="shared" si="37"/>
        <v/>
      </c>
      <c r="AW82" s="409"/>
      <c r="AX82" s="418" t="str">
        <f t="shared" si="33"/>
        <v>1</v>
      </c>
      <c r="AY82" s="409"/>
      <c r="AZ82" s="418" t="str">
        <f t="shared" si="28"/>
        <v>1</v>
      </c>
      <c r="BA82" s="409"/>
      <c r="BB82" s="418" t="str">
        <f t="shared" si="23"/>
        <v>1</v>
      </c>
      <c r="BC82" s="409"/>
      <c r="BD82" s="418" t="str">
        <f t="shared" si="17"/>
        <v>1</v>
      </c>
      <c r="BE82" s="409"/>
      <c r="BF82" s="418" t="str">
        <f t="shared" si="12"/>
        <v>1</v>
      </c>
      <c r="BG82" s="409"/>
      <c r="BH82" s="418" t="str">
        <f t="shared" si="8"/>
        <v>1</v>
      </c>
      <c r="BI82" s="266"/>
      <c r="BJ82" s="265"/>
    </row>
    <row r="83" spans="1:62" ht="14.4" customHeight="1">
      <c r="A83" s="265"/>
      <c r="B83" s="289"/>
      <c r="C83" s="289"/>
      <c r="D83" s="418" t="str">
        <f t="shared" si="2"/>
        <v>1</v>
      </c>
      <c r="E83" s="418"/>
      <c r="F83" s="418" t="str">
        <f t="shared" si="11"/>
        <v>1</v>
      </c>
      <c r="G83" s="418"/>
      <c r="H83" s="419" t="str">
        <f t="shared" si="5"/>
        <v>1</v>
      </c>
      <c r="I83" s="418"/>
      <c r="J83" s="419" t="str">
        <f t="shared" si="22"/>
        <v>1</v>
      </c>
      <c r="K83" s="418"/>
      <c r="L83" s="419" t="str">
        <f t="shared" si="13"/>
        <v>1</v>
      </c>
      <c r="M83" s="418"/>
      <c r="N83" s="419" t="str">
        <f t="shared" si="18"/>
        <v>1</v>
      </c>
      <c r="O83" s="418"/>
      <c r="P83" s="418" t="str">
        <f t="shared" si="26"/>
        <v>1</v>
      </c>
      <c r="Q83" s="418"/>
      <c r="R83" s="418" t="str">
        <f t="shared" si="29"/>
        <v>1</v>
      </c>
      <c r="S83" s="418"/>
      <c r="T83" s="418" t="str">
        <f t="shared" si="34"/>
        <v/>
      </c>
      <c r="U83" s="418"/>
      <c r="V83" s="418"/>
      <c r="W83" s="289"/>
      <c r="X83" s="4" t="str">
        <f>IF(Y82&lt;&gt;"","1","")</f>
        <v/>
      </c>
      <c r="Y83" s="789"/>
      <c r="Z83" s="397"/>
      <c r="AA83" s="772" t="str">
        <f>IF(Y82="","",VLOOKUP(Y82,big_tabela,3,0))</f>
        <v/>
      </c>
      <c r="AB83" s="772"/>
      <c r="AC83" s="773" t="str">
        <f>IF(Y82="","",VLOOKUP(Y82,big_tabela,12,0))</f>
        <v/>
      </c>
      <c r="AD83" s="774" t="s">
        <v>373</v>
      </c>
      <c r="AE83" s="289"/>
      <c r="AF83" s="395"/>
      <c r="AG83" s="783" t="str">
        <f>IF(AK82="","",VLOOKUP(AK82,big_tabela,3,0))</f>
        <v/>
      </c>
      <c r="AH83" s="783"/>
      <c r="AI83" s="784" t="str">
        <f>IF(AK82="","",VLOOKUP(AK82,big_tabela,12,0))</f>
        <v/>
      </c>
      <c r="AJ83" s="767" t="s">
        <v>373</v>
      </c>
      <c r="AK83" s="789"/>
      <c r="AL83" s="4" t="str">
        <f>IF(AK82&lt;&gt;"","1","")</f>
        <v/>
      </c>
      <c r="AM83" s="289"/>
      <c r="AN83" s="289"/>
      <c r="AO83" s="289"/>
      <c r="AP83" s="409"/>
      <c r="AQ83" s="409"/>
      <c r="AR83" s="418" t="str">
        <f t="shared" si="36"/>
        <v/>
      </c>
      <c r="AS83" s="409"/>
      <c r="AT83" s="418" t="str">
        <f t="shared" si="32"/>
        <v/>
      </c>
      <c r="AU83" s="409"/>
      <c r="AV83" s="418" t="str">
        <f t="shared" si="37"/>
        <v/>
      </c>
      <c r="AW83" s="409"/>
      <c r="AX83" s="418" t="str">
        <f t="shared" si="33"/>
        <v>1</v>
      </c>
      <c r="AY83" s="409"/>
      <c r="AZ83" s="418" t="str">
        <f t="shared" si="28"/>
        <v>1</v>
      </c>
      <c r="BA83" s="409"/>
      <c r="BB83" s="418" t="str">
        <f t="shared" si="23"/>
        <v>1</v>
      </c>
      <c r="BC83" s="409"/>
      <c r="BD83" s="418" t="str">
        <f t="shared" si="17"/>
        <v>1</v>
      </c>
      <c r="BE83" s="409"/>
      <c r="BF83" s="418" t="str">
        <f t="shared" si="12"/>
        <v>1</v>
      </c>
      <c r="BG83" s="409"/>
      <c r="BH83" s="418" t="str">
        <f t="shared" si="8"/>
        <v>1</v>
      </c>
      <c r="BI83" s="266"/>
      <c r="BJ83" s="265"/>
    </row>
    <row r="84" spans="1:62" ht="14.4" customHeight="1">
      <c r="A84" s="265"/>
      <c r="B84" s="289"/>
      <c r="C84" s="289"/>
      <c r="D84" s="418" t="str">
        <f t="shared" si="2"/>
        <v>1</v>
      </c>
      <c r="E84" s="418"/>
      <c r="F84" s="418" t="str">
        <f t="shared" si="11"/>
        <v>1</v>
      </c>
      <c r="G84" s="418"/>
      <c r="H84" s="419" t="str">
        <f t="shared" si="5"/>
        <v>1</v>
      </c>
      <c r="I84" s="418"/>
      <c r="J84" s="419" t="str">
        <f t="shared" si="22"/>
        <v>1</v>
      </c>
      <c r="K84" s="418"/>
      <c r="L84" s="419" t="str">
        <f t="shared" si="13"/>
        <v>1</v>
      </c>
      <c r="M84" s="418"/>
      <c r="N84" s="419" t="str">
        <f t="shared" si="18"/>
        <v>1</v>
      </c>
      <c r="O84" s="418"/>
      <c r="P84" s="418" t="str">
        <f t="shared" si="26"/>
        <v>1</v>
      </c>
      <c r="Q84" s="418"/>
      <c r="R84" s="418" t="str">
        <f t="shared" si="29"/>
        <v>1</v>
      </c>
      <c r="S84" s="418"/>
      <c r="T84" s="418" t="str">
        <f t="shared" si="34"/>
        <v/>
      </c>
      <c r="U84" s="418"/>
      <c r="V84" s="418"/>
      <c r="W84" s="494" t="str">
        <f>IF(Y82="","","Φ63")</f>
        <v/>
      </c>
      <c r="X84" s="495" t="str">
        <f>IF(Y82="","","x"&amp;VLOOKUP(Y82,big_tabela,20,0))</f>
        <v/>
      </c>
      <c r="Y84" s="403" t="str">
        <f>IF(Y82="","","◄")</f>
        <v/>
      </c>
      <c r="Z84" s="397"/>
      <c r="AA84" s="772"/>
      <c r="AB84" s="772"/>
      <c r="AC84" s="773"/>
      <c r="AD84" s="774"/>
      <c r="AE84" s="289"/>
      <c r="AF84" s="395"/>
      <c r="AG84" s="783"/>
      <c r="AH84" s="783"/>
      <c r="AI84" s="784"/>
      <c r="AJ84" s="767"/>
      <c r="AK84" s="402" t="str">
        <f>IF(AK82="","","◄")</f>
        <v/>
      </c>
      <c r="AL84" s="494" t="str">
        <f>IF(AK82="","","Φ63")</f>
        <v/>
      </c>
      <c r="AM84" s="495" t="str">
        <f>IF(AK82="","","x"&amp;VLOOKUP(AK82,big_tabela,19,0))</f>
        <v/>
      </c>
      <c r="AN84" s="289"/>
      <c r="AO84" s="289"/>
      <c r="AP84" s="409"/>
      <c r="AQ84" s="409"/>
      <c r="AR84" s="418" t="str">
        <f t="shared" si="36"/>
        <v/>
      </c>
      <c r="AS84" s="409"/>
      <c r="AT84" s="418" t="str">
        <f t="shared" si="32"/>
        <v/>
      </c>
      <c r="AU84" s="409"/>
      <c r="AV84" s="418" t="str">
        <f t="shared" si="37"/>
        <v/>
      </c>
      <c r="AW84" s="409"/>
      <c r="AX84" s="418" t="str">
        <f t="shared" si="33"/>
        <v>1</v>
      </c>
      <c r="AY84" s="409"/>
      <c r="AZ84" s="418" t="str">
        <f t="shared" si="28"/>
        <v>1</v>
      </c>
      <c r="BA84" s="409"/>
      <c r="BB84" s="418" t="str">
        <f t="shared" si="23"/>
        <v>1</v>
      </c>
      <c r="BC84" s="409"/>
      <c r="BD84" s="418" t="str">
        <f t="shared" si="17"/>
        <v>1</v>
      </c>
      <c r="BE84" s="409"/>
      <c r="BF84" s="418" t="str">
        <f t="shared" si="12"/>
        <v>1</v>
      </c>
      <c r="BG84" s="409"/>
      <c r="BH84" s="418" t="str">
        <f t="shared" si="8"/>
        <v>1</v>
      </c>
      <c r="BI84" s="266"/>
      <c r="BJ84" s="265"/>
    </row>
    <row r="85" spans="1:62" ht="3" customHeight="1">
      <c r="A85" s="265"/>
      <c r="B85" s="289"/>
      <c r="C85" s="404"/>
      <c r="D85" s="418" t="str">
        <f t="shared" si="2"/>
        <v>1</v>
      </c>
      <c r="E85" s="418"/>
      <c r="F85" s="418" t="str">
        <f t="shared" si="11"/>
        <v>1</v>
      </c>
      <c r="G85" s="418"/>
      <c r="H85" s="419" t="str">
        <f t="shared" si="5"/>
        <v>1</v>
      </c>
      <c r="I85" s="418"/>
      <c r="J85" s="419" t="str">
        <f t="shared" si="22"/>
        <v>1</v>
      </c>
      <c r="K85" s="418"/>
      <c r="L85" s="419" t="str">
        <f t="shared" si="13"/>
        <v>1</v>
      </c>
      <c r="M85" s="418"/>
      <c r="N85" s="419" t="str">
        <f t="shared" si="18"/>
        <v>1</v>
      </c>
      <c r="O85" s="418"/>
      <c r="P85" s="418" t="str">
        <f t="shared" si="26"/>
        <v>1</v>
      </c>
      <c r="Q85" s="418"/>
      <c r="R85" s="418" t="str">
        <f t="shared" si="29"/>
        <v>1</v>
      </c>
      <c r="S85" s="418"/>
      <c r="T85" s="418" t="str">
        <f t="shared" si="34"/>
        <v/>
      </c>
      <c r="U85" s="418"/>
      <c r="V85" s="418" t="str">
        <f t="shared" ref="V85:V87" si="38">$X$83</f>
        <v/>
      </c>
      <c r="W85" s="418" t="str">
        <f t="shared" ref="W85:X85" si="39">$X$83</f>
        <v/>
      </c>
      <c r="X85" s="418" t="str">
        <f t="shared" si="39"/>
        <v/>
      </c>
      <c r="Y85" s="418" t="str">
        <f>$X$83</f>
        <v/>
      </c>
      <c r="Z85" s="397"/>
      <c r="AA85" s="412"/>
      <c r="AB85" s="412"/>
      <c r="AC85" s="415"/>
      <c r="AD85" s="416"/>
      <c r="AE85" s="289"/>
      <c r="AF85" s="395"/>
      <c r="AG85" s="421"/>
      <c r="AH85" s="421"/>
      <c r="AI85" s="413"/>
      <c r="AJ85" s="414"/>
      <c r="AK85" s="418" t="str">
        <f t="shared" ref="AK85:AP85" si="40">$AL$83</f>
        <v/>
      </c>
      <c r="AL85" s="418" t="str">
        <f t="shared" si="40"/>
        <v/>
      </c>
      <c r="AM85" s="418" t="str">
        <f t="shared" si="40"/>
        <v/>
      </c>
      <c r="AN85" s="418" t="str">
        <f t="shared" si="40"/>
        <v/>
      </c>
      <c r="AO85" s="418" t="str">
        <f t="shared" si="40"/>
        <v/>
      </c>
      <c r="AP85" s="418" t="str">
        <f t="shared" si="40"/>
        <v/>
      </c>
      <c r="AQ85" s="409"/>
      <c r="AR85" s="418" t="str">
        <f t="shared" si="36"/>
        <v/>
      </c>
      <c r="AS85" s="409"/>
      <c r="AT85" s="418" t="str">
        <f t="shared" si="32"/>
        <v/>
      </c>
      <c r="AU85" s="409"/>
      <c r="AV85" s="418" t="str">
        <f t="shared" si="37"/>
        <v/>
      </c>
      <c r="AW85" s="409"/>
      <c r="AX85" s="418" t="str">
        <f t="shared" si="33"/>
        <v>1</v>
      </c>
      <c r="AY85" s="409"/>
      <c r="AZ85" s="418" t="str">
        <f t="shared" si="28"/>
        <v>1</v>
      </c>
      <c r="BA85" s="409"/>
      <c r="BB85" s="418" t="str">
        <f t="shared" si="23"/>
        <v>1</v>
      </c>
      <c r="BC85" s="409"/>
      <c r="BD85" s="418" t="str">
        <f t="shared" si="17"/>
        <v>1</v>
      </c>
      <c r="BE85" s="409"/>
      <c r="BF85" s="418" t="str">
        <f t="shared" si="12"/>
        <v>1</v>
      </c>
      <c r="BG85" s="409"/>
      <c r="BH85" s="418" t="str">
        <f t="shared" si="8"/>
        <v>1</v>
      </c>
      <c r="BI85" s="266"/>
      <c r="BJ85" s="265"/>
    </row>
    <row r="86" spans="1:62" ht="14.4" customHeight="1">
      <c r="A86" s="265"/>
      <c r="B86" s="289"/>
      <c r="C86" s="289"/>
      <c r="D86" s="418" t="str">
        <f t="shared" si="2"/>
        <v>1</v>
      </c>
      <c r="E86" s="418"/>
      <c r="F86" s="418" t="str">
        <f t="shared" si="11"/>
        <v>1</v>
      </c>
      <c r="G86" s="418"/>
      <c r="H86" s="419" t="str">
        <f t="shared" si="5"/>
        <v>1</v>
      </c>
      <c r="I86" s="418"/>
      <c r="J86" s="419" t="str">
        <f t="shared" si="22"/>
        <v>1</v>
      </c>
      <c r="K86" s="418"/>
      <c r="L86" s="419" t="str">
        <f t="shared" si="13"/>
        <v>1</v>
      </c>
      <c r="M86" s="418"/>
      <c r="N86" s="419" t="str">
        <f t="shared" si="18"/>
        <v>1</v>
      </c>
      <c r="O86" s="418"/>
      <c r="P86" s="418" t="str">
        <f t="shared" si="26"/>
        <v>1</v>
      </c>
      <c r="Q86" s="418"/>
      <c r="R86" s="418" t="str">
        <f t="shared" si="29"/>
        <v>1</v>
      </c>
      <c r="S86" s="418"/>
      <c r="T86" s="418" t="str">
        <f t="shared" si="34"/>
        <v/>
      </c>
      <c r="U86" s="418"/>
      <c r="V86" s="418" t="str">
        <f t="shared" si="38"/>
        <v/>
      </c>
      <c r="W86" s="289"/>
      <c r="X86" s="289"/>
      <c r="Y86" s="289"/>
      <c r="Z86" s="397"/>
      <c r="AA86" s="399" t="str">
        <f>IF(Y82="","",VLOOKUP(Y82,big_tabela,4,0))</f>
        <v/>
      </c>
      <c r="AB86" s="400"/>
      <c r="AC86" s="634" t="str">
        <f>IF(Y82="","","anemostat")</f>
        <v/>
      </c>
      <c r="AD86" s="416" t="str">
        <f>IF(Y82="","","x"&amp;VLOOKUP(Y82,big_tabela,23,0))</f>
        <v/>
      </c>
      <c r="AE86" s="289"/>
      <c r="AF86" s="395"/>
      <c r="AG86" s="398" t="str">
        <f>IF(AK82="","",VLOOKUP(AK82,big_tabela,4,0))</f>
        <v/>
      </c>
      <c r="AH86" s="417"/>
      <c r="AI86" s="635" t="str">
        <f>IF(AK82="","","anemostat")</f>
        <v/>
      </c>
      <c r="AJ86" s="414" t="str">
        <f>IF(AK82="","","x"&amp;VLOOKUP(AK82,big_tabela,22,0))</f>
        <v/>
      </c>
      <c r="AK86" s="401"/>
      <c r="AL86" s="289"/>
      <c r="AM86" s="289"/>
      <c r="AN86" s="289"/>
      <c r="AO86" s="289"/>
      <c r="AP86" s="418" t="str">
        <f>$AL$83</f>
        <v/>
      </c>
      <c r="AQ86" s="409"/>
      <c r="AR86" s="418" t="str">
        <f t="shared" si="36"/>
        <v/>
      </c>
      <c r="AS86" s="409"/>
      <c r="AT86" s="418" t="str">
        <f t="shared" si="32"/>
        <v/>
      </c>
      <c r="AU86" s="409"/>
      <c r="AV86" s="418" t="str">
        <f t="shared" si="37"/>
        <v/>
      </c>
      <c r="AW86" s="409"/>
      <c r="AX86" s="418" t="str">
        <f t="shared" si="33"/>
        <v>1</v>
      </c>
      <c r="AY86" s="409"/>
      <c r="AZ86" s="418" t="str">
        <f t="shared" si="28"/>
        <v>1</v>
      </c>
      <c r="BA86" s="409"/>
      <c r="BB86" s="418" t="str">
        <f t="shared" si="23"/>
        <v>1</v>
      </c>
      <c r="BC86" s="409"/>
      <c r="BD86" s="418" t="str">
        <f t="shared" si="17"/>
        <v>1</v>
      </c>
      <c r="BE86" s="409"/>
      <c r="BF86" s="418" t="str">
        <f t="shared" si="12"/>
        <v>1</v>
      </c>
      <c r="BG86" s="409"/>
      <c r="BH86" s="418" t="str">
        <f t="shared" si="8"/>
        <v>1</v>
      </c>
      <c r="BI86" s="266"/>
      <c r="BJ86" s="265"/>
    </row>
    <row r="87" spans="1:62" ht="6" customHeight="1">
      <c r="A87" s="265"/>
      <c r="B87" s="289"/>
      <c r="C87" s="289"/>
      <c r="D87" s="418" t="str">
        <f t="shared" ref="D87" si="41">$X$20</f>
        <v>1</v>
      </c>
      <c r="E87" s="418"/>
      <c r="F87" s="418" t="str">
        <f t="shared" si="11"/>
        <v>1</v>
      </c>
      <c r="G87" s="418"/>
      <c r="H87" s="419" t="str">
        <f t="shared" si="5"/>
        <v>1</v>
      </c>
      <c r="I87" s="418"/>
      <c r="J87" s="419" t="str">
        <f t="shared" si="22"/>
        <v>1</v>
      </c>
      <c r="K87" s="418"/>
      <c r="L87" s="419" t="str">
        <f t="shared" si="13"/>
        <v>1</v>
      </c>
      <c r="M87" s="418"/>
      <c r="N87" s="419" t="str">
        <f t="shared" si="18"/>
        <v>1</v>
      </c>
      <c r="O87" s="418"/>
      <c r="P87" s="418" t="str">
        <f t="shared" si="26"/>
        <v>1</v>
      </c>
      <c r="Q87" s="418"/>
      <c r="R87" s="418" t="str">
        <f t="shared" si="29"/>
        <v>1</v>
      </c>
      <c r="S87" s="418"/>
      <c r="T87" s="418" t="str">
        <f t="shared" si="34"/>
        <v/>
      </c>
      <c r="U87" s="418"/>
      <c r="V87" s="418" t="str">
        <f t="shared" si="38"/>
        <v/>
      </c>
      <c r="W87" s="289"/>
      <c r="X87" s="289"/>
      <c r="Y87" s="289"/>
      <c r="Z87" s="397"/>
      <c r="AA87" s="397"/>
      <c r="AB87" s="397"/>
      <c r="AC87" s="397"/>
      <c r="AD87" s="397"/>
      <c r="AE87" s="289"/>
      <c r="AF87" s="395"/>
      <c r="AG87" s="395"/>
      <c r="AH87" s="395"/>
      <c r="AI87" s="395"/>
      <c r="AJ87" s="395"/>
      <c r="AK87" s="289"/>
      <c r="AL87" s="289"/>
      <c r="AM87" s="289"/>
      <c r="AN87" s="289"/>
      <c r="AO87" s="289"/>
      <c r="AP87" s="418" t="str">
        <f>$AL$83</f>
        <v/>
      </c>
      <c r="AQ87" s="409"/>
      <c r="AR87" s="418" t="str">
        <f t="shared" si="36"/>
        <v/>
      </c>
      <c r="AS87" s="409"/>
      <c r="AT87" s="418" t="str">
        <f t="shared" ref="AT87" si="42">$AL$69</f>
        <v/>
      </c>
      <c r="AU87" s="409"/>
      <c r="AV87" s="418" t="str">
        <f t="shared" si="37"/>
        <v/>
      </c>
      <c r="AW87" s="409"/>
      <c r="AX87" s="418" t="str">
        <f t="shared" si="33"/>
        <v>1</v>
      </c>
      <c r="AY87" s="409"/>
      <c r="AZ87" s="418" t="str">
        <f t="shared" si="28"/>
        <v>1</v>
      </c>
      <c r="BA87" s="409"/>
      <c r="BB87" s="418" t="str">
        <f t="shared" si="23"/>
        <v>1</v>
      </c>
      <c r="BC87" s="409"/>
      <c r="BD87" s="418" t="str">
        <f t="shared" si="17"/>
        <v>1</v>
      </c>
      <c r="BE87" s="409"/>
      <c r="BF87" s="418" t="str">
        <f t="shared" si="12"/>
        <v>1</v>
      </c>
      <c r="BG87" s="409"/>
      <c r="BH87" s="418" t="str">
        <f t="shared" si="8"/>
        <v>1</v>
      </c>
      <c r="BI87" s="266"/>
      <c r="BJ87" s="265"/>
    </row>
    <row r="88" spans="1:62">
      <c r="A88" s="265"/>
      <c r="B88" s="289"/>
      <c r="C88" s="289"/>
      <c r="D88" s="461"/>
      <c r="E88" s="758" t="str">
        <f>Obliczenia!Y47</f>
        <v/>
      </c>
      <c r="F88" s="758"/>
      <c r="G88" s="758"/>
      <c r="H88" s="758"/>
      <c r="I88" s="758"/>
      <c r="J88" s="758"/>
      <c r="K88" s="758"/>
      <c r="L88" s="758"/>
      <c r="M88" s="758"/>
      <c r="N88" s="758"/>
      <c r="O88" s="758"/>
      <c r="P88" s="758"/>
      <c r="Q88" s="758"/>
      <c r="R88" s="758"/>
      <c r="S88" s="758"/>
      <c r="T88" s="758"/>
      <c r="U88" s="758"/>
      <c r="V88" s="463"/>
      <c r="W88" s="13"/>
      <c r="X88" s="289"/>
      <c r="Y88" s="519"/>
      <c r="Z88" s="289"/>
      <c r="AA88" s="289"/>
      <c r="AB88" s="289"/>
      <c r="AC88" s="289"/>
      <c r="AD88" s="289"/>
      <c r="AE88" s="289"/>
      <c r="AF88" s="289"/>
      <c r="AG88" s="289"/>
      <c r="AH88" s="289"/>
      <c r="AI88" s="289"/>
      <c r="AJ88" s="289"/>
      <c r="AL88" s="515"/>
      <c r="AM88" s="13"/>
      <c r="AN88" s="13"/>
      <c r="AO88" s="13"/>
      <c r="AP88" s="458"/>
      <c r="AQ88" s="760" t="str">
        <f>Obliczenia!AA47</f>
        <v/>
      </c>
      <c r="AR88" s="760"/>
      <c r="AS88" s="760"/>
      <c r="AT88" s="760"/>
      <c r="AU88" s="760"/>
      <c r="AV88" s="760"/>
      <c r="AW88" s="760"/>
      <c r="AX88" s="760"/>
      <c r="AY88" s="760"/>
      <c r="AZ88" s="760"/>
      <c r="BA88" s="760"/>
      <c r="BB88" s="760"/>
      <c r="BC88" s="760"/>
      <c r="BD88" s="760"/>
      <c r="BE88" s="760"/>
      <c r="BF88" s="760"/>
      <c r="BG88" s="760"/>
      <c r="BH88" s="459"/>
      <c r="BI88" s="266"/>
      <c r="BJ88" s="265"/>
    </row>
    <row r="89" spans="1:62">
      <c r="A89" s="265"/>
      <c r="B89" s="289"/>
      <c r="C89" s="289"/>
      <c r="D89" s="464"/>
      <c r="E89" s="790" t="str">
        <f>IF(E88&lt;&gt;"",IF(E90&lt;&gt;"","+",""),"")</f>
        <v/>
      </c>
      <c r="F89" s="791"/>
      <c r="G89" s="791"/>
      <c r="H89" s="791"/>
      <c r="I89" s="791"/>
      <c r="J89" s="791"/>
      <c r="K89" s="791"/>
      <c r="L89" s="791"/>
      <c r="M89" s="791"/>
      <c r="N89" s="791"/>
      <c r="O89" s="791"/>
      <c r="P89" s="791"/>
      <c r="Q89" s="791"/>
      <c r="R89" s="791"/>
      <c r="S89" s="791"/>
      <c r="T89" s="791"/>
      <c r="U89" s="465"/>
      <c r="V89" s="466"/>
      <c r="W89" s="515" t="str">
        <f>"  "&amp;Obliczenia!U30&amp;"x rur DN63"</f>
        <v xml:space="preserve">  14x rur DN63</v>
      </c>
      <c r="X89" s="289"/>
      <c r="Z89" s="289"/>
      <c r="AA89" s="289"/>
      <c r="AB89" s="289"/>
      <c r="AC89" s="289"/>
      <c r="AD89" s="289"/>
      <c r="AE89" s="289"/>
      <c r="AF89" s="289"/>
      <c r="AG89" s="289"/>
      <c r="AH89" s="289"/>
      <c r="AI89" s="289"/>
      <c r="AJ89" s="289"/>
      <c r="AL89" s="515"/>
      <c r="AM89" s="800" t="str">
        <f>Obliczenia!T30&amp;"x rur DN63"</f>
        <v>14x rur DN63</v>
      </c>
      <c r="AN89" s="800"/>
      <c r="AO89" s="801"/>
      <c r="AP89" s="455"/>
      <c r="AQ89" s="798" t="str">
        <f>IF(AQ88&lt;&gt;"",IF(AQ90&lt;&gt;"","+",""),"")</f>
        <v/>
      </c>
      <c r="AR89" s="799"/>
      <c r="AS89" s="799"/>
      <c r="AT89" s="799"/>
      <c r="AU89" s="799"/>
      <c r="AV89" s="799"/>
      <c r="AW89" s="799"/>
      <c r="AX89" s="799"/>
      <c r="AY89" s="799"/>
      <c r="AZ89" s="799"/>
      <c r="BA89" s="799"/>
      <c r="BB89" s="799"/>
      <c r="BC89" s="799"/>
      <c r="BD89" s="799"/>
      <c r="BE89" s="799"/>
      <c r="BF89" s="799"/>
      <c r="BG89" s="799"/>
      <c r="BH89" s="456"/>
      <c r="BI89" s="266"/>
      <c r="BJ89" s="265"/>
    </row>
    <row r="90" spans="1:62">
      <c r="A90" s="265"/>
      <c r="B90" s="289"/>
      <c r="C90" s="289"/>
      <c r="D90" s="467"/>
      <c r="E90" s="759" t="str">
        <f>Obliczenia!Y48</f>
        <v>18x63</v>
      </c>
      <c r="F90" s="759"/>
      <c r="G90" s="759"/>
      <c r="H90" s="759"/>
      <c r="I90" s="759"/>
      <c r="J90" s="759"/>
      <c r="K90" s="759"/>
      <c r="L90" s="759"/>
      <c r="M90" s="759"/>
      <c r="N90" s="759"/>
      <c r="O90" s="759"/>
      <c r="P90" s="759"/>
      <c r="Q90" s="759"/>
      <c r="R90" s="759"/>
      <c r="S90" s="759"/>
      <c r="T90" s="759"/>
      <c r="U90" s="759"/>
      <c r="V90" s="469"/>
      <c r="W90" s="651" t="str">
        <f>IF(Obliczenia!AB29=2,"! Należy zastosować dwa rozdzielacze lub inną średnicę systemu","")</f>
        <v/>
      </c>
      <c r="X90" s="289"/>
      <c r="Y90" s="519"/>
      <c r="Z90" s="289"/>
      <c r="AA90" s="289"/>
      <c r="AB90" s="289"/>
      <c r="AC90" s="289"/>
      <c r="AD90" s="289"/>
      <c r="AE90" s="289"/>
      <c r="AF90" s="289"/>
      <c r="AG90" s="289"/>
      <c r="AH90" s="289"/>
      <c r="AI90" s="765" t="str">
        <f>IF(Obliczenia!Z29=2,"! Należy zastosować dwa rozdzielacze lub inną średnicę systemu","")</f>
        <v/>
      </c>
      <c r="AJ90" s="765"/>
      <c r="AK90" s="765"/>
      <c r="AL90" s="765"/>
      <c r="AM90" s="765"/>
      <c r="AN90" s="765"/>
      <c r="AO90" s="766"/>
      <c r="AP90" s="460"/>
      <c r="AQ90" s="761" t="str">
        <f>Obliczenia!AA48</f>
        <v>18x63</v>
      </c>
      <c r="AR90" s="761"/>
      <c r="AS90" s="761"/>
      <c r="AT90" s="761"/>
      <c r="AU90" s="761"/>
      <c r="AV90" s="761"/>
      <c r="AW90" s="761"/>
      <c r="AX90" s="761"/>
      <c r="AY90" s="761"/>
      <c r="AZ90" s="761"/>
      <c r="BA90" s="761"/>
      <c r="BB90" s="761"/>
      <c r="BC90" s="761"/>
      <c r="BD90" s="761"/>
      <c r="BE90" s="761"/>
      <c r="BF90" s="761"/>
      <c r="BG90" s="761"/>
      <c r="BH90" s="457"/>
      <c r="BI90" s="266"/>
      <c r="BJ90" s="265"/>
    </row>
    <row r="91" spans="1:62" ht="6" customHeight="1">
      <c r="A91" s="265"/>
      <c r="B91" s="289"/>
      <c r="C91" s="289"/>
      <c r="D91" s="409"/>
      <c r="E91" s="409"/>
      <c r="F91" s="409"/>
      <c r="G91" s="461"/>
      <c r="H91" s="462"/>
      <c r="I91" s="462"/>
      <c r="J91" s="462"/>
      <c r="K91" s="463"/>
      <c r="L91" s="409"/>
      <c r="M91" s="409"/>
      <c r="N91" s="409"/>
      <c r="O91" s="409"/>
      <c r="P91" s="418" t="str">
        <f t="shared" ref="P91:P115" si="43">$X$113</f>
        <v/>
      </c>
      <c r="Q91" s="409"/>
      <c r="R91" s="418" t="str">
        <f t="shared" ref="R91:R108" si="44">$X$106</f>
        <v/>
      </c>
      <c r="S91" s="409"/>
      <c r="T91" s="418" t="str">
        <f t="shared" ref="T91:T101" si="45">$X$99</f>
        <v/>
      </c>
      <c r="U91" s="409"/>
      <c r="V91" s="418" t="str">
        <f t="shared" ref="V91:V94" si="46">$X$92</f>
        <v/>
      </c>
      <c r="W91" s="289"/>
      <c r="X91" s="420"/>
      <c r="Y91" s="789" t="str">
        <f>IF(Obliczenia!E71="10","",Obliczenia!E71)</f>
        <v/>
      </c>
      <c r="Z91" s="397"/>
      <c r="AA91" s="397"/>
      <c r="AB91" s="397"/>
      <c r="AC91" s="397"/>
      <c r="AD91" s="397"/>
      <c r="AE91" s="289"/>
      <c r="AF91" s="395"/>
      <c r="AG91" s="395"/>
      <c r="AH91" s="395"/>
      <c r="AI91" s="395"/>
      <c r="AJ91" s="395"/>
      <c r="AK91" s="789" t="str">
        <f>IF(Obliczenia!E47="10","",Obliczenia!E47)</f>
        <v/>
      </c>
      <c r="AL91" s="289"/>
      <c r="AM91" s="289"/>
      <c r="AN91" s="289"/>
      <c r="AO91" s="289"/>
      <c r="AP91" s="418" t="str">
        <f t="shared" ref="AP91:AP94" si="47">$AL$92</f>
        <v/>
      </c>
      <c r="AQ91" s="409"/>
      <c r="AR91" s="418" t="str">
        <f t="shared" ref="AR91:AR101" si="48">$AL$99</f>
        <v/>
      </c>
      <c r="AS91" s="409"/>
      <c r="AT91" s="418" t="str">
        <f t="shared" ref="AT91:AT108" si="49">$AL$106</f>
        <v/>
      </c>
      <c r="AU91" s="409"/>
      <c r="AV91" s="418" t="str">
        <f t="shared" ref="AV91:AV115" si="50">$AL$113</f>
        <v/>
      </c>
      <c r="AW91" s="409"/>
      <c r="AX91" s="409"/>
      <c r="AY91" s="409"/>
      <c r="AZ91" s="409"/>
      <c r="BA91" s="455"/>
      <c r="BB91" s="411"/>
      <c r="BC91" s="411"/>
      <c r="BD91" s="411"/>
      <c r="BE91" s="456"/>
      <c r="BF91" s="409"/>
      <c r="BG91" s="409"/>
      <c r="BH91" s="409"/>
      <c r="BI91" s="266"/>
      <c r="BJ91" s="265"/>
    </row>
    <row r="92" spans="1:62" ht="14.4" customHeight="1">
      <c r="A92" s="265"/>
      <c r="B92" s="289"/>
      <c r="C92" s="289"/>
      <c r="D92" s="409"/>
      <c r="E92" s="409"/>
      <c r="F92" s="409"/>
      <c r="G92" s="464"/>
      <c r="H92" s="465"/>
      <c r="I92" s="465"/>
      <c r="J92" s="465"/>
      <c r="K92" s="466"/>
      <c r="L92" s="409"/>
      <c r="M92" s="409"/>
      <c r="N92" s="409"/>
      <c r="O92" s="409"/>
      <c r="P92" s="418" t="str">
        <f t="shared" si="43"/>
        <v/>
      </c>
      <c r="Q92" s="409"/>
      <c r="R92" s="418" t="str">
        <f t="shared" si="44"/>
        <v/>
      </c>
      <c r="S92" s="409"/>
      <c r="T92" s="418" t="str">
        <f t="shared" si="45"/>
        <v/>
      </c>
      <c r="U92" s="409"/>
      <c r="V92" s="418" t="str">
        <f t="shared" si="46"/>
        <v/>
      </c>
      <c r="W92" s="289"/>
      <c r="X92" s="4" t="str">
        <f>IF(Y91&lt;&gt;"","1","")</f>
        <v/>
      </c>
      <c r="Y92" s="789"/>
      <c r="Z92" s="397"/>
      <c r="AA92" s="772" t="str">
        <f>IF(Y91="","",VLOOKUP(Y91,big_tabela,3,0))</f>
        <v/>
      </c>
      <c r="AB92" s="772"/>
      <c r="AC92" s="773" t="str">
        <f>IF(Y91="","",VLOOKUP(Y91,big_tabela,12,0))</f>
        <v/>
      </c>
      <c r="AD92" s="774" t="s">
        <v>373</v>
      </c>
      <c r="AE92" s="289"/>
      <c r="AF92" s="395"/>
      <c r="AG92" s="783" t="str">
        <f>IF(AK91="","",VLOOKUP(AK91,big_tabela,3,0))</f>
        <v/>
      </c>
      <c r="AH92" s="783"/>
      <c r="AI92" s="784" t="str">
        <f>IF(AK91="","",VLOOKUP(AK91,big_tabela,12,0))</f>
        <v/>
      </c>
      <c r="AJ92" s="767" t="s">
        <v>373</v>
      </c>
      <c r="AK92" s="789"/>
      <c r="AL92" t="str">
        <f>IF(AK91&lt;&gt;"","1","")</f>
        <v/>
      </c>
      <c r="AM92" s="289"/>
      <c r="AN92" s="289"/>
      <c r="AO92" s="289"/>
      <c r="AP92" s="418" t="str">
        <f t="shared" si="47"/>
        <v/>
      </c>
      <c r="AQ92" s="409"/>
      <c r="AR92" s="418" t="str">
        <f t="shared" si="48"/>
        <v/>
      </c>
      <c r="AS92" s="409"/>
      <c r="AT92" s="418" t="str">
        <f t="shared" si="49"/>
        <v/>
      </c>
      <c r="AU92" s="409"/>
      <c r="AV92" s="418" t="str">
        <f t="shared" si="50"/>
        <v/>
      </c>
      <c r="AW92" s="409"/>
      <c r="AX92" s="409"/>
      <c r="AY92" s="409"/>
      <c r="AZ92" s="409"/>
      <c r="BA92" s="455"/>
      <c r="BB92" s="411"/>
      <c r="BC92" s="411"/>
      <c r="BD92" s="411"/>
      <c r="BE92" s="456"/>
      <c r="BF92" s="409"/>
      <c r="BG92" s="409"/>
      <c r="BH92" s="409"/>
      <c r="BI92" s="266"/>
      <c r="BJ92" s="265"/>
    </row>
    <row r="93" spans="1:62" ht="14.4" customHeight="1">
      <c r="A93" s="265"/>
      <c r="B93" s="289"/>
      <c r="C93" s="289"/>
      <c r="D93" s="409"/>
      <c r="E93" s="409"/>
      <c r="F93" s="409"/>
      <c r="G93" s="464"/>
      <c r="H93" s="465"/>
      <c r="I93" s="465"/>
      <c r="J93" s="465"/>
      <c r="K93" s="466"/>
      <c r="L93" s="409"/>
      <c r="M93" s="409"/>
      <c r="N93" s="409"/>
      <c r="O93" s="409"/>
      <c r="P93" s="418" t="str">
        <f t="shared" si="43"/>
        <v/>
      </c>
      <c r="Q93" s="409"/>
      <c r="R93" s="418" t="str">
        <f t="shared" si="44"/>
        <v/>
      </c>
      <c r="S93" s="409"/>
      <c r="T93" s="418" t="str">
        <f t="shared" si="45"/>
        <v/>
      </c>
      <c r="U93" s="409"/>
      <c r="V93" s="418" t="str">
        <f t="shared" si="46"/>
        <v/>
      </c>
      <c r="W93" s="494" t="str">
        <f>IF(Y91="","","Φ63")</f>
        <v/>
      </c>
      <c r="X93" s="495" t="str">
        <f>IF(Y91="","","x"&amp;VLOOKUP(Y91,big_tabela,20,0))</f>
        <v/>
      </c>
      <c r="Y93" s="403" t="str">
        <f>IF(Y91="","","◄")</f>
        <v/>
      </c>
      <c r="Z93" s="397"/>
      <c r="AA93" s="772"/>
      <c r="AB93" s="772"/>
      <c r="AC93" s="773"/>
      <c r="AD93" s="774"/>
      <c r="AE93" s="289"/>
      <c r="AF93" s="395"/>
      <c r="AG93" s="783"/>
      <c r="AH93" s="783"/>
      <c r="AI93" s="784"/>
      <c r="AJ93" s="767"/>
      <c r="AK93" s="402" t="str">
        <f>IF(AK91="","","◄")</f>
        <v/>
      </c>
      <c r="AL93" s="494" t="str">
        <f>IF(AK91="","","Φ63")</f>
        <v/>
      </c>
      <c r="AM93" s="495" t="str">
        <f>IF(AK91="","","x"&amp;VLOOKUP(AK91,big_tabela,19,0))</f>
        <v/>
      </c>
      <c r="AN93" s="289"/>
      <c r="AO93" s="289"/>
      <c r="AP93" s="418" t="str">
        <f t="shared" si="47"/>
        <v/>
      </c>
      <c r="AQ93" s="409"/>
      <c r="AR93" s="418" t="str">
        <f t="shared" si="48"/>
        <v/>
      </c>
      <c r="AS93" s="409"/>
      <c r="AT93" s="418" t="str">
        <f t="shared" si="49"/>
        <v/>
      </c>
      <c r="AU93" s="409"/>
      <c r="AV93" s="418" t="str">
        <f t="shared" si="50"/>
        <v/>
      </c>
      <c r="AW93" s="409"/>
      <c r="AX93" s="409"/>
      <c r="AY93" s="409"/>
      <c r="AZ93" s="409"/>
      <c r="BA93" s="455"/>
      <c r="BB93" s="411"/>
      <c r="BC93" s="411"/>
      <c r="BD93" s="411"/>
      <c r="BE93" s="456"/>
      <c r="BF93" s="409"/>
      <c r="BG93" s="409"/>
      <c r="BH93" s="409"/>
      <c r="BI93" s="266"/>
      <c r="BJ93" s="265"/>
    </row>
    <row r="94" spans="1:62" ht="3" customHeight="1">
      <c r="A94" s="265"/>
      <c r="B94" s="289"/>
      <c r="C94" s="404"/>
      <c r="D94" s="409"/>
      <c r="E94" s="409"/>
      <c r="F94" s="409"/>
      <c r="G94" s="464"/>
      <c r="H94" s="465"/>
      <c r="I94" s="465"/>
      <c r="J94" s="465"/>
      <c r="K94" s="466"/>
      <c r="L94" s="409"/>
      <c r="M94" s="409"/>
      <c r="N94" s="409"/>
      <c r="O94" s="409"/>
      <c r="P94" s="418" t="str">
        <f t="shared" si="43"/>
        <v/>
      </c>
      <c r="Q94" s="409"/>
      <c r="R94" s="418" t="str">
        <f t="shared" si="44"/>
        <v/>
      </c>
      <c r="S94" s="409"/>
      <c r="T94" s="418" t="str">
        <f t="shared" si="45"/>
        <v/>
      </c>
      <c r="U94" s="409"/>
      <c r="V94" s="418" t="str">
        <f t="shared" si="46"/>
        <v/>
      </c>
      <c r="W94" s="418" t="str">
        <f t="shared" ref="W94:X94" si="51">$X$92</f>
        <v/>
      </c>
      <c r="X94" s="418" t="str">
        <f t="shared" si="51"/>
        <v/>
      </c>
      <c r="Y94" s="418" t="str">
        <f>$X$92</f>
        <v/>
      </c>
      <c r="Z94" s="397"/>
      <c r="AA94" s="412"/>
      <c r="AB94" s="412"/>
      <c r="AC94" s="415"/>
      <c r="AD94" s="416"/>
      <c r="AE94" s="289"/>
      <c r="AF94" s="395"/>
      <c r="AG94" s="421"/>
      <c r="AH94" s="421"/>
      <c r="AI94" s="413"/>
      <c r="AJ94" s="414"/>
      <c r="AK94" s="418" t="str">
        <f>$AL$92</f>
        <v/>
      </c>
      <c r="AL94" s="418" t="str">
        <f>$AL$92</f>
        <v/>
      </c>
      <c r="AM94" s="418" t="str">
        <f>$AL$92</f>
        <v/>
      </c>
      <c r="AN94" s="418" t="str">
        <f>$AL$92</f>
        <v/>
      </c>
      <c r="AO94" s="418" t="str">
        <f>$AL$92</f>
        <v/>
      </c>
      <c r="AP94" s="418" t="str">
        <f t="shared" si="47"/>
        <v/>
      </c>
      <c r="AQ94" s="409"/>
      <c r="AR94" s="418" t="str">
        <f t="shared" si="48"/>
        <v/>
      </c>
      <c r="AS94" s="409"/>
      <c r="AT94" s="418" t="str">
        <f t="shared" si="49"/>
        <v/>
      </c>
      <c r="AU94" s="409"/>
      <c r="AV94" s="418" t="str">
        <f t="shared" si="50"/>
        <v/>
      </c>
      <c r="AW94" s="409"/>
      <c r="AX94" s="409"/>
      <c r="AY94" s="409"/>
      <c r="AZ94" s="409"/>
      <c r="BA94" s="455"/>
      <c r="BB94" s="411"/>
      <c r="BC94" s="411"/>
      <c r="BD94" s="411"/>
      <c r="BE94" s="456"/>
      <c r="BF94" s="409"/>
      <c r="BG94" s="409"/>
      <c r="BH94" s="409"/>
      <c r="BI94" s="266"/>
      <c r="BJ94" s="265"/>
    </row>
    <row r="95" spans="1:62" ht="14.4" customHeight="1">
      <c r="A95" s="265"/>
      <c r="B95" s="289"/>
      <c r="C95" s="289"/>
      <c r="D95" s="409"/>
      <c r="E95" s="409"/>
      <c r="F95" s="409"/>
      <c r="G95" s="464"/>
      <c r="H95" s="465"/>
      <c r="I95" s="465"/>
      <c r="J95" s="465"/>
      <c r="K95" s="466"/>
      <c r="L95" s="409"/>
      <c r="M95" s="409"/>
      <c r="N95" s="409"/>
      <c r="O95" s="409"/>
      <c r="P95" s="418" t="str">
        <f t="shared" si="43"/>
        <v/>
      </c>
      <c r="Q95" s="409"/>
      <c r="R95" s="418" t="str">
        <f t="shared" si="44"/>
        <v/>
      </c>
      <c r="S95" s="409"/>
      <c r="T95" s="418" t="str">
        <f t="shared" si="45"/>
        <v/>
      </c>
      <c r="U95" s="409"/>
      <c r="V95" s="409"/>
      <c r="W95" s="289"/>
      <c r="X95" s="289"/>
      <c r="Y95" s="289"/>
      <c r="Z95" s="397"/>
      <c r="AA95" s="399" t="str">
        <f>IF(Y91="","",VLOOKUP(Y91,big_tabela,4,0))</f>
        <v/>
      </c>
      <c r="AB95" s="400"/>
      <c r="AC95" s="634" t="str">
        <f>IF(Y91="","","anemostat")</f>
        <v/>
      </c>
      <c r="AD95" s="416" t="str">
        <f>IF(Y91="","","x"&amp;VLOOKUP(Y91,big_tabela,23,0))</f>
        <v/>
      </c>
      <c r="AE95" s="289"/>
      <c r="AF95" s="395"/>
      <c r="AG95" s="398" t="str">
        <f>IF(AK91="","",VLOOKUP(AK91,big_tabela,4,0))</f>
        <v/>
      </c>
      <c r="AH95" s="417"/>
      <c r="AI95" s="635" t="str">
        <f>IF(AK91="","","anemostat")</f>
        <v/>
      </c>
      <c r="AJ95" s="414" t="str">
        <f>IF(AK91="","","x"&amp;VLOOKUP(AK91,big_tabela,22,0))</f>
        <v/>
      </c>
      <c r="AK95" s="401"/>
      <c r="AL95" s="289"/>
      <c r="AM95" s="289"/>
      <c r="AN95" s="289"/>
      <c r="AO95" s="289"/>
      <c r="AP95" s="409"/>
      <c r="AQ95" s="409"/>
      <c r="AR95" s="418" t="str">
        <f t="shared" si="48"/>
        <v/>
      </c>
      <c r="AS95" s="409"/>
      <c r="AT95" s="418" t="str">
        <f t="shared" si="49"/>
        <v/>
      </c>
      <c r="AU95" s="409"/>
      <c r="AV95" s="418" t="str">
        <f t="shared" si="50"/>
        <v/>
      </c>
      <c r="AW95" s="409"/>
      <c r="AX95" s="409"/>
      <c r="AY95" s="409"/>
      <c r="AZ95" s="409"/>
      <c r="BA95" s="455"/>
      <c r="BB95" s="411"/>
      <c r="BC95" s="411"/>
      <c r="BD95" s="411"/>
      <c r="BE95" s="456"/>
      <c r="BF95" s="409"/>
      <c r="BG95" s="409"/>
      <c r="BH95" s="409"/>
      <c r="BI95" s="266"/>
      <c r="BJ95" s="265"/>
    </row>
    <row r="96" spans="1:62" ht="6" customHeight="1">
      <c r="A96" s="265"/>
      <c r="B96" s="289"/>
      <c r="C96" s="289"/>
      <c r="D96" s="409"/>
      <c r="E96" s="409"/>
      <c r="F96" s="409"/>
      <c r="G96" s="464"/>
      <c r="H96" s="465"/>
      <c r="I96" s="465"/>
      <c r="J96" s="465"/>
      <c r="K96" s="466"/>
      <c r="L96" s="409"/>
      <c r="M96" s="409"/>
      <c r="N96" s="409"/>
      <c r="O96" s="409"/>
      <c r="P96" s="418" t="str">
        <f t="shared" si="43"/>
        <v/>
      </c>
      <c r="Q96" s="409"/>
      <c r="R96" s="418" t="str">
        <f t="shared" si="44"/>
        <v/>
      </c>
      <c r="S96" s="409"/>
      <c r="T96" s="418" t="str">
        <f t="shared" si="45"/>
        <v/>
      </c>
      <c r="U96" s="409"/>
      <c r="V96" s="409"/>
      <c r="W96" s="289"/>
      <c r="X96" s="289"/>
      <c r="Y96" s="289"/>
      <c r="Z96" s="397"/>
      <c r="AA96" s="397"/>
      <c r="AB96" s="397"/>
      <c r="AC96" s="397"/>
      <c r="AD96" s="397"/>
      <c r="AE96" s="289"/>
      <c r="AF96" s="395"/>
      <c r="AG96" s="395"/>
      <c r="AH96" s="395"/>
      <c r="AI96" s="395"/>
      <c r="AJ96" s="395"/>
      <c r="AK96" s="289"/>
      <c r="AL96" s="289"/>
      <c r="AM96" s="289"/>
      <c r="AN96" s="289"/>
      <c r="AO96" s="289"/>
      <c r="AP96" s="409"/>
      <c r="AQ96" s="409"/>
      <c r="AR96" s="418" t="str">
        <f t="shared" si="48"/>
        <v/>
      </c>
      <c r="AS96" s="409"/>
      <c r="AT96" s="418" t="str">
        <f t="shared" si="49"/>
        <v/>
      </c>
      <c r="AU96" s="409"/>
      <c r="AV96" s="418" t="str">
        <f t="shared" si="50"/>
        <v/>
      </c>
      <c r="AW96" s="409"/>
      <c r="AX96" s="409"/>
      <c r="AY96" s="409"/>
      <c r="AZ96" s="409"/>
      <c r="BA96" s="455"/>
      <c r="BB96" s="411"/>
      <c r="BC96" s="411"/>
      <c r="BD96" s="411"/>
      <c r="BE96" s="456"/>
      <c r="BF96" s="409"/>
      <c r="BG96" s="409"/>
      <c r="BH96" s="409"/>
      <c r="BI96" s="266"/>
      <c r="BJ96" s="265"/>
    </row>
    <row r="97" spans="1:62">
      <c r="A97" s="265"/>
      <c r="B97" s="289"/>
      <c r="C97" s="289"/>
      <c r="D97" s="409"/>
      <c r="E97" s="409"/>
      <c r="F97" s="409"/>
      <c r="G97" s="464"/>
      <c r="H97" s="465"/>
      <c r="I97" s="465"/>
      <c r="J97" s="465"/>
      <c r="K97" s="466"/>
      <c r="L97" s="409"/>
      <c r="M97" s="409"/>
      <c r="N97" s="409"/>
      <c r="O97" s="409"/>
      <c r="P97" s="418" t="str">
        <f t="shared" si="43"/>
        <v/>
      </c>
      <c r="Q97" s="409"/>
      <c r="R97" s="418" t="str">
        <f t="shared" si="44"/>
        <v/>
      </c>
      <c r="S97" s="409"/>
      <c r="T97" s="418" t="str">
        <f t="shared" si="45"/>
        <v/>
      </c>
      <c r="U97" s="409"/>
      <c r="V97" s="409"/>
      <c r="W97" s="289"/>
      <c r="X97" s="289"/>
      <c r="Y97" s="289"/>
      <c r="Z97" s="289"/>
      <c r="AA97" s="289"/>
      <c r="AB97" s="289"/>
      <c r="AC97" s="289"/>
      <c r="AD97" s="289"/>
      <c r="AE97" s="289"/>
      <c r="AF97" s="289"/>
      <c r="AG97" s="289"/>
      <c r="AH97" s="289"/>
      <c r="AI97" s="289"/>
      <c r="AJ97" s="289"/>
      <c r="AK97" s="289"/>
      <c r="AL97" s="289"/>
      <c r="AM97" s="289"/>
      <c r="AN97" s="289"/>
      <c r="AO97" s="289"/>
      <c r="AP97" s="409"/>
      <c r="AQ97" s="409"/>
      <c r="AR97" s="418" t="str">
        <f t="shared" si="48"/>
        <v/>
      </c>
      <c r="AS97" s="409"/>
      <c r="AT97" s="418" t="str">
        <f t="shared" si="49"/>
        <v/>
      </c>
      <c r="AU97" s="409"/>
      <c r="AV97" s="418" t="str">
        <f t="shared" si="50"/>
        <v/>
      </c>
      <c r="AW97" s="409"/>
      <c r="AX97" s="409"/>
      <c r="AY97" s="409"/>
      <c r="AZ97" s="409"/>
      <c r="BA97" s="455"/>
      <c r="BB97" s="411"/>
      <c r="BC97" s="411"/>
      <c r="BD97" s="411"/>
      <c r="BE97" s="456"/>
      <c r="BF97" s="409"/>
      <c r="BG97" s="409"/>
      <c r="BH97" s="409"/>
      <c r="BI97" s="266"/>
      <c r="BJ97" s="265"/>
    </row>
    <row r="98" spans="1:62" ht="6" customHeight="1">
      <c r="A98" s="265"/>
      <c r="B98" s="289"/>
      <c r="C98" s="289"/>
      <c r="D98" s="409"/>
      <c r="E98" s="409"/>
      <c r="F98" s="409"/>
      <c r="G98" s="464"/>
      <c r="H98" s="465"/>
      <c r="I98" s="465"/>
      <c r="J98" s="465"/>
      <c r="K98" s="466"/>
      <c r="L98" s="409"/>
      <c r="M98" s="409"/>
      <c r="N98" s="409"/>
      <c r="O98" s="409"/>
      <c r="P98" s="418" t="str">
        <f t="shared" si="43"/>
        <v/>
      </c>
      <c r="Q98" s="409"/>
      <c r="R98" s="418" t="str">
        <f t="shared" si="44"/>
        <v/>
      </c>
      <c r="S98" s="409"/>
      <c r="T98" s="418" t="str">
        <f t="shared" si="45"/>
        <v/>
      </c>
      <c r="U98" s="409"/>
      <c r="V98" s="409"/>
      <c r="W98" s="289"/>
      <c r="X98" s="289"/>
      <c r="Y98" s="789" t="str">
        <f>IF(Obliczenia!E72="10","",Obliczenia!E72)</f>
        <v/>
      </c>
      <c r="Z98" s="397"/>
      <c r="AA98" s="397"/>
      <c r="AB98" s="397"/>
      <c r="AC98" s="397"/>
      <c r="AD98" s="397"/>
      <c r="AE98" s="289"/>
      <c r="AF98" s="395"/>
      <c r="AG98" s="395"/>
      <c r="AH98" s="395"/>
      <c r="AI98" s="395"/>
      <c r="AJ98" s="395"/>
      <c r="AK98" s="789" t="str">
        <f>IF(Obliczenia!E48="10","",Obliczenia!E48)</f>
        <v/>
      </c>
      <c r="AL98" s="289"/>
      <c r="AM98" s="289"/>
      <c r="AN98" s="289"/>
      <c r="AO98" s="289"/>
      <c r="AP98" s="409"/>
      <c r="AQ98" s="409"/>
      <c r="AR98" s="418" t="str">
        <f t="shared" si="48"/>
        <v/>
      </c>
      <c r="AS98" s="409"/>
      <c r="AT98" s="418" t="str">
        <f t="shared" si="49"/>
        <v/>
      </c>
      <c r="AU98" s="409"/>
      <c r="AV98" s="418" t="str">
        <f t="shared" si="50"/>
        <v/>
      </c>
      <c r="AW98" s="409"/>
      <c r="AX98" s="409"/>
      <c r="AY98" s="409"/>
      <c r="AZ98" s="409"/>
      <c r="BA98" s="455"/>
      <c r="BB98" s="411"/>
      <c r="BC98" s="411"/>
      <c r="BD98" s="411"/>
      <c r="BE98" s="456"/>
      <c r="BF98" s="409"/>
      <c r="BG98" s="409"/>
      <c r="BH98" s="409"/>
      <c r="BI98" s="266"/>
      <c r="BJ98" s="265"/>
    </row>
    <row r="99" spans="1:62" ht="14.4" customHeight="1">
      <c r="A99" s="265"/>
      <c r="B99" s="289"/>
      <c r="C99" s="289"/>
      <c r="D99" s="409"/>
      <c r="E99" s="409"/>
      <c r="F99" s="409"/>
      <c r="G99" s="464"/>
      <c r="H99" s="465"/>
      <c r="I99" s="465"/>
      <c r="J99" s="465"/>
      <c r="K99" s="466"/>
      <c r="L99" s="409"/>
      <c r="M99" s="409"/>
      <c r="N99" s="409"/>
      <c r="O99" s="409"/>
      <c r="P99" s="418" t="str">
        <f t="shared" si="43"/>
        <v/>
      </c>
      <c r="Q99" s="409"/>
      <c r="R99" s="418" t="str">
        <f t="shared" si="44"/>
        <v/>
      </c>
      <c r="S99" s="409"/>
      <c r="T99" s="418" t="str">
        <f t="shared" si="45"/>
        <v/>
      </c>
      <c r="U99" s="409"/>
      <c r="V99" s="409"/>
      <c r="W99" s="289"/>
      <c r="X99" s="4" t="str">
        <f>IF(Y98&lt;&gt;"","1","")</f>
        <v/>
      </c>
      <c r="Y99" s="789"/>
      <c r="Z99" s="397"/>
      <c r="AA99" s="772" t="str">
        <f>IF(Y98="","",VLOOKUP(Y98,big_tabela,3,0))</f>
        <v/>
      </c>
      <c r="AB99" s="772"/>
      <c r="AC99" s="773" t="str">
        <f>IF(Y98="","",VLOOKUP(Y98,big_tabela,12,0))</f>
        <v/>
      </c>
      <c r="AD99" s="774" t="s">
        <v>373</v>
      </c>
      <c r="AE99" s="289"/>
      <c r="AF99" s="395"/>
      <c r="AG99" s="783" t="str">
        <f>IF(AK98="","",VLOOKUP(AK98,big_tabela,3,0))</f>
        <v/>
      </c>
      <c r="AH99" s="783"/>
      <c r="AI99" s="784" t="str">
        <f>IF(AK98="","",VLOOKUP(AK98,big_tabela,12,0))</f>
        <v/>
      </c>
      <c r="AJ99" s="767" t="s">
        <v>373</v>
      </c>
      <c r="AK99" s="789"/>
      <c r="AL99" t="str">
        <f>IF(AK98&lt;&gt;"","1","")</f>
        <v/>
      </c>
      <c r="AM99" s="289"/>
      <c r="AN99" s="289"/>
      <c r="AO99" s="289"/>
      <c r="AP99" s="409"/>
      <c r="AQ99" s="409"/>
      <c r="AR99" s="418" t="str">
        <f t="shared" si="48"/>
        <v/>
      </c>
      <c r="AS99" s="409"/>
      <c r="AT99" s="418" t="str">
        <f t="shared" si="49"/>
        <v/>
      </c>
      <c r="AU99" s="409"/>
      <c r="AV99" s="418" t="str">
        <f t="shared" si="50"/>
        <v/>
      </c>
      <c r="AW99" s="409"/>
      <c r="AX99" s="409"/>
      <c r="AY99" s="409"/>
      <c r="AZ99" s="409"/>
      <c r="BA99" s="455"/>
      <c r="BB99" s="411"/>
      <c r="BC99" s="411"/>
      <c r="BD99" s="411"/>
      <c r="BE99" s="456"/>
      <c r="BF99" s="409"/>
      <c r="BG99" s="409"/>
      <c r="BH99" s="409"/>
      <c r="BI99" s="266"/>
      <c r="BJ99" s="265"/>
    </row>
    <row r="100" spans="1:62" ht="14.4" customHeight="1">
      <c r="A100" s="265"/>
      <c r="B100" s="289"/>
      <c r="C100" s="289"/>
      <c r="D100" s="409"/>
      <c r="E100" s="409"/>
      <c r="F100" s="409"/>
      <c r="G100" s="464"/>
      <c r="H100" s="465"/>
      <c r="I100" s="465"/>
      <c r="J100" s="465"/>
      <c r="K100" s="466"/>
      <c r="L100" s="409"/>
      <c r="M100" s="409"/>
      <c r="N100" s="409"/>
      <c r="O100" s="409"/>
      <c r="P100" s="418" t="str">
        <f t="shared" si="43"/>
        <v/>
      </c>
      <c r="Q100" s="409"/>
      <c r="R100" s="418" t="str">
        <f t="shared" si="44"/>
        <v/>
      </c>
      <c r="S100" s="409"/>
      <c r="T100" s="418" t="str">
        <f t="shared" si="45"/>
        <v/>
      </c>
      <c r="U100" s="409"/>
      <c r="V100" s="409"/>
      <c r="W100" s="494" t="str">
        <f>IF(Y98="","","Φ63")</f>
        <v/>
      </c>
      <c r="X100" s="495" t="str">
        <f>IF(Y98="","","x"&amp;VLOOKUP(Y98,big_tabela,20,0))</f>
        <v/>
      </c>
      <c r="Y100" s="403" t="str">
        <f>IF(Y98="","","◄")</f>
        <v/>
      </c>
      <c r="Z100" s="397"/>
      <c r="AA100" s="772"/>
      <c r="AB100" s="772"/>
      <c r="AC100" s="773"/>
      <c r="AD100" s="774"/>
      <c r="AE100" s="289"/>
      <c r="AF100" s="395"/>
      <c r="AG100" s="783"/>
      <c r="AH100" s="783"/>
      <c r="AI100" s="784"/>
      <c r="AJ100" s="767"/>
      <c r="AK100" s="402" t="str">
        <f>IF(AK98="","","◄")</f>
        <v/>
      </c>
      <c r="AL100" s="494" t="str">
        <f>IF(AK98="","","Φ63")</f>
        <v/>
      </c>
      <c r="AM100" s="495" t="str">
        <f>IF(AK98="","","x"&amp;VLOOKUP(AK98,big_tabela,19,0))</f>
        <v/>
      </c>
      <c r="AN100" s="289"/>
      <c r="AO100" s="289"/>
      <c r="AP100" s="409"/>
      <c r="AQ100" s="409"/>
      <c r="AR100" s="418" t="str">
        <f t="shared" si="48"/>
        <v/>
      </c>
      <c r="AS100" s="409"/>
      <c r="AT100" s="418" t="str">
        <f t="shared" si="49"/>
        <v/>
      </c>
      <c r="AU100" s="409"/>
      <c r="AV100" s="418" t="str">
        <f t="shared" si="50"/>
        <v/>
      </c>
      <c r="AW100" s="409"/>
      <c r="AX100" s="409"/>
      <c r="AY100" s="409"/>
      <c r="AZ100" s="409"/>
      <c r="BA100" s="455"/>
      <c r="BB100" s="411"/>
      <c r="BC100" s="411"/>
      <c r="BD100" s="411"/>
      <c r="BE100" s="456"/>
      <c r="BF100" s="409"/>
      <c r="BG100" s="409"/>
      <c r="BH100" s="409"/>
      <c r="BI100" s="266"/>
      <c r="BJ100" s="265"/>
    </row>
    <row r="101" spans="1:62" ht="3" customHeight="1">
      <c r="A101" s="265"/>
      <c r="B101" s="289"/>
      <c r="C101" s="404"/>
      <c r="D101" s="409"/>
      <c r="E101" s="409"/>
      <c r="F101" s="409"/>
      <c r="G101" s="464"/>
      <c r="H101" s="465"/>
      <c r="I101" s="465"/>
      <c r="J101" s="465"/>
      <c r="K101" s="466"/>
      <c r="L101" s="409"/>
      <c r="M101" s="409"/>
      <c r="N101" s="409"/>
      <c r="O101" s="409"/>
      <c r="P101" s="418" t="str">
        <f t="shared" si="43"/>
        <v/>
      </c>
      <c r="Q101" s="409"/>
      <c r="R101" s="418" t="str">
        <f t="shared" si="44"/>
        <v/>
      </c>
      <c r="S101" s="409"/>
      <c r="T101" s="418" t="str">
        <f t="shared" si="45"/>
        <v/>
      </c>
      <c r="U101" s="418" t="str">
        <f t="shared" ref="U101:X101" si="52">$X$99</f>
        <v/>
      </c>
      <c r="V101" s="418" t="str">
        <f t="shared" si="52"/>
        <v/>
      </c>
      <c r="W101" s="418" t="str">
        <f t="shared" si="52"/>
        <v/>
      </c>
      <c r="X101" s="418" t="str">
        <f t="shared" si="52"/>
        <v/>
      </c>
      <c r="Y101" s="418" t="str">
        <f>$X$99</f>
        <v/>
      </c>
      <c r="Z101" s="397"/>
      <c r="AA101" s="412"/>
      <c r="AB101" s="412"/>
      <c r="AC101" s="415"/>
      <c r="AD101" s="416"/>
      <c r="AE101" s="289"/>
      <c r="AF101" s="395"/>
      <c r="AG101" s="421"/>
      <c r="AH101" s="421"/>
      <c r="AI101" s="413"/>
      <c r="AJ101" s="414"/>
      <c r="AK101" s="418" t="str">
        <f t="shared" ref="AK101:AQ101" si="53">$AL$99</f>
        <v/>
      </c>
      <c r="AL101" s="418" t="str">
        <f t="shared" si="53"/>
        <v/>
      </c>
      <c r="AM101" s="418" t="str">
        <f t="shared" si="53"/>
        <v/>
      </c>
      <c r="AN101" s="418" t="str">
        <f t="shared" si="53"/>
        <v/>
      </c>
      <c r="AO101" s="418" t="str">
        <f t="shared" si="53"/>
        <v/>
      </c>
      <c r="AP101" s="418" t="str">
        <f t="shared" si="53"/>
        <v/>
      </c>
      <c r="AQ101" s="418" t="str">
        <f t="shared" si="53"/>
        <v/>
      </c>
      <c r="AR101" s="418" t="str">
        <f t="shared" si="48"/>
        <v/>
      </c>
      <c r="AS101" s="409"/>
      <c r="AT101" s="418" t="str">
        <f t="shared" si="49"/>
        <v/>
      </c>
      <c r="AU101" s="409"/>
      <c r="AV101" s="418" t="str">
        <f t="shared" si="50"/>
        <v/>
      </c>
      <c r="AW101" s="409"/>
      <c r="AX101" s="409"/>
      <c r="AY101" s="409"/>
      <c r="AZ101" s="409"/>
      <c r="BA101" s="455"/>
      <c r="BB101" s="411"/>
      <c r="BC101" s="411"/>
      <c r="BD101" s="411"/>
      <c r="BE101" s="456"/>
      <c r="BF101" s="409"/>
      <c r="BG101" s="409"/>
      <c r="BH101" s="409"/>
      <c r="BI101" s="266"/>
      <c r="BJ101" s="265"/>
    </row>
    <row r="102" spans="1:62" ht="14.4" customHeight="1">
      <c r="A102" s="265"/>
      <c r="B102" s="289"/>
      <c r="C102" s="289"/>
      <c r="D102" s="409"/>
      <c r="E102" s="409"/>
      <c r="F102" s="409"/>
      <c r="G102" s="464"/>
      <c r="H102" s="465"/>
      <c r="I102" s="465"/>
      <c r="J102" s="465"/>
      <c r="K102" s="466"/>
      <c r="L102" s="409"/>
      <c r="M102" s="409"/>
      <c r="N102" s="409"/>
      <c r="O102" s="409"/>
      <c r="P102" s="418" t="str">
        <f t="shared" si="43"/>
        <v/>
      </c>
      <c r="Q102" s="409"/>
      <c r="R102" s="418" t="str">
        <f t="shared" si="44"/>
        <v/>
      </c>
      <c r="S102" s="409"/>
      <c r="T102" s="409"/>
      <c r="U102" s="409"/>
      <c r="V102" s="409"/>
      <c r="W102" s="289"/>
      <c r="X102" s="289"/>
      <c r="Y102" s="289"/>
      <c r="Z102" s="397"/>
      <c r="AA102" s="399" t="str">
        <f>IF(Y98="","",VLOOKUP(Y98,big_tabela,4,0))</f>
        <v/>
      </c>
      <c r="AB102" s="400"/>
      <c r="AC102" s="634" t="str">
        <f>IF(Y98="","","anemostat")</f>
        <v/>
      </c>
      <c r="AD102" s="416" t="str">
        <f>IF(Y98="","","x"&amp;VLOOKUP(Y98,big_tabela,23,0))</f>
        <v/>
      </c>
      <c r="AE102" s="289"/>
      <c r="AF102" s="395"/>
      <c r="AG102" s="398" t="str">
        <f>IF(AK98="","",VLOOKUP(AK98,big_tabela,4,0))</f>
        <v/>
      </c>
      <c r="AH102" s="417"/>
      <c r="AI102" s="635" t="str">
        <f>IF(AK98="","","anemostat")</f>
        <v/>
      </c>
      <c r="AJ102" s="414" t="str">
        <f>IF(AK98="","","x"&amp;VLOOKUP(AK98,big_tabela,22,0))</f>
        <v/>
      </c>
      <c r="AK102" s="401"/>
      <c r="AL102" s="289"/>
      <c r="AM102" s="289"/>
      <c r="AN102" s="289"/>
      <c r="AO102" s="289"/>
      <c r="AP102" s="409"/>
      <c r="AQ102" s="409"/>
      <c r="AR102" s="409"/>
      <c r="AS102" s="409"/>
      <c r="AT102" s="418" t="str">
        <f t="shared" si="49"/>
        <v/>
      </c>
      <c r="AU102" s="409"/>
      <c r="AV102" s="418" t="str">
        <f t="shared" si="50"/>
        <v/>
      </c>
      <c r="AW102" s="409"/>
      <c r="AX102" s="409"/>
      <c r="AY102" s="409"/>
      <c r="AZ102" s="409"/>
      <c r="BA102" s="455"/>
      <c r="BB102" s="411"/>
      <c r="BC102" s="411"/>
      <c r="BD102" s="411"/>
      <c r="BE102" s="456"/>
      <c r="BF102" s="409"/>
      <c r="BG102" s="409"/>
      <c r="BH102" s="409"/>
      <c r="BI102" s="266"/>
      <c r="BJ102" s="265"/>
    </row>
    <row r="103" spans="1:62" ht="6" customHeight="1">
      <c r="A103" s="265"/>
      <c r="B103" s="289"/>
      <c r="C103" s="289"/>
      <c r="D103" s="409"/>
      <c r="E103" s="409"/>
      <c r="F103" s="409"/>
      <c r="G103" s="464"/>
      <c r="H103" s="465"/>
      <c r="I103" s="465"/>
      <c r="J103" s="465"/>
      <c r="K103" s="466"/>
      <c r="L103" s="409"/>
      <c r="M103" s="409"/>
      <c r="N103" s="409"/>
      <c r="O103" s="409"/>
      <c r="P103" s="418" t="str">
        <f t="shared" si="43"/>
        <v/>
      </c>
      <c r="Q103" s="409"/>
      <c r="R103" s="418" t="str">
        <f t="shared" si="44"/>
        <v/>
      </c>
      <c r="S103" s="409"/>
      <c r="T103" s="409"/>
      <c r="U103" s="409"/>
      <c r="V103" s="409"/>
      <c r="W103" s="289"/>
      <c r="X103" s="289"/>
      <c r="Y103" s="289"/>
      <c r="Z103" s="397"/>
      <c r="AA103" s="397"/>
      <c r="AB103" s="397"/>
      <c r="AC103" s="397"/>
      <c r="AD103" s="397"/>
      <c r="AE103" s="289"/>
      <c r="AF103" s="395"/>
      <c r="AG103" s="395"/>
      <c r="AH103" s="395"/>
      <c r="AI103" s="395"/>
      <c r="AJ103" s="395"/>
      <c r="AK103" s="289"/>
      <c r="AL103" s="289"/>
      <c r="AM103" s="289"/>
      <c r="AN103" s="289"/>
      <c r="AO103" s="289"/>
      <c r="AP103" s="409"/>
      <c r="AQ103" s="409"/>
      <c r="AR103" s="409"/>
      <c r="AS103" s="409"/>
      <c r="AT103" s="418" t="str">
        <f t="shared" si="49"/>
        <v/>
      </c>
      <c r="AU103" s="409"/>
      <c r="AV103" s="418" t="str">
        <f t="shared" si="50"/>
        <v/>
      </c>
      <c r="AW103" s="409"/>
      <c r="AX103" s="409"/>
      <c r="AY103" s="409"/>
      <c r="AZ103" s="409"/>
      <c r="BA103" s="455"/>
      <c r="BB103" s="411"/>
      <c r="BC103" s="411"/>
      <c r="BD103" s="411"/>
      <c r="BE103" s="456"/>
      <c r="BF103" s="409"/>
      <c r="BG103" s="409"/>
      <c r="BH103" s="409"/>
      <c r="BI103" s="266"/>
      <c r="BJ103" s="265"/>
    </row>
    <row r="104" spans="1:62">
      <c r="A104" s="265"/>
      <c r="B104" s="289"/>
      <c r="C104" s="289"/>
      <c r="D104" s="409"/>
      <c r="E104" s="409"/>
      <c r="F104" s="409"/>
      <c r="G104" s="464"/>
      <c r="H104" s="465"/>
      <c r="I104" s="465"/>
      <c r="J104" s="465"/>
      <c r="K104" s="466"/>
      <c r="L104" s="409"/>
      <c r="M104" s="409"/>
      <c r="N104" s="409"/>
      <c r="O104" s="409"/>
      <c r="P104" s="418" t="str">
        <f t="shared" si="43"/>
        <v/>
      </c>
      <c r="Q104" s="409"/>
      <c r="R104" s="418" t="str">
        <f t="shared" si="44"/>
        <v/>
      </c>
      <c r="S104" s="409"/>
      <c r="T104" s="409"/>
      <c r="U104" s="409"/>
      <c r="V104" s="409"/>
      <c r="W104" s="289"/>
      <c r="X104" s="289"/>
      <c r="Y104" s="289"/>
      <c r="Z104" s="289"/>
      <c r="AA104" s="289"/>
      <c r="AB104" s="289"/>
      <c r="AC104" s="289"/>
      <c r="AD104" s="289"/>
      <c r="AE104" s="289"/>
      <c r="AF104" s="289"/>
      <c r="AG104" s="289"/>
      <c r="AH104" s="289"/>
      <c r="AI104" s="289"/>
      <c r="AJ104" s="289"/>
      <c r="AK104" s="289"/>
      <c r="AL104" s="289"/>
      <c r="AM104" s="289"/>
      <c r="AN104" s="289"/>
      <c r="AO104" s="289"/>
      <c r="AP104" s="409"/>
      <c r="AQ104" s="409"/>
      <c r="AR104" s="409"/>
      <c r="AS104" s="409"/>
      <c r="AT104" s="418" t="str">
        <f t="shared" si="49"/>
        <v/>
      </c>
      <c r="AU104" s="409"/>
      <c r="AV104" s="418" t="str">
        <f t="shared" si="50"/>
        <v/>
      </c>
      <c r="AW104" s="409"/>
      <c r="AX104" s="409"/>
      <c r="AY104" s="409"/>
      <c r="AZ104" s="409"/>
      <c r="BA104" s="455"/>
      <c r="BB104" s="411"/>
      <c r="BC104" s="411"/>
      <c r="BD104" s="411"/>
      <c r="BE104" s="456"/>
      <c r="BF104" s="409"/>
      <c r="BG104" s="409"/>
      <c r="BH104" s="409"/>
      <c r="BI104" s="266"/>
      <c r="BJ104" s="265"/>
    </row>
    <row r="105" spans="1:62" ht="6" customHeight="1">
      <c r="A105" s="265"/>
      <c r="B105" s="289"/>
      <c r="C105" s="289"/>
      <c r="D105" s="409"/>
      <c r="E105" s="409"/>
      <c r="F105" s="409"/>
      <c r="G105" s="464"/>
      <c r="H105" s="465"/>
      <c r="I105" s="465"/>
      <c r="J105" s="465"/>
      <c r="K105" s="466"/>
      <c r="L105" s="409"/>
      <c r="M105" s="409"/>
      <c r="N105" s="409"/>
      <c r="O105" s="409"/>
      <c r="P105" s="418" t="str">
        <f t="shared" si="43"/>
        <v/>
      </c>
      <c r="Q105" s="409"/>
      <c r="R105" s="418" t="str">
        <f t="shared" si="44"/>
        <v/>
      </c>
      <c r="S105" s="409"/>
      <c r="T105" s="409"/>
      <c r="U105" s="409"/>
      <c r="V105" s="409"/>
      <c r="W105" s="289"/>
      <c r="X105" s="289"/>
      <c r="Y105" s="789" t="str">
        <f>IF(Obliczenia!E73="10","",Obliczenia!E73)</f>
        <v/>
      </c>
      <c r="Z105" s="397"/>
      <c r="AA105" s="397"/>
      <c r="AB105" s="397"/>
      <c r="AC105" s="397"/>
      <c r="AD105" s="397"/>
      <c r="AE105" s="289"/>
      <c r="AF105" s="395"/>
      <c r="AG105" s="395"/>
      <c r="AH105" s="395"/>
      <c r="AI105" s="395"/>
      <c r="AJ105" s="395"/>
      <c r="AK105" s="789" t="str">
        <f>IF(Obliczenia!E49="10","",Obliczenia!E49)</f>
        <v/>
      </c>
      <c r="AL105" s="289"/>
      <c r="AM105" s="289"/>
      <c r="AN105" s="289"/>
      <c r="AO105" s="289"/>
      <c r="AP105" s="409"/>
      <c r="AQ105" s="409"/>
      <c r="AR105" s="409"/>
      <c r="AS105" s="409"/>
      <c r="AT105" s="418" t="str">
        <f t="shared" si="49"/>
        <v/>
      </c>
      <c r="AU105" s="409"/>
      <c r="AV105" s="418" t="str">
        <f t="shared" si="50"/>
        <v/>
      </c>
      <c r="AW105" s="409"/>
      <c r="AX105" s="409"/>
      <c r="AY105" s="409"/>
      <c r="AZ105" s="409"/>
      <c r="BA105" s="455"/>
      <c r="BB105" s="411"/>
      <c r="BC105" s="411"/>
      <c r="BD105" s="411"/>
      <c r="BE105" s="456"/>
      <c r="BF105" s="409"/>
      <c r="BG105" s="409"/>
      <c r="BH105" s="409"/>
      <c r="BI105" s="266"/>
      <c r="BJ105" s="265"/>
    </row>
    <row r="106" spans="1:62" ht="14.4" customHeight="1">
      <c r="A106" s="265"/>
      <c r="B106" s="289"/>
      <c r="C106" s="289"/>
      <c r="D106" s="409"/>
      <c r="E106" s="409"/>
      <c r="F106" s="409"/>
      <c r="G106" s="464"/>
      <c r="H106" s="465"/>
      <c r="I106" s="465"/>
      <c r="J106" s="465"/>
      <c r="K106" s="466"/>
      <c r="L106" s="409"/>
      <c r="M106" s="409"/>
      <c r="N106" s="409"/>
      <c r="O106" s="409"/>
      <c r="P106" s="418" t="str">
        <f t="shared" si="43"/>
        <v/>
      </c>
      <c r="Q106" s="409"/>
      <c r="R106" s="418" t="str">
        <f t="shared" si="44"/>
        <v/>
      </c>
      <c r="S106" s="409"/>
      <c r="T106" s="409"/>
      <c r="U106" s="409"/>
      <c r="V106" s="409"/>
      <c r="W106" s="289"/>
      <c r="X106" s="4" t="str">
        <f>IF(Y105&lt;&gt;"","1","")</f>
        <v/>
      </c>
      <c r="Y106" s="789"/>
      <c r="Z106" s="397"/>
      <c r="AA106" s="772" t="str">
        <f>IF(Y105="","",VLOOKUP(Y105,big_tabela,3,0))</f>
        <v/>
      </c>
      <c r="AB106" s="772"/>
      <c r="AC106" s="773" t="str">
        <f>IF(Y105="","",VLOOKUP(Y105,big_tabela,12,0))</f>
        <v/>
      </c>
      <c r="AD106" s="774" t="s">
        <v>373</v>
      </c>
      <c r="AE106" s="289"/>
      <c r="AF106" s="395"/>
      <c r="AG106" s="783" t="str">
        <f>IF(AK105="","",VLOOKUP(AK105,big_tabela,3,0))</f>
        <v/>
      </c>
      <c r="AH106" s="783"/>
      <c r="AI106" s="784" t="str">
        <f>IF(AK105="","",VLOOKUP(AK105,big_tabela,12,0))</f>
        <v/>
      </c>
      <c r="AJ106" s="767" t="s">
        <v>373</v>
      </c>
      <c r="AK106" s="789"/>
      <c r="AL106" t="str">
        <f>IF(AK105&lt;&gt;"","1","")</f>
        <v/>
      </c>
      <c r="AM106" s="289"/>
      <c r="AN106" s="289"/>
      <c r="AO106" s="289"/>
      <c r="AP106" s="409"/>
      <c r="AQ106" s="409"/>
      <c r="AR106" s="409"/>
      <c r="AS106" s="409"/>
      <c r="AT106" s="418" t="str">
        <f t="shared" si="49"/>
        <v/>
      </c>
      <c r="AU106" s="409"/>
      <c r="AV106" s="418" t="str">
        <f t="shared" si="50"/>
        <v/>
      </c>
      <c r="AW106" s="409"/>
      <c r="AX106" s="409"/>
      <c r="AY106" s="409"/>
      <c r="AZ106" s="409"/>
      <c r="BA106" s="455"/>
      <c r="BB106" s="411"/>
      <c r="BC106" s="411"/>
      <c r="BD106" s="411"/>
      <c r="BE106" s="456"/>
      <c r="BF106" s="409"/>
      <c r="BG106" s="409"/>
      <c r="BH106" s="409"/>
      <c r="BI106" s="266"/>
      <c r="BJ106" s="265"/>
    </row>
    <row r="107" spans="1:62" ht="14.4" customHeight="1">
      <c r="A107" s="265"/>
      <c r="B107" s="289"/>
      <c r="C107" s="289"/>
      <c r="D107" s="409"/>
      <c r="E107" s="409"/>
      <c r="F107" s="409"/>
      <c r="G107" s="464"/>
      <c r="H107" s="465"/>
      <c r="I107" s="465"/>
      <c r="J107" s="465"/>
      <c r="K107" s="466"/>
      <c r="L107" s="409"/>
      <c r="M107" s="409"/>
      <c r="N107" s="409"/>
      <c r="O107" s="409"/>
      <c r="P107" s="418" t="str">
        <f t="shared" si="43"/>
        <v/>
      </c>
      <c r="Q107" s="409"/>
      <c r="R107" s="418" t="str">
        <f t="shared" si="44"/>
        <v/>
      </c>
      <c r="S107" s="409"/>
      <c r="T107" s="409"/>
      <c r="U107" s="409"/>
      <c r="V107" s="409"/>
      <c r="W107" s="494" t="str">
        <f>IF(Y105="","","Φ63")</f>
        <v/>
      </c>
      <c r="X107" s="495" t="str">
        <f>IF(Y105="","","x"&amp;VLOOKUP(Y105,big_tabela,20,0))</f>
        <v/>
      </c>
      <c r="Y107" s="403" t="str">
        <f>IF(Y105="","","◄")</f>
        <v/>
      </c>
      <c r="Z107" s="397"/>
      <c r="AA107" s="772"/>
      <c r="AB107" s="772"/>
      <c r="AC107" s="773"/>
      <c r="AD107" s="774"/>
      <c r="AE107" s="289"/>
      <c r="AF107" s="395"/>
      <c r="AG107" s="783"/>
      <c r="AH107" s="783"/>
      <c r="AI107" s="784"/>
      <c r="AJ107" s="767"/>
      <c r="AK107" s="402" t="str">
        <f>IF(AK105="","","◄")</f>
        <v/>
      </c>
      <c r="AL107" s="494" t="str">
        <f>IF(AK105="","","Φ63")</f>
        <v/>
      </c>
      <c r="AM107" s="495" t="str">
        <f>IF(AK105="","","x"&amp;VLOOKUP(AK105,big_tabela,19,0))</f>
        <v/>
      </c>
      <c r="AN107" s="289"/>
      <c r="AO107" s="289"/>
      <c r="AP107" s="409"/>
      <c r="AQ107" s="409"/>
      <c r="AR107" s="409"/>
      <c r="AS107" s="409"/>
      <c r="AT107" s="418" t="str">
        <f t="shared" si="49"/>
        <v/>
      </c>
      <c r="AU107" s="409"/>
      <c r="AV107" s="418" t="str">
        <f t="shared" si="50"/>
        <v/>
      </c>
      <c r="AW107" s="409"/>
      <c r="AX107" s="409"/>
      <c r="AY107" s="409"/>
      <c r="AZ107" s="409"/>
      <c r="BA107" s="455"/>
      <c r="BB107" s="411"/>
      <c r="BC107" s="411"/>
      <c r="BD107" s="411"/>
      <c r="BE107" s="456"/>
      <c r="BF107" s="409"/>
      <c r="BG107" s="409"/>
      <c r="BH107" s="409"/>
      <c r="BI107" s="266"/>
      <c r="BJ107" s="265"/>
    </row>
    <row r="108" spans="1:62" ht="3" customHeight="1">
      <c r="A108" s="265"/>
      <c r="B108" s="289"/>
      <c r="C108" s="404"/>
      <c r="D108" s="409"/>
      <c r="E108" s="409"/>
      <c r="F108" s="409"/>
      <c r="G108" s="464"/>
      <c r="H108" s="465"/>
      <c r="I108" s="465"/>
      <c r="J108" s="465"/>
      <c r="K108" s="466"/>
      <c r="L108" s="409"/>
      <c r="M108" s="409"/>
      <c r="N108" s="409"/>
      <c r="O108" s="409"/>
      <c r="P108" s="418" t="str">
        <f t="shared" si="43"/>
        <v/>
      </c>
      <c r="Q108" s="409"/>
      <c r="R108" s="418" t="str">
        <f t="shared" si="44"/>
        <v/>
      </c>
      <c r="S108" s="418" t="str">
        <f t="shared" ref="S108:X108" si="54">$X$106</f>
        <v/>
      </c>
      <c r="T108" s="418" t="str">
        <f t="shared" si="54"/>
        <v/>
      </c>
      <c r="U108" s="418" t="str">
        <f t="shared" si="54"/>
        <v/>
      </c>
      <c r="V108" s="418" t="str">
        <f t="shared" si="54"/>
        <v/>
      </c>
      <c r="W108" s="418" t="str">
        <f t="shared" si="54"/>
        <v/>
      </c>
      <c r="X108" s="418" t="str">
        <f t="shared" si="54"/>
        <v/>
      </c>
      <c r="Y108" s="418" t="str">
        <f>$X$106</f>
        <v/>
      </c>
      <c r="Z108" s="397"/>
      <c r="AA108" s="412"/>
      <c r="AB108" s="412"/>
      <c r="AC108" s="415"/>
      <c r="AD108" s="416"/>
      <c r="AE108" s="289"/>
      <c r="AF108" s="395"/>
      <c r="AG108" s="421"/>
      <c r="AH108" s="421"/>
      <c r="AI108" s="413"/>
      <c r="AJ108" s="414"/>
      <c r="AK108" s="418" t="str">
        <f t="shared" ref="AK108:AS108" si="55">$AL$106</f>
        <v/>
      </c>
      <c r="AL108" s="418" t="str">
        <f t="shared" si="55"/>
        <v/>
      </c>
      <c r="AM108" s="418" t="str">
        <f t="shared" si="55"/>
        <v/>
      </c>
      <c r="AN108" s="418" t="str">
        <f t="shared" si="55"/>
        <v/>
      </c>
      <c r="AO108" s="418" t="str">
        <f t="shared" si="55"/>
        <v/>
      </c>
      <c r="AP108" s="418" t="str">
        <f t="shared" si="55"/>
        <v/>
      </c>
      <c r="AQ108" s="418" t="str">
        <f t="shared" si="55"/>
        <v/>
      </c>
      <c r="AR108" s="418" t="str">
        <f t="shared" si="55"/>
        <v/>
      </c>
      <c r="AS108" s="418" t="str">
        <f t="shared" si="55"/>
        <v/>
      </c>
      <c r="AT108" s="418" t="str">
        <f t="shared" si="49"/>
        <v/>
      </c>
      <c r="AU108" s="409"/>
      <c r="AV108" s="418" t="str">
        <f t="shared" si="50"/>
        <v/>
      </c>
      <c r="AW108" s="409"/>
      <c r="AX108" s="409"/>
      <c r="AY108" s="409"/>
      <c r="AZ108" s="409"/>
      <c r="BA108" s="455"/>
      <c r="BB108" s="411"/>
      <c r="BC108" s="411"/>
      <c r="BD108" s="411"/>
      <c r="BE108" s="456"/>
      <c r="BF108" s="409"/>
      <c r="BG108" s="409"/>
      <c r="BH108" s="409"/>
      <c r="BI108" s="266"/>
      <c r="BJ108" s="265"/>
    </row>
    <row r="109" spans="1:62" ht="14.4" customHeight="1">
      <c r="A109" s="265"/>
      <c r="B109" s="289"/>
      <c r="C109" s="289"/>
      <c r="D109" s="409"/>
      <c r="E109" s="409"/>
      <c r="F109" s="409"/>
      <c r="G109" s="464"/>
      <c r="H109" s="465"/>
      <c r="I109" s="465"/>
      <c r="J109" s="465"/>
      <c r="K109" s="466"/>
      <c r="L109" s="409"/>
      <c r="M109" s="409"/>
      <c r="N109" s="409"/>
      <c r="O109" s="409"/>
      <c r="P109" s="418" t="str">
        <f t="shared" si="43"/>
        <v/>
      </c>
      <c r="Q109" s="409"/>
      <c r="R109" s="409"/>
      <c r="S109" s="409"/>
      <c r="T109" s="409"/>
      <c r="U109" s="409"/>
      <c r="V109" s="409"/>
      <c r="W109" s="289"/>
      <c r="X109" s="289"/>
      <c r="Y109" s="289"/>
      <c r="Z109" s="397"/>
      <c r="AA109" s="399" t="str">
        <f>IF(Y105="","",VLOOKUP(Y105,big_tabela,4,0))</f>
        <v/>
      </c>
      <c r="AB109" s="400"/>
      <c r="AC109" s="634" t="str">
        <f>IF(Y105="","","anemostat")</f>
        <v/>
      </c>
      <c r="AD109" s="416" t="str">
        <f>IF(Y105="","","x"&amp;VLOOKUP(Y105,big_tabela,23,0))</f>
        <v/>
      </c>
      <c r="AE109" s="289"/>
      <c r="AF109" s="395"/>
      <c r="AG109" s="398" t="str">
        <f>IF(AK105="","",VLOOKUP(AK105,big_tabela,4,0))</f>
        <v/>
      </c>
      <c r="AH109" s="417"/>
      <c r="AI109" s="635" t="str">
        <f>IF(AK105="","","anemostat")</f>
        <v/>
      </c>
      <c r="AJ109" s="414" t="str">
        <f>IF(AK105="","","x"&amp;VLOOKUP(AK105,big_tabela,22,0))</f>
        <v/>
      </c>
      <c r="AK109" s="401"/>
      <c r="AL109" s="289"/>
      <c r="AM109" s="289"/>
      <c r="AN109" s="289"/>
      <c r="AO109" s="289"/>
      <c r="AP109" s="409"/>
      <c r="AQ109" s="409"/>
      <c r="AR109" s="409"/>
      <c r="AS109" s="409"/>
      <c r="AT109" s="409"/>
      <c r="AU109" s="409"/>
      <c r="AV109" s="418" t="str">
        <f t="shared" si="50"/>
        <v/>
      </c>
      <c r="AW109" s="409"/>
      <c r="AX109" s="409"/>
      <c r="AY109" s="409"/>
      <c r="AZ109" s="409"/>
      <c r="BA109" s="455"/>
      <c r="BB109" s="411"/>
      <c r="BC109" s="411"/>
      <c r="BD109" s="411"/>
      <c r="BE109" s="456"/>
      <c r="BF109" s="409"/>
      <c r="BG109" s="409"/>
      <c r="BH109" s="409"/>
      <c r="BI109" s="266"/>
      <c r="BJ109" s="265"/>
    </row>
    <row r="110" spans="1:62" ht="6" customHeight="1">
      <c r="A110" s="265"/>
      <c r="B110" s="289"/>
      <c r="C110" s="289"/>
      <c r="D110" s="409"/>
      <c r="E110" s="409"/>
      <c r="F110" s="409"/>
      <c r="G110" s="464"/>
      <c r="H110" s="465"/>
      <c r="I110" s="465"/>
      <c r="J110" s="465"/>
      <c r="K110" s="466"/>
      <c r="L110" s="409"/>
      <c r="M110" s="409"/>
      <c r="N110" s="409"/>
      <c r="O110" s="409"/>
      <c r="P110" s="418" t="str">
        <f t="shared" si="43"/>
        <v/>
      </c>
      <c r="Q110" s="409"/>
      <c r="R110" s="409"/>
      <c r="S110" s="409"/>
      <c r="T110" s="409"/>
      <c r="U110" s="409"/>
      <c r="V110" s="409"/>
      <c r="W110" s="289"/>
      <c r="X110" s="289"/>
      <c r="Y110" s="289"/>
      <c r="Z110" s="397"/>
      <c r="AA110" s="397"/>
      <c r="AB110" s="397"/>
      <c r="AC110" s="397"/>
      <c r="AD110" s="397"/>
      <c r="AE110" s="289"/>
      <c r="AF110" s="395"/>
      <c r="AG110" s="395"/>
      <c r="AH110" s="395"/>
      <c r="AI110" s="395"/>
      <c r="AJ110" s="395"/>
      <c r="AK110" s="289"/>
      <c r="AL110" s="289"/>
      <c r="AM110" s="289"/>
      <c r="AN110" s="289"/>
      <c r="AO110" s="289"/>
      <c r="AP110" s="409"/>
      <c r="AQ110" s="409"/>
      <c r="AR110" s="409"/>
      <c r="AS110" s="409"/>
      <c r="AT110" s="409"/>
      <c r="AU110" s="409"/>
      <c r="AV110" s="418" t="str">
        <f t="shared" si="50"/>
        <v/>
      </c>
      <c r="AW110" s="409"/>
      <c r="AX110" s="409"/>
      <c r="AY110" s="409"/>
      <c r="AZ110" s="409"/>
      <c r="BA110" s="455"/>
      <c r="BB110" s="411"/>
      <c r="BC110" s="411"/>
      <c r="BD110" s="411"/>
      <c r="BE110" s="456"/>
      <c r="BF110" s="409"/>
      <c r="BG110" s="409"/>
      <c r="BH110" s="409"/>
      <c r="BI110" s="266"/>
      <c r="BJ110" s="265"/>
    </row>
    <row r="111" spans="1:62">
      <c r="A111" s="265"/>
      <c r="B111" s="289"/>
      <c r="C111" s="289"/>
      <c r="D111" s="409"/>
      <c r="E111" s="409"/>
      <c r="F111" s="409"/>
      <c r="G111" s="464"/>
      <c r="H111" s="465"/>
      <c r="I111" s="465"/>
      <c r="J111" s="465"/>
      <c r="K111" s="466"/>
      <c r="L111" s="409"/>
      <c r="M111" s="409"/>
      <c r="N111" s="409"/>
      <c r="O111" s="409"/>
      <c r="P111" s="418" t="str">
        <f t="shared" si="43"/>
        <v/>
      </c>
      <c r="Q111" s="409"/>
      <c r="R111" s="409"/>
      <c r="S111" s="409"/>
      <c r="T111" s="409"/>
      <c r="U111" s="409"/>
      <c r="V111" s="409"/>
      <c r="W111" s="289"/>
      <c r="X111" s="289"/>
      <c r="Y111" s="289"/>
      <c r="Z111" s="289"/>
      <c r="AA111" s="289"/>
      <c r="AB111" s="289"/>
      <c r="AC111" s="289"/>
      <c r="AD111" s="289"/>
      <c r="AE111" s="289"/>
      <c r="AF111" s="289"/>
      <c r="AG111" s="289"/>
      <c r="AH111" s="289"/>
      <c r="AI111" s="289"/>
      <c r="AJ111" s="289"/>
      <c r="AK111" s="289"/>
      <c r="AL111" s="289"/>
      <c r="AM111" s="289"/>
      <c r="AN111" s="289"/>
      <c r="AO111" s="289"/>
      <c r="AP111" s="409"/>
      <c r="AQ111" s="409"/>
      <c r="AR111" s="409"/>
      <c r="AS111" s="409"/>
      <c r="AT111" s="409"/>
      <c r="AU111" s="409"/>
      <c r="AV111" s="418" t="str">
        <f t="shared" si="50"/>
        <v/>
      </c>
      <c r="AW111" s="409"/>
      <c r="AX111" s="409"/>
      <c r="AY111" s="409"/>
      <c r="AZ111" s="409"/>
      <c r="BA111" s="455"/>
      <c r="BB111" s="411"/>
      <c r="BC111" s="411"/>
      <c r="BD111" s="411"/>
      <c r="BE111" s="456"/>
      <c r="BF111" s="409"/>
      <c r="BG111" s="409"/>
      <c r="BH111" s="409"/>
      <c r="BI111" s="266"/>
      <c r="BJ111" s="265"/>
    </row>
    <row r="112" spans="1:62" ht="6" customHeight="1">
      <c r="A112" s="265"/>
      <c r="B112" s="289"/>
      <c r="C112" s="289"/>
      <c r="D112" s="409"/>
      <c r="E112" s="409"/>
      <c r="F112" s="409"/>
      <c r="G112" s="464"/>
      <c r="H112" s="465"/>
      <c r="I112" s="465"/>
      <c r="J112" s="465"/>
      <c r="K112" s="466"/>
      <c r="L112" s="409"/>
      <c r="M112" s="409"/>
      <c r="N112" s="409"/>
      <c r="O112" s="409"/>
      <c r="P112" s="418" t="str">
        <f t="shared" si="43"/>
        <v/>
      </c>
      <c r="Q112" s="409"/>
      <c r="R112" s="409"/>
      <c r="S112" s="409"/>
      <c r="T112" s="409"/>
      <c r="U112" s="409"/>
      <c r="V112" s="409"/>
      <c r="W112" s="289"/>
      <c r="X112" s="289"/>
      <c r="Y112" s="789" t="str">
        <f>IF(Obliczenia!E74="10","",Obliczenia!E74)</f>
        <v/>
      </c>
      <c r="Z112" s="397"/>
      <c r="AA112" s="397"/>
      <c r="AB112" s="397"/>
      <c r="AC112" s="397"/>
      <c r="AD112" s="397"/>
      <c r="AE112" s="289"/>
      <c r="AF112" s="395"/>
      <c r="AG112" s="395"/>
      <c r="AH112" s="395"/>
      <c r="AI112" s="395"/>
      <c r="AJ112" s="395"/>
      <c r="AK112" s="789" t="str">
        <f>IF(Obliczenia!E50="10","",Obliczenia!E50)</f>
        <v/>
      </c>
      <c r="AL112" s="289"/>
      <c r="AM112" s="289"/>
      <c r="AN112" s="289"/>
      <c r="AO112" s="289"/>
      <c r="AP112" s="409"/>
      <c r="AQ112" s="409"/>
      <c r="AR112" s="409"/>
      <c r="AS112" s="409"/>
      <c r="AT112" s="409"/>
      <c r="AU112" s="409"/>
      <c r="AV112" s="418" t="str">
        <f t="shared" si="50"/>
        <v/>
      </c>
      <c r="AW112" s="409"/>
      <c r="AX112" s="409"/>
      <c r="AY112" s="409"/>
      <c r="AZ112" s="409"/>
      <c r="BA112" s="455"/>
      <c r="BB112" s="411"/>
      <c r="BC112" s="411"/>
      <c r="BD112" s="411"/>
      <c r="BE112" s="456"/>
      <c r="BF112" s="409"/>
      <c r="BG112" s="409"/>
      <c r="BH112" s="409"/>
      <c r="BI112" s="266"/>
      <c r="BJ112" s="265"/>
    </row>
    <row r="113" spans="1:62" ht="14.4" customHeight="1">
      <c r="A113" s="265"/>
      <c r="B113" s="289"/>
      <c r="C113" s="289"/>
      <c r="D113" s="409"/>
      <c r="E113" s="409"/>
      <c r="F113" s="409"/>
      <c r="G113" s="464"/>
      <c r="H113" s="465"/>
      <c r="I113" s="465"/>
      <c r="J113" s="465"/>
      <c r="K113" s="466"/>
      <c r="L113" s="409"/>
      <c r="M113" s="409"/>
      <c r="N113" s="409"/>
      <c r="O113" s="409"/>
      <c r="P113" s="418" t="str">
        <f t="shared" si="43"/>
        <v/>
      </c>
      <c r="Q113" s="409"/>
      <c r="R113" s="409"/>
      <c r="S113" s="409"/>
      <c r="T113" s="409"/>
      <c r="U113" s="409"/>
      <c r="V113" s="409"/>
      <c r="W113" s="289"/>
      <c r="X113" s="4" t="str">
        <f>IF(Y112&lt;&gt;"","1","")</f>
        <v/>
      </c>
      <c r="Y113" s="789"/>
      <c r="Z113" s="397"/>
      <c r="AA113" s="772" t="str">
        <f>IF(Y112="","",VLOOKUP(Y112,big_tabela,3,0))</f>
        <v/>
      </c>
      <c r="AB113" s="772"/>
      <c r="AC113" s="773" t="str">
        <f>IF(Y112="","",VLOOKUP(Y112,big_tabela,12,0))</f>
        <v/>
      </c>
      <c r="AD113" s="774" t="s">
        <v>373</v>
      </c>
      <c r="AE113" s="289"/>
      <c r="AF113" s="395"/>
      <c r="AG113" s="783" t="str">
        <f>IF(AK112="","",VLOOKUP(AK112,big_tabela,3,0))</f>
        <v/>
      </c>
      <c r="AH113" s="783"/>
      <c r="AI113" s="784" t="str">
        <f>IF(AK112="","",VLOOKUP(AK112,big_tabela,12,0))</f>
        <v/>
      </c>
      <c r="AJ113" s="767" t="s">
        <v>373</v>
      </c>
      <c r="AK113" s="789"/>
      <c r="AL113" t="str">
        <f>IF(AK112&lt;&gt;"","1","")</f>
        <v/>
      </c>
      <c r="AM113" s="289"/>
      <c r="AN113" s="289"/>
      <c r="AO113" s="289"/>
      <c r="AP113" s="409"/>
      <c r="AQ113" s="409"/>
      <c r="AR113" s="409"/>
      <c r="AS113" s="409"/>
      <c r="AT113" s="409"/>
      <c r="AU113" s="409"/>
      <c r="AV113" s="418" t="str">
        <f t="shared" si="50"/>
        <v/>
      </c>
      <c r="AW113" s="409"/>
      <c r="AX113" s="409"/>
      <c r="AY113" s="409"/>
      <c r="AZ113" s="409"/>
      <c r="BA113" s="455"/>
      <c r="BB113" s="411"/>
      <c r="BC113" s="411"/>
      <c r="BD113" s="411"/>
      <c r="BE113" s="456"/>
      <c r="BF113" s="409"/>
      <c r="BG113" s="409"/>
      <c r="BH113" s="409"/>
      <c r="BI113" s="266"/>
      <c r="BJ113" s="265"/>
    </row>
    <row r="114" spans="1:62" ht="14.4" customHeight="1">
      <c r="A114" s="265"/>
      <c r="B114" s="289"/>
      <c r="C114" s="289"/>
      <c r="D114" s="409"/>
      <c r="E114" s="409"/>
      <c r="F114" s="409"/>
      <c r="G114" s="464"/>
      <c r="H114" s="465"/>
      <c r="I114" s="465"/>
      <c r="J114" s="465"/>
      <c r="K114" s="466"/>
      <c r="L114" s="409"/>
      <c r="M114" s="409"/>
      <c r="N114" s="409"/>
      <c r="O114" s="409"/>
      <c r="P114" s="418" t="str">
        <f t="shared" si="43"/>
        <v/>
      </c>
      <c r="Q114" s="409"/>
      <c r="R114" s="409"/>
      <c r="S114" s="409"/>
      <c r="T114" s="409"/>
      <c r="U114" s="409"/>
      <c r="V114" s="409"/>
      <c r="W114" s="494" t="str">
        <f>IF(Y112="","","Φ63")</f>
        <v/>
      </c>
      <c r="X114" s="495" t="str">
        <f>IF(Y112="","","x"&amp;VLOOKUP(Y112,big_tabela,20,0))</f>
        <v/>
      </c>
      <c r="Y114" s="403" t="str">
        <f>IF(Y112="","","◄")</f>
        <v/>
      </c>
      <c r="Z114" s="397"/>
      <c r="AA114" s="772"/>
      <c r="AB114" s="772"/>
      <c r="AC114" s="773"/>
      <c r="AD114" s="774"/>
      <c r="AE114" s="289"/>
      <c r="AF114" s="395"/>
      <c r="AG114" s="783"/>
      <c r="AH114" s="783"/>
      <c r="AI114" s="784"/>
      <c r="AJ114" s="767"/>
      <c r="AK114" s="402" t="str">
        <f>IF(AK112="","","◄")</f>
        <v/>
      </c>
      <c r="AL114" s="494" t="str">
        <f>IF(AK112="","","Φ63")</f>
        <v/>
      </c>
      <c r="AM114" s="495" t="str">
        <f>IF(AK112="","","x"&amp;VLOOKUP(AK112,big_tabela,19,0))</f>
        <v/>
      </c>
      <c r="AN114" s="289"/>
      <c r="AO114" s="289"/>
      <c r="AP114" s="409"/>
      <c r="AQ114" s="409"/>
      <c r="AR114" s="409"/>
      <c r="AS114" s="409"/>
      <c r="AT114" s="409"/>
      <c r="AU114" s="409"/>
      <c r="AV114" s="418" t="str">
        <f t="shared" si="50"/>
        <v/>
      </c>
      <c r="AW114" s="409"/>
      <c r="AX114" s="409"/>
      <c r="AY114" s="409"/>
      <c r="AZ114" s="409"/>
      <c r="BA114" s="455"/>
      <c r="BB114" s="411"/>
      <c r="BC114" s="411"/>
      <c r="BD114" s="411"/>
      <c r="BE114" s="456"/>
      <c r="BF114" s="409"/>
      <c r="BG114" s="409"/>
      <c r="BH114" s="409"/>
      <c r="BI114" s="266"/>
      <c r="BJ114" s="265"/>
    </row>
    <row r="115" spans="1:62" ht="3" customHeight="1">
      <c r="A115" s="265"/>
      <c r="B115" s="289"/>
      <c r="C115" s="404"/>
      <c r="D115" s="409"/>
      <c r="E115" s="409"/>
      <c r="F115" s="409"/>
      <c r="G115" s="464"/>
      <c r="H115" s="465"/>
      <c r="I115" s="465"/>
      <c r="J115" s="465"/>
      <c r="K115" s="466"/>
      <c r="L115" s="409"/>
      <c r="M115" s="409"/>
      <c r="N115" s="409"/>
      <c r="O115" s="409"/>
      <c r="P115" s="418" t="str">
        <f t="shared" si="43"/>
        <v/>
      </c>
      <c r="Q115" s="418" t="str">
        <f t="shared" ref="Q115:X115" si="56">$X$113</f>
        <v/>
      </c>
      <c r="R115" s="418" t="str">
        <f t="shared" si="56"/>
        <v/>
      </c>
      <c r="S115" s="418" t="str">
        <f t="shared" si="56"/>
        <v/>
      </c>
      <c r="T115" s="418" t="str">
        <f t="shared" si="56"/>
        <v/>
      </c>
      <c r="U115" s="418" t="str">
        <f t="shared" si="56"/>
        <v/>
      </c>
      <c r="V115" s="418" t="str">
        <f t="shared" si="56"/>
        <v/>
      </c>
      <c r="W115" s="418" t="str">
        <f t="shared" si="56"/>
        <v/>
      </c>
      <c r="X115" s="418" t="str">
        <f t="shared" si="56"/>
        <v/>
      </c>
      <c r="Y115" s="418" t="str">
        <f>$X$113</f>
        <v/>
      </c>
      <c r="Z115" s="397"/>
      <c r="AA115" s="412"/>
      <c r="AB115" s="412"/>
      <c r="AC115" s="415"/>
      <c r="AD115" s="416"/>
      <c r="AE115" s="289"/>
      <c r="AF115" s="395"/>
      <c r="AG115" s="421"/>
      <c r="AH115" s="421"/>
      <c r="AI115" s="413"/>
      <c r="AJ115" s="414"/>
      <c r="AK115" s="418" t="str">
        <f t="shared" ref="AK115:AU115" si="57">$AL$113</f>
        <v/>
      </c>
      <c r="AL115" s="418" t="str">
        <f t="shared" si="57"/>
        <v/>
      </c>
      <c r="AM115" s="418" t="str">
        <f t="shared" si="57"/>
        <v/>
      </c>
      <c r="AN115" s="418" t="str">
        <f t="shared" si="57"/>
        <v/>
      </c>
      <c r="AO115" s="418" t="str">
        <f t="shared" si="57"/>
        <v/>
      </c>
      <c r="AP115" s="418" t="str">
        <f t="shared" si="57"/>
        <v/>
      </c>
      <c r="AQ115" s="418" t="str">
        <f t="shared" si="57"/>
        <v/>
      </c>
      <c r="AR115" s="418" t="str">
        <f t="shared" si="57"/>
        <v/>
      </c>
      <c r="AS115" s="418" t="str">
        <f t="shared" si="57"/>
        <v/>
      </c>
      <c r="AT115" s="418" t="str">
        <f t="shared" si="57"/>
        <v/>
      </c>
      <c r="AU115" s="418" t="str">
        <f t="shared" si="57"/>
        <v/>
      </c>
      <c r="AV115" s="418" t="str">
        <f t="shared" si="50"/>
        <v/>
      </c>
      <c r="AW115" s="409"/>
      <c r="AX115" s="409"/>
      <c r="AY115" s="409"/>
      <c r="AZ115" s="409"/>
      <c r="BA115" s="455"/>
      <c r="BB115" s="411"/>
      <c r="BC115" s="411"/>
      <c r="BD115" s="411"/>
      <c r="BE115" s="456"/>
      <c r="BF115" s="409"/>
      <c r="BG115" s="409"/>
      <c r="BH115" s="409"/>
      <c r="BI115" s="266"/>
      <c r="BJ115" s="265"/>
    </row>
    <row r="116" spans="1:62" ht="14.4" customHeight="1">
      <c r="A116" s="265"/>
      <c r="B116" s="289"/>
      <c r="C116" s="289"/>
      <c r="D116" s="409"/>
      <c r="E116" s="409"/>
      <c r="F116" s="409"/>
      <c r="G116" s="464"/>
      <c r="H116" s="465"/>
      <c r="I116" s="465"/>
      <c r="J116" s="465"/>
      <c r="K116" s="466"/>
      <c r="L116" s="409"/>
      <c r="M116" s="409"/>
      <c r="N116" s="409"/>
      <c r="O116" s="409"/>
      <c r="P116" s="409"/>
      <c r="Q116" s="409"/>
      <c r="R116" s="409"/>
      <c r="S116" s="409"/>
      <c r="T116" s="409"/>
      <c r="U116" s="409"/>
      <c r="V116" s="409"/>
      <c r="W116" s="289"/>
      <c r="X116" s="289"/>
      <c r="Y116" s="289"/>
      <c r="Z116" s="397"/>
      <c r="AA116" s="399" t="str">
        <f>IF(Y112="","",VLOOKUP(Y112,big_tabela,4,0))</f>
        <v/>
      </c>
      <c r="AB116" s="400"/>
      <c r="AC116" s="634" t="str">
        <f>IF(Y112="","","anemostat")</f>
        <v/>
      </c>
      <c r="AD116" s="416" t="str">
        <f>IF(Y112="","","x"&amp;VLOOKUP(Y112,big_tabela,23,0))</f>
        <v/>
      </c>
      <c r="AE116" s="289"/>
      <c r="AF116" s="395"/>
      <c r="AG116" s="398" t="str">
        <f>IF(AK112="","",VLOOKUP(AK112,big_tabela,4,0))</f>
        <v/>
      </c>
      <c r="AH116" s="417"/>
      <c r="AI116" s="635" t="str">
        <f>IF(AK112="","","anemostat")</f>
        <v/>
      </c>
      <c r="AJ116" s="414" t="str">
        <f>IF(AK112="","","x"&amp;VLOOKUP(AK112,big_tabela,22,0))</f>
        <v/>
      </c>
      <c r="AK116" s="401"/>
      <c r="AL116" s="289"/>
      <c r="AM116" s="289"/>
      <c r="AN116" s="289"/>
      <c r="AO116" s="289"/>
      <c r="AP116" s="409"/>
      <c r="AQ116" s="409"/>
      <c r="AR116" s="409"/>
      <c r="AS116" s="409"/>
      <c r="AT116" s="409"/>
      <c r="AU116" s="409"/>
      <c r="AV116" s="409"/>
      <c r="AW116" s="409"/>
      <c r="AX116" s="409"/>
      <c r="AY116" s="409"/>
      <c r="AZ116" s="409"/>
      <c r="BA116" s="455"/>
      <c r="BB116" s="411"/>
      <c r="BC116" s="411"/>
      <c r="BD116" s="411"/>
      <c r="BE116" s="456"/>
      <c r="BF116" s="409"/>
      <c r="BG116" s="409"/>
      <c r="BH116" s="409"/>
      <c r="BI116" s="266"/>
      <c r="BJ116" s="265"/>
    </row>
    <row r="117" spans="1:62" ht="6" customHeight="1">
      <c r="A117" s="265"/>
      <c r="B117" s="289"/>
      <c r="C117" s="289"/>
      <c r="D117" s="409"/>
      <c r="E117" s="409"/>
      <c r="F117" s="409"/>
      <c r="G117" s="464"/>
      <c r="H117" s="465"/>
      <c r="I117" s="465"/>
      <c r="J117" s="465"/>
      <c r="K117" s="466"/>
      <c r="L117" s="409"/>
      <c r="M117" s="409"/>
      <c r="N117" s="409"/>
      <c r="O117" s="409"/>
      <c r="P117" s="409"/>
      <c r="Q117" s="409"/>
      <c r="R117" s="409"/>
      <c r="S117" s="409"/>
      <c r="T117" s="409"/>
      <c r="U117" s="409"/>
      <c r="V117" s="409"/>
      <c r="W117" s="289"/>
      <c r="X117" s="289"/>
      <c r="Y117" s="289"/>
      <c r="Z117" s="397"/>
      <c r="AA117" s="397"/>
      <c r="AB117" s="397"/>
      <c r="AC117" s="397"/>
      <c r="AD117" s="397"/>
      <c r="AE117" s="289"/>
      <c r="AF117" s="395"/>
      <c r="AG117" s="395"/>
      <c r="AH117" s="395"/>
      <c r="AI117" s="395"/>
      <c r="AJ117" s="395"/>
      <c r="AK117" s="289"/>
      <c r="AL117" s="289"/>
      <c r="AM117" s="289"/>
      <c r="AN117" s="289"/>
      <c r="AO117" s="289"/>
      <c r="AP117" s="409"/>
      <c r="AQ117" s="409"/>
      <c r="AR117" s="409"/>
      <c r="AS117" s="409"/>
      <c r="AT117" s="409"/>
      <c r="AU117" s="409"/>
      <c r="AV117" s="409"/>
      <c r="AW117" s="409"/>
      <c r="AX117" s="409"/>
      <c r="AY117" s="409"/>
      <c r="AZ117" s="409"/>
      <c r="BA117" s="455"/>
      <c r="BB117" s="411"/>
      <c r="BC117" s="411"/>
      <c r="BD117" s="411"/>
      <c r="BE117" s="456"/>
      <c r="BF117" s="409"/>
      <c r="BG117" s="409"/>
      <c r="BH117" s="409"/>
      <c r="BI117" s="266"/>
      <c r="BJ117" s="265"/>
    </row>
    <row r="118" spans="1:62">
      <c r="A118" s="265"/>
      <c r="B118" s="289"/>
      <c r="C118" s="289"/>
      <c r="D118" s="409"/>
      <c r="E118" s="409"/>
      <c r="F118" s="409"/>
      <c r="G118" s="464"/>
      <c r="H118" s="465"/>
      <c r="I118" s="465"/>
      <c r="J118" s="465"/>
      <c r="K118" s="466"/>
      <c r="L118" s="409"/>
      <c r="M118" s="409"/>
      <c r="N118" s="409"/>
      <c r="O118" s="409"/>
      <c r="P118" s="409"/>
      <c r="Q118" s="409"/>
      <c r="R118" s="409"/>
      <c r="S118" s="409"/>
      <c r="T118" s="409"/>
      <c r="U118" s="409"/>
      <c r="V118" s="409"/>
      <c r="W118" s="289"/>
      <c r="X118" s="289"/>
      <c r="Y118" s="289"/>
      <c r="Z118" s="289"/>
      <c r="AA118" s="289"/>
      <c r="AB118" s="289"/>
      <c r="AC118" s="289"/>
      <c r="AD118" s="289"/>
      <c r="AE118" s="289"/>
      <c r="AF118" s="289"/>
      <c r="AG118" s="289"/>
      <c r="AH118" s="289"/>
      <c r="AI118" s="289"/>
      <c r="AJ118" s="289"/>
      <c r="AK118" s="289"/>
      <c r="AL118" s="289"/>
      <c r="AM118" s="289"/>
      <c r="AN118" s="289"/>
      <c r="AO118" s="289"/>
      <c r="AP118" s="409"/>
      <c r="AQ118" s="409"/>
      <c r="AR118" s="409"/>
      <c r="AS118" s="409"/>
      <c r="AT118" s="409"/>
      <c r="AU118" s="409"/>
      <c r="AV118" s="409"/>
      <c r="AW118" s="409"/>
      <c r="AX118" s="409"/>
      <c r="AY118" s="409"/>
      <c r="AZ118" s="409"/>
      <c r="BA118" s="455"/>
      <c r="BB118" s="411"/>
      <c r="BC118" s="411"/>
      <c r="BD118" s="411"/>
      <c r="BE118" s="456"/>
      <c r="BF118" s="409"/>
      <c r="BG118" s="409"/>
      <c r="BH118" s="409"/>
      <c r="BI118" s="266"/>
      <c r="BJ118" s="265"/>
    </row>
    <row r="119" spans="1:62">
      <c r="A119" s="265"/>
      <c r="B119" s="289"/>
      <c r="C119" s="289"/>
      <c r="D119" s="409"/>
      <c r="E119" s="409"/>
      <c r="F119" s="409"/>
      <c r="G119" s="464"/>
      <c r="H119" s="465"/>
      <c r="I119" s="465"/>
      <c r="J119" s="465"/>
      <c r="K119" s="466"/>
      <c r="L119" s="409"/>
      <c r="M119" s="409"/>
      <c r="N119" s="409"/>
      <c r="O119" s="409"/>
      <c r="P119" s="409"/>
      <c r="Q119" s="409"/>
      <c r="R119" s="409"/>
      <c r="S119" s="409"/>
      <c r="T119" s="409"/>
      <c r="U119" s="409"/>
      <c r="V119" s="409"/>
      <c r="W119" s="289"/>
      <c r="X119" s="289"/>
      <c r="Y119" s="289"/>
      <c r="Z119" s="289"/>
      <c r="AA119" s="289"/>
      <c r="AB119" s="289"/>
      <c r="AC119" s="792" t="str">
        <f>X137</f>
        <v>Vitoair FS 300E MA 300m3/h</v>
      </c>
      <c r="AD119" s="792"/>
      <c r="AE119" s="792"/>
      <c r="AF119" s="792"/>
      <c r="AG119" s="792"/>
      <c r="AH119" s="792"/>
      <c r="AI119" s="289"/>
      <c r="AJ119" s="289"/>
      <c r="AK119" s="289"/>
      <c r="AL119" s="289"/>
      <c r="AM119" s="289"/>
      <c r="AN119" s="289"/>
      <c r="AO119" s="289"/>
      <c r="AP119" s="409"/>
      <c r="AQ119" s="409"/>
      <c r="AR119" s="409"/>
      <c r="AS119" s="409"/>
      <c r="AT119" s="409"/>
      <c r="AU119" s="409"/>
      <c r="AV119" s="409"/>
      <c r="AW119" s="409"/>
      <c r="AX119" s="409"/>
      <c r="AY119" s="409"/>
      <c r="AZ119" s="409"/>
      <c r="BA119" s="455"/>
      <c r="BB119" s="411"/>
      <c r="BC119" s="411"/>
      <c r="BD119" s="411"/>
      <c r="BE119" s="456"/>
      <c r="BF119" s="409"/>
      <c r="BG119" s="409"/>
      <c r="BH119" s="409"/>
      <c r="BI119" s="266"/>
      <c r="BJ119" s="265"/>
    </row>
    <row r="120" spans="1:62">
      <c r="A120" s="265"/>
      <c r="B120" s="289"/>
      <c r="C120" s="289"/>
      <c r="D120" s="409"/>
      <c r="E120" s="409"/>
      <c r="F120" s="409"/>
      <c r="G120" s="464"/>
      <c r="H120" s="465"/>
      <c r="I120" s="465"/>
      <c r="J120" s="465"/>
      <c r="K120" s="466"/>
      <c r="L120" s="409"/>
      <c r="M120" s="409"/>
      <c r="N120" s="409"/>
      <c r="O120" s="409"/>
      <c r="P120" s="409"/>
      <c r="Q120" s="409"/>
      <c r="R120" s="409"/>
      <c r="S120" s="409"/>
      <c r="T120" s="409"/>
      <c r="U120" s="409"/>
      <c r="V120" s="409"/>
      <c r="W120" s="289"/>
      <c r="X120" s="289"/>
      <c r="Y120" s="289"/>
      <c r="Z120" s="289"/>
      <c r="AA120" s="289"/>
      <c r="AB120" s="289"/>
      <c r="AC120" s="289"/>
      <c r="AD120" s="289"/>
      <c r="AE120" s="289"/>
      <c r="AF120" s="289"/>
      <c r="AG120" s="289"/>
      <c r="AH120" s="289"/>
      <c r="AI120" s="289"/>
      <c r="AJ120" s="289"/>
      <c r="AK120" s="289"/>
      <c r="AL120" s="289"/>
      <c r="AM120" s="289"/>
      <c r="AN120" s="289"/>
      <c r="AO120" s="289"/>
      <c r="AP120" s="409"/>
      <c r="AQ120" s="409"/>
      <c r="AR120" s="409"/>
      <c r="AS120" s="409"/>
      <c r="AT120" s="409"/>
      <c r="AU120" s="409"/>
      <c r="AV120" s="409"/>
      <c r="AW120" s="409"/>
      <c r="AX120" s="409"/>
      <c r="AY120" s="409"/>
      <c r="AZ120" s="409"/>
      <c r="BA120" s="455"/>
      <c r="BB120" s="411"/>
      <c r="BC120" s="411"/>
      <c r="BD120" s="411"/>
      <c r="BE120" s="456"/>
      <c r="BF120" s="409"/>
      <c r="BG120" s="409"/>
      <c r="BH120" s="409"/>
      <c r="BI120" s="266"/>
      <c r="BJ120" s="265"/>
    </row>
    <row r="121" spans="1:62">
      <c r="A121" s="265"/>
      <c r="B121" s="289"/>
      <c r="C121" s="289"/>
      <c r="D121" s="409"/>
      <c r="E121" s="409"/>
      <c r="F121" s="409"/>
      <c r="G121" s="464"/>
      <c r="H121" s="465"/>
      <c r="I121" s="465"/>
      <c r="J121" s="465"/>
      <c r="K121" s="466"/>
      <c r="L121" s="409"/>
      <c r="M121" s="409"/>
      <c r="N121" s="409"/>
      <c r="O121" s="409"/>
      <c r="P121" s="409"/>
      <c r="Q121" s="409"/>
      <c r="R121" s="409"/>
      <c r="S121" s="409"/>
      <c r="T121" s="409"/>
      <c r="U121" s="409"/>
      <c r="V121" s="409"/>
      <c r="W121" s="289"/>
      <c r="X121" s="289"/>
      <c r="Y121" s="289"/>
      <c r="Z121" s="289"/>
      <c r="AA121" s="289"/>
      <c r="AB121" s="289"/>
      <c r="AC121" s="289"/>
      <c r="AD121" s="289"/>
      <c r="AE121" s="289"/>
      <c r="AF121" s="289"/>
      <c r="AG121" s="289"/>
      <c r="AH121" s="289"/>
      <c r="AI121" s="289"/>
      <c r="AJ121" s="289"/>
      <c r="AK121" s="289"/>
      <c r="AL121" s="289"/>
      <c r="AM121" s="289"/>
      <c r="AN121" s="289"/>
      <c r="AO121" s="289"/>
      <c r="AP121" s="409"/>
      <c r="AQ121" s="409"/>
      <c r="AR121" s="409"/>
      <c r="AS121" s="409"/>
      <c r="AT121" s="409"/>
      <c r="AU121" s="409"/>
      <c r="AV121" s="409"/>
      <c r="AW121" s="409"/>
      <c r="AX121" s="409"/>
      <c r="AY121" s="409"/>
      <c r="AZ121" s="409"/>
      <c r="BA121" s="455"/>
      <c r="BB121" s="411"/>
      <c r="BC121" s="411"/>
      <c r="BD121" s="411"/>
      <c r="BE121" s="456"/>
      <c r="BF121" s="409"/>
      <c r="BG121" s="409"/>
      <c r="BH121" s="409"/>
      <c r="BI121" s="266"/>
      <c r="BJ121" s="265"/>
    </row>
    <row r="122" spans="1:62" ht="19.2" customHeight="1">
      <c r="A122" s="265"/>
      <c r="B122" s="289"/>
      <c r="C122" s="289"/>
      <c r="D122" s="409"/>
      <c r="E122" s="409"/>
      <c r="F122" s="409"/>
      <c r="G122" s="467"/>
      <c r="H122" s="468"/>
      <c r="I122" s="468"/>
      <c r="J122" s="468"/>
      <c r="K122" s="468"/>
      <c r="L122" s="470"/>
      <c r="M122" s="470"/>
      <c r="N122" s="470"/>
      <c r="O122" s="470"/>
      <c r="P122" s="470"/>
      <c r="Q122" s="470"/>
      <c r="R122" s="470"/>
      <c r="S122" s="470"/>
      <c r="T122" s="470"/>
      <c r="U122" s="470"/>
      <c r="V122" s="470"/>
      <c r="W122" s="470"/>
      <c r="X122" s="621" t="str">
        <f>"Kanał zbiorczy 200/174, króciec przyłączeniowy Φ "&amp;Obliczenia!N59</f>
        <v>Kanał zbiorczy 200/174, króciec przyłączeniowy Φ 160</v>
      </c>
      <c r="Y122" s="471"/>
      <c r="Z122" s="471"/>
      <c r="AA122" s="471"/>
      <c r="AB122" s="471"/>
      <c r="AC122" s="471"/>
      <c r="AD122" s="289"/>
      <c r="AE122" s="289"/>
      <c r="AF122" s="289"/>
      <c r="AG122" s="289"/>
      <c r="AH122" s="620" t="str">
        <f>"            Kanał zbiorczy 200/174, króciec przyłączeniowy Φ "&amp;Obliczenia!N59</f>
        <v xml:space="preserve">            Kanał zbiorczy 200/174, króciec przyłączeniowy Φ 160</v>
      </c>
      <c r="AI122" s="453"/>
      <c r="AJ122" s="453"/>
      <c r="AK122" s="453"/>
      <c r="AL122" s="453"/>
      <c r="AM122" s="453"/>
      <c r="AN122" s="453"/>
      <c r="AO122" s="453"/>
      <c r="AP122" s="454"/>
      <c r="AQ122" s="454"/>
      <c r="AR122" s="454"/>
      <c r="AS122" s="454"/>
      <c r="AT122" s="454"/>
      <c r="AU122" s="454"/>
      <c r="AV122" s="454"/>
      <c r="AW122" s="454"/>
      <c r="AX122" s="454"/>
      <c r="AY122" s="454"/>
      <c r="AZ122" s="454"/>
      <c r="BA122" s="451"/>
      <c r="BB122" s="451"/>
      <c r="BC122" s="451"/>
      <c r="BD122" s="451"/>
      <c r="BE122" s="457"/>
      <c r="BF122" s="409"/>
      <c r="BG122" s="409"/>
      <c r="BH122" s="409"/>
      <c r="BI122" s="266"/>
      <c r="BJ122" s="265"/>
    </row>
    <row r="123" spans="1:62">
      <c r="A123" s="265"/>
      <c r="B123" s="289"/>
      <c r="C123" s="289"/>
      <c r="D123" s="409"/>
      <c r="E123" s="409"/>
      <c r="F123" s="409"/>
      <c r="G123" s="409"/>
      <c r="H123" s="409"/>
      <c r="I123" s="409"/>
      <c r="J123" s="409"/>
      <c r="K123" s="409"/>
      <c r="L123" s="409"/>
      <c r="M123" s="409"/>
      <c r="N123" s="409"/>
      <c r="O123" s="409"/>
      <c r="P123" s="409"/>
      <c r="Q123" s="409"/>
      <c r="R123" s="409"/>
      <c r="S123" s="409"/>
      <c r="T123" s="409"/>
      <c r="U123" s="409"/>
      <c r="V123" s="409"/>
      <c r="W123" s="289"/>
      <c r="X123" s="289"/>
      <c r="Y123" s="289"/>
      <c r="Z123" s="289"/>
      <c r="AA123" s="289"/>
      <c r="AB123" s="289"/>
      <c r="AC123" s="289"/>
      <c r="AD123" s="289"/>
      <c r="AE123" s="289"/>
      <c r="AF123" s="289"/>
      <c r="AG123" s="289"/>
      <c r="AH123" s="289"/>
      <c r="AI123" s="289"/>
      <c r="AJ123" s="289"/>
      <c r="AK123" s="289"/>
      <c r="AL123" s="289"/>
      <c r="AM123" s="289"/>
      <c r="AN123" s="289"/>
      <c r="AO123" s="289"/>
      <c r="AP123" s="409"/>
      <c r="AQ123" s="409"/>
      <c r="AR123" s="409"/>
      <c r="AS123" s="409"/>
      <c r="AT123" s="409"/>
      <c r="AU123" s="409"/>
      <c r="AV123" s="409"/>
      <c r="AW123" s="409"/>
      <c r="AX123" s="409"/>
      <c r="AY123" s="409"/>
      <c r="AZ123" s="409"/>
      <c r="BA123" s="409"/>
      <c r="BB123" s="409"/>
      <c r="BC123" s="409"/>
      <c r="BD123" s="409"/>
      <c r="BE123" s="409"/>
      <c r="BF123" s="409"/>
      <c r="BG123" s="409"/>
      <c r="BH123" s="409"/>
      <c r="BI123" s="266"/>
      <c r="BJ123" s="265"/>
    </row>
    <row r="124" spans="1:62">
      <c r="A124" s="265"/>
      <c r="B124" s="289"/>
      <c r="C124" s="289"/>
      <c r="D124" s="409"/>
      <c r="E124" s="409"/>
      <c r="F124" s="409"/>
      <c r="G124" s="409"/>
      <c r="H124" s="409"/>
      <c r="I124" s="409"/>
      <c r="J124" s="409"/>
      <c r="K124" s="409"/>
      <c r="L124" s="409"/>
      <c r="M124" s="409"/>
      <c r="N124" s="409"/>
      <c r="O124" s="409"/>
      <c r="P124" s="409"/>
      <c r="Q124" s="409"/>
      <c r="R124" s="409"/>
      <c r="S124" s="409"/>
      <c r="T124" s="409"/>
      <c r="U124" s="409"/>
      <c r="V124" s="409"/>
      <c r="W124" s="622"/>
      <c r="X124" s="289"/>
      <c r="Y124" s="289"/>
      <c r="Z124" s="289"/>
      <c r="AA124" s="289"/>
      <c r="AB124" s="289"/>
      <c r="AC124" s="289"/>
      <c r="AD124" s="289"/>
      <c r="AE124" s="289"/>
      <c r="AF124" s="289"/>
      <c r="AG124" s="289"/>
      <c r="AH124" s="289"/>
      <c r="AI124" s="289"/>
      <c r="AJ124" s="289"/>
      <c r="AK124" s="289"/>
      <c r="AL124" s="289"/>
      <c r="AM124" s="538"/>
      <c r="AN124" s="289"/>
      <c r="AO124" s="289"/>
      <c r="AP124" s="409"/>
      <c r="AQ124" s="409"/>
      <c r="AR124" s="409"/>
      <c r="AS124" s="409"/>
      <c r="AT124" s="409"/>
      <c r="AU124" s="409"/>
      <c r="AV124" s="409"/>
      <c r="AW124" s="409"/>
      <c r="AX124" s="409"/>
      <c r="AY124" s="409"/>
      <c r="AZ124" s="409"/>
      <c r="BA124" s="409"/>
      <c r="BB124" s="409"/>
      <c r="BC124" s="409"/>
      <c r="BD124" s="409"/>
      <c r="BE124" s="409"/>
      <c r="BF124" s="409"/>
      <c r="BG124" s="409"/>
      <c r="BH124" s="409"/>
      <c r="BI124" s="266"/>
      <c r="BJ124" s="265"/>
    </row>
    <row r="125" spans="1:62" ht="19.2" customHeight="1">
      <c r="A125" s="265"/>
      <c r="B125" s="289"/>
      <c r="C125" s="289"/>
      <c r="D125" s="409"/>
      <c r="E125" s="409"/>
      <c r="F125" s="409"/>
      <c r="G125" s="409"/>
      <c r="H125" s="409"/>
      <c r="I125" s="409"/>
      <c r="J125" s="409"/>
      <c r="K125" s="409"/>
      <c r="L125" s="409"/>
      <c r="M125" s="409"/>
      <c r="N125" s="409"/>
      <c r="O125" s="409"/>
      <c r="P125" s="409"/>
      <c r="Q125" s="409"/>
      <c r="R125" s="409"/>
      <c r="S125" s="409"/>
      <c r="T125" s="409"/>
      <c r="U125" s="409"/>
      <c r="V125" s="409"/>
      <c r="W125" s="623"/>
      <c r="X125" s="620" t="str">
        <f>"Kanał zbiorczy 200/174, króciec przyłączeniowy Φ "&amp;Obliczenia!N59</f>
        <v>Kanał zbiorczy 200/174, króciec przyłączeniowy Φ 160</v>
      </c>
      <c r="Y125" s="453"/>
      <c r="Z125" s="453"/>
      <c r="AA125" s="452"/>
      <c r="AB125" s="453"/>
      <c r="AC125" s="493"/>
      <c r="AD125" s="289"/>
      <c r="AE125" s="289"/>
      <c r="AF125" s="289"/>
      <c r="AG125" s="289"/>
      <c r="AH125" s="621" t="str">
        <f>"            Kanał zbiorczy 200/174, króciec przyłączeniowy Φ "&amp;Obliczenia!N59</f>
        <v xml:space="preserve">            Kanał zbiorczy 200/174, króciec przyłączeniowy Φ 160</v>
      </c>
      <c r="AI125" s="471"/>
      <c r="AJ125" s="471"/>
      <c r="AK125" s="471"/>
      <c r="AL125" s="471"/>
      <c r="AM125" s="624"/>
      <c r="AN125" s="289"/>
      <c r="AO125" s="289"/>
      <c r="AP125" s="409"/>
      <c r="AQ125" s="409"/>
      <c r="AR125" s="409"/>
      <c r="AS125" s="409"/>
      <c r="AT125" s="409"/>
      <c r="AU125" s="409"/>
      <c r="AV125" s="409"/>
      <c r="AW125" s="409"/>
      <c r="AX125" s="409"/>
      <c r="AY125" s="409"/>
      <c r="AZ125" s="409"/>
      <c r="BA125" s="409"/>
      <c r="BB125" s="409"/>
      <c r="BC125" s="409"/>
      <c r="BD125" s="409"/>
      <c r="BE125" s="409"/>
      <c r="BF125" s="409"/>
      <c r="BG125" s="409"/>
      <c r="BH125" s="409"/>
      <c r="BI125" s="266"/>
      <c r="BJ125" s="265"/>
    </row>
    <row r="126" spans="1:62">
      <c r="A126" s="265"/>
      <c r="B126" s="289"/>
      <c r="C126" s="289"/>
      <c r="D126" s="409"/>
      <c r="E126" s="409"/>
      <c r="F126" s="409"/>
      <c r="G126" s="409"/>
      <c r="H126" s="409"/>
      <c r="I126" s="409"/>
      <c r="J126" s="409"/>
      <c r="K126" s="409"/>
      <c r="L126" s="409"/>
      <c r="M126" s="409"/>
      <c r="N126" s="409"/>
      <c r="O126" s="409"/>
      <c r="P126" s="409"/>
      <c r="Q126" s="409"/>
      <c r="R126" s="409"/>
      <c r="S126" s="409"/>
      <c r="T126" s="409"/>
      <c r="U126" s="409"/>
      <c r="V126" s="409"/>
      <c r="W126" s="622"/>
      <c r="X126" s="289"/>
      <c r="Y126" s="289"/>
      <c r="Z126" s="289"/>
      <c r="AA126" s="289"/>
      <c r="AB126" s="289"/>
      <c r="AC126" s="289"/>
      <c r="AD126" s="289"/>
      <c r="AE126" s="289"/>
      <c r="AF126" s="289"/>
      <c r="AG126" s="289"/>
      <c r="AH126" s="289"/>
      <c r="AI126" s="289"/>
      <c r="AJ126" s="289"/>
      <c r="AK126" s="289"/>
      <c r="AL126" s="289"/>
      <c r="AM126" s="538"/>
      <c r="AN126" s="289"/>
      <c r="AO126" s="289"/>
      <c r="AP126" s="409"/>
      <c r="AQ126" s="409"/>
      <c r="AR126" s="409"/>
      <c r="AS126" s="409"/>
      <c r="AT126" s="409"/>
      <c r="AU126" s="409"/>
      <c r="AV126" s="409"/>
      <c r="AW126" s="409"/>
      <c r="AX126" s="409"/>
      <c r="AY126" s="409"/>
      <c r="AZ126" s="409"/>
      <c r="BA126" s="409"/>
      <c r="BB126" s="409"/>
      <c r="BC126" s="409"/>
      <c r="BD126" s="409"/>
      <c r="BE126" s="409"/>
      <c r="BF126" s="409"/>
      <c r="BG126" s="409"/>
      <c r="BH126" s="409"/>
      <c r="BI126" s="266"/>
      <c r="BJ126" s="265"/>
    </row>
    <row r="127" spans="1:62" ht="10.95" customHeight="1">
      <c r="A127" s="265"/>
      <c r="B127" s="289"/>
      <c r="C127" s="289"/>
      <c r="D127" s="409"/>
      <c r="E127" s="409"/>
      <c r="F127" s="409"/>
      <c r="G127" s="409"/>
      <c r="H127" s="409"/>
      <c r="I127" s="409"/>
      <c r="J127" s="409"/>
      <c r="K127" s="409"/>
      <c r="L127" s="409"/>
      <c r="M127" s="409"/>
      <c r="N127" s="409"/>
      <c r="O127" s="409"/>
      <c r="P127" s="409"/>
      <c r="Q127" s="409"/>
      <c r="R127" s="409"/>
      <c r="S127" s="409"/>
      <c r="T127" s="409"/>
      <c r="U127" s="409"/>
      <c r="V127" s="409"/>
      <c r="W127" s="289"/>
      <c r="X127" s="289"/>
      <c r="Y127" s="289"/>
      <c r="Z127" s="289"/>
      <c r="AA127" s="289"/>
      <c r="AB127" s="289"/>
      <c r="AC127" s="289"/>
      <c r="AD127" s="289"/>
      <c r="AE127" s="289"/>
      <c r="AF127" s="289"/>
      <c r="AG127" s="289"/>
      <c r="AH127" s="289"/>
      <c r="AI127" s="289"/>
      <c r="AJ127" s="289"/>
      <c r="AK127" s="289"/>
      <c r="AL127" s="289"/>
      <c r="AM127" s="289"/>
      <c r="AN127" s="289"/>
      <c r="AO127" s="289"/>
      <c r="AP127" s="409"/>
      <c r="AQ127" s="409"/>
      <c r="AR127" s="409"/>
      <c r="AS127" s="409"/>
      <c r="AT127" s="409"/>
      <c r="AU127" s="409"/>
      <c r="AV127" s="409"/>
      <c r="AW127" s="409"/>
      <c r="AX127" s="409"/>
      <c r="AY127" s="409"/>
      <c r="AZ127" s="409"/>
      <c r="BA127" s="409"/>
      <c r="BB127" s="409"/>
      <c r="BC127" s="409"/>
      <c r="BD127" s="409"/>
      <c r="BE127" s="409"/>
      <c r="BF127" s="409"/>
      <c r="BG127" s="409"/>
      <c r="BH127" s="409"/>
      <c r="BI127" s="266"/>
      <c r="BJ127" s="265"/>
    </row>
    <row r="128" spans="1:62">
      <c r="A128" s="261"/>
      <c r="B128" s="263"/>
      <c r="C128" s="777" t="s">
        <v>399</v>
      </c>
      <c r="D128" s="777"/>
      <c r="E128" s="777"/>
      <c r="F128" s="777"/>
      <c r="G128" s="777"/>
      <c r="H128" s="777"/>
      <c r="I128" s="777"/>
      <c r="J128" s="777"/>
      <c r="K128" s="777"/>
      <c r="L128" s="777"/>
      <c r="M128" s="777"/>
      <c r="N128" s="777"/>
      <c r="O128" s="777"/>
      <c r="P128" s="777"/>
      <c r="Q128" s="777"/>
      <c r="R128" s="777"/>
      <c r="S128" s="777"/>
      <c r="T128" s="777"/>
      <c r="U128" s="777"/>
      <c r="V128" s="777"/>
      <c r="W128" s="777"/>
      <c r="X128" s="777"/>
      <c r="Y128" s="777"/>
      <c r="Z128" s="777"/>
      <c r="AA128" s="777"/>
      <c r="AB128" s="777"/>
      <c r="AC128" s="777"/>
      <c r="AD128" s="777"/>
      <c r="AE128" s="777"/>
      <c r="AF128" s="777"/>
      <c r="AG128" s="777"/>
      <c r="AH128" s="777"/>
      <c r="AI128" s="777"/>
      <c r="AJ128" s="777"/>
      <c r="AK128" s="777"/>
      <c r="AL128" s="777"/>
      <c r="AM128" s="777"/>
      <c r="AN128" s="777"/>
      <c r="AO128" s="263"/>
      <c r="AP128" s="263"/>
      <c r="AQ128" s="263"/>
      <c r="AR128" s="263"/>
      <c r="AS128" s="263"/>
      <c r="AT128" s="263"/>
      <c r="AU128" s="263"/>
      <c r="AV128" s="263"/>
      <c r="AW128" s="263"/>
      <c r="AX128" s="263"/>
      <c r="AY128" s="263"/>
      <c r="AZ128" s="263"/>
      <c r="BA128" s="263"/>
      <c r="BB128" s="263"/>
      <c r="BC128" s="263"/>
      <c r="BD128" s="263"/>
      <c r="BE128" s="263"/>
      <c r="BF128" s="263"/>
      <c r="BG128" s="263"/>
      <c r="BH128" s="263"/>
      <c r="BI128" s="263"/>
      <c r="BJ128" s="265"/>
    </row>
    <row r="129" spans="1:64" ht="21" customHeight="1">
      <c r="A129" s="261"/>
      <c r="B129" s="263"/>
      <c r="C129" s="777"/>
      <c r="D129" s="777"/>
      <c r="E129" s="777"/>
      <c r="F129" s="777"/>
      <c r="G129" s="777"/>
      <c r="H129" s="777"/>
      <c r="I129" s="777"/>
      <c r="J129" s="777"/>
      <c r="K129" s="777"/>
      <c r="L129" s="777"/>
      <c r="M129" s="777"/>
      <c r="N129" s="777"/>
      <c r="O129" s="777"/>
      <c r="P129" s="777"/>
      <c r="Q129" s="777"/>
      <c r="R129" s="777"/>
      <c r="S129" s="777"/>
      <c r="T129" s="777"/>
      <c r="U129" s="777"/>
      <c r="V129" s="777"/>
      <c r="W129" s="777"/>
      <c r="X129" s="777"/>
      <c r="Y129" s="777"/>
      <c r="Z129" s="777"/>
      <c r="AA129" s="777"/>
      <c r="AB129" s="777"/>
      <c r="AC129" s="777"/>
      <c r="AD129" s="777"/>
      <c r="AE129" s="777"/>
      <c r="AF129" s="777"/>
      <c r="AG129" s="777"/>
      <c r="AH129" s="777"/>
      <c r="AI129" s="777"/>
      <c r="AJ129" s="777"/>
      <c r="AK129" s="777"/>
      <c r="AL129" s="777"/>
      <c r="AM129" s="777"/>
      <c r="AN129" s="777"/>
      <c r="AO129" s="263"/>
      <c r="AP129" s="263"/>
      <c r="AQ129" s="263"/>
      <c r="AR129" s="263"/>
      <c r="AS129" s="263"/>
      <c r="AT129" s="263"/>
      <c r="AU129" s="263"/>
      <c r="AV129" s="263"/>
      <c r="AW129" s="263"/>
      <c r="AX129" s="263"/>
      <c r="AY129" s="263"/>
      <c r="AZ129" s="263"/>
      <c r="BA129" s="263"/>
      <c r="BB129" s="263"/>
      <c r="BC129" s="263"/>
      <c r="BD129" s="263"/>
      <c r="BE129" s="263"/>
      <c r="BF129" s="263"/>
      <c r="BG129" s="263"/>
      <c r="BH129" s="263"/>
      <c r="BI129" s="263"/>
      <c r="BJ129" s="265"/>
    </row>
    <row r="130" spans="1:64" ht="9.6" customHeight="1">
      <c r="A130" s="265"/>
      <c r="B130" s="289"/>
      <c r="C130" s="289"/>
      <c r="D130" s="409"/>
      <c r="E130" s="409"/>
      <c r="F130" s="409"/>
      <c r="G130" s="409"/>
      <c r="H130" s="409"/>
      <c r="I130" s="409"/>
      <c r="J130" s="409"/>
      <c r="K130" s="409"/>
      <c r="L130" s="409"/>
      <c r="M130" s="409"/>
      <c r="N130" s="409"/>
      <c r="O130" s="409"/>
      <c r="P130" s="409"/>
      <c r="Q130" s="409"/>
      <c r="R130" s="409"/>
      <c r="S130" s="409"/>
      <c r="T130" s="409"/>
      <c r="U130" s="409"/>
      <c r="V130" s="409"/>
      <c r="W130" s="289"/>
      <c r="X130" s="289"/>
      <c r="Y130" s="289"/>
      <c r="Z130" s="289"/>
      <c r="AA130" s="289"/>
      <c r="AB130" s="289"/>
      <c r="AC130" s="289"/>
      <c r="AD130" s="289"/>
      <c r="AE130" s="289"/>
      <c r="AF130" s="289"/>
      <c r="AG130" s="289"/>
      <c r="AH130" s="289"/>
      <c r="AI130" s="289"/>
      <c r="AJ130" s="289"/>
      <c r="AK130" s="289"/>
      <c r="AL130" s="289"/>
      <c r="AM130" s="289"/>
      <c r="AN130" s="289"/>
      <c r="AO130" s="289"/>
      <c r="AP130" s="409"/>
      <c r="AQ130" s="409"/>
      <c r="AR130" s="409"/>
      <c r="AS130" s="409"/>
      <c r="AT130" s="409"/>
      <c r="AU130" s="409"/>
      <c r="AV130" s="409"/>
      <c r="AW130" s="409"/>
      <c r="AX130" s="409"/>
      <c r="AY130" s="409"/>
      <c r="AZ130" s="409"/>
      <c r="BA130" s="409"/>
      <c r="BB130" s="409"/>
      <c r="BC130" s="409"/>
      <c r="BD130" s="409"/>
      <c r="BE130" s="409"/>
      <c r="BF130" s="409"/>
      <c r="BG130" s="409"/>
      <c r="BH130" s="409"/>
      <c r="BI130" s="266"/>
      <c r="BJ130" s="265"/>
    </row>
    <row r="131" spans="1:64" ht="9.6" hidden="1" customHeight="1">
      <c r="A131" s="265"/>
      <c r="B131" s="289"/>
      <c r="C131" s="289"/>
      <c r="D131" s="409"/>
      <c r="E131" s="409"/>
      <c r="F131" s="409"/>
      <c r="G131" s="409"/>
      <c r="H131" s="409"/>
      <c r="I131" s="409"/>
      <c r="J131" s="409"/>
      <c r="K131" s="409"/>
      <c r="L131" s="409"/>
      <c r="M131" s="409"/>
      <c r="N131" s="409"/>
      <c r="O131" s="409"/>
      <c r="P131" s="409"/>
      <c r="Q131" s="409"/>
      <c r="R131" s="409"/>
      <c r="S131" s="409"/>
      <c r="T131" s="409"/>
      <c r="U131" s="409"/>
      <c r="V131" s="409"/>
      <c r="W131" s="289"/>
      <c r="X131" s="289"/>
      <c r="Y131" s="289"/>
      <c r="Z131" s="289"/>
      <c r="AA131" s="289"/>
      <c r="AB131" s="289"/>
      <c r="AC131" s="289"/>
      <c r="AD131" s="289"/>
      <c r="AE131" s="289"/>
      <c r="AF131" s="289"/>
      <c r="AG131" s="289"/>
      <c r="AH131" s="289"/>
      <c r="AI131" s="289"/>
      <c r="AJ131" s="289"/>
      <c r="AK131" s="289"/>
      <c r="AL131" s="289"/>
      <c r="AM131" s="289"/>
      <c r="AN131" s="289"/>
      <c r="AO131" s="289"/>
      <c r="AP131" s="409"/>
      <c r="AQ131" s="409"/>
      <c r="AR131" s="409"/>
      <c r="AS131" s="409"/>
      <c r="AT131" s="409"/>
      <c r="AU131" s="409"/>
      <c r="AV131" s="409"/>
      <c r="AW131" s="409"/>
      <c r="AX131" s="409"/>
      <c r="AY131" s="409"/>
      <c r="AZ131" s="409"/>
      <c r="BA131" s="409"/>
      <c r="BB131" s="409"/>
      <c r="BC131" s="409"/>
      <c r="BD131" s="409"/>
      <c r="BE131" s="409"/>
      <c r="BF131" s="409"/>
      <c r="BG131" s="409"/>
      <c r="BH131" s="409"/>
      <c r="BI131" s="266"/>
      <c r="BJ131" s="265"/>
    </row>
    <row r="132" spans="1:64" hidden="1">
      <c r="A132" s="265"/>
      <c r="B132" s="289"/>
      <c r="C132" s="289"/>
      <c r="D132" s="409"/>
      <c r="E132" s="409"/>
      <c r="F132" s="409"/>
      <c r="G132" s="409"/>
      <c r="H132" s="409"/>
      <c r="I132" s="409"/>
      <c r="J132" s="409"/>
      <c r="K132" s="409"/>
      <c r="L132" s="409"/>
      <c r="M132" s="409"/>
      <c r="N132" s="409"/>
      <c r="O132" s="409"/>
      <c r="P132" s="409"/>
      <c r="Q132" s="409"/>
      <c r="R132" s="409"/>
      <c r="S132" s="409"/>
      <c r="T132" s="409"/>
      <c r="U132" s="409"/>
      <c r="V132" s="409"/>
      <c r="AD132" s="289"/>
      <c r="AE132" s="289"/>
      <c r="AF132" s="289"/>
      <c r="AG132" s="289"/>
      <c r="AH132" s="289"/>
      <c r="AI132" s="289"/>
      <c r="AJ132" s="289"/>
      <c r="AK132" s="289"/>
      <c r="AL132" s="289"/>
      <c r="AM132" s="289"/>
      <c r="AN132" s="289"/>
      <c r="AO132" s="289"/>
      <c r="AP132" s="409"/>
      <c r="AQ132" s="409"/>
      <c r="AR132" s="409"/>
      <c r="AS132" s="409"/>
      <c r="AT132" s="409"/>
      <c r="AU132" s="409"/>
      <c r="AV132" s="409"/>
      <c r="AW132" s="409"/>
      <c r="AX132" s="409"/>
      <c r="AY132" s="409"/>
      <c r="AZ132" s="409"/>
      <c r="BA132" s="409"/>
      <c r="BB132" s="409"/>
      <c r="BC132" s="409"/>
      <c r="BD132" s="409"/>
      <c r="BE132" s="409"/>
      <c r="BF132" s="409"/>
      <c r="BG132" s="409"/>
      <c r="BH132" s="409"/>
      <c r="BI132" s="266"/>
      <c r="BJ132" s="265"/>
    </row>
    <row r="133" spans="1:64" ht="14.4" customHeight="1">
      <c r="A133" s="265"/>
      <c r="B133" s="289"/>
      <c r="C133" s="289"/>
      <c r="D133" s="409"/>
      <c r="E133" s="409"/>
      <c r="F133" s="409"/>
      <c r="G133" s="409"/>
      <c r="H133" s="409"/>
      <c r="I133" s="409"/>
      <c r="J133" s="409"/>
      <c r="K133" s="409"/>
      <c r="L133" s="409"/>
      <c r="M133" s="409"/>
      <c r="N133" s="409"/>
      <c r="O133" s="409"/>
      <c r="P133" s="409"/>
      <c r="Q133" s="409"/>
      <c r="R133" s="409"/>
      <c r="S133" s="409"/>
      <c r="T133" s="409"/>
      <c r="U133" s="409"/>
      <c r="V133" s="409"/>
      <c r="W133" s="746" t="s">
        <v>401</v>
      </c>
      <c r="X133" s="746"/>
      <c r="Y133" s="746"/>
      <c r="Z133" s="746"/>
      <c r="AA133" s="427"/>
      <c r="AB133" s="426"/>
      <c r="AC133" s="426"/>
      <c r="AD133" s="289"/>
      <c r="AE133" s="289"/>
      <c r="AF133" s="289"/>
      <c r="AG133" s="289"/>
      <c r="AH133" s="289"/>
      <c r="AV133" s="409"/>
      <c r="AW133" s="409"/>
      <c r="AX133" s="409"/>
      <c r="AY133" s="409"/>
      <c r="AZ133" s="409"/>
      <c r="BA133" s="409"/>
      <c r="BB133" s="409"/>
      <c r="BC133" s="409"/>
      <c r="BD133" s="409"/>
      <c r="BE133" s="409"/>
      <c r="BF133" s="409"/>
      <c r="BG133" s="409"/>
      <c r="BH133" s="409"/>
      <c r="BI133" s="266"/>
      <c r="BJ133" s="265"/>
    </row>
    <row r="134" spans="1:64" ht="14.4" customHeight="1">
      <c r="A134" s="265"/>
      <c r="B134" s="289"/>
      <c r="C134" s="289"/>
      <c r="D134" s="409"/>
      <c r="E134" s="409"/>
      <c r="F134" s="409"/>
      <c r="G134" s="409"/>
      <c r="H134" s="409"/>
      <c r="I134" s="409"/>
      <c r="J134" s="409"/>
      <c r="K134" s="409"/>
      <c r="L134" s="409"/>
      <c r="M134" s="409"/>
      <c r="N134" s="409"/>
      <c r="O134" s="409"/>
      <c r="P134" s="409"/>
      <c r="Q134" s="409"/>
      <c r="R134" s="409"/>
      <c r="S134" s="409"/>
      <c r="T134" s="409"/>
      <c r="U134" s="409"/>
      <c r="V134" s="409"/>
      <c r="W134" s="771"/>
      <c r="X134" s="771"/>
      <c r="Y134" s="771"/>
      <c r="Z134" s="771"/>
      <c r="AA134" s="498"/>
      <c r="AB134" s="499"/>
      <c r="AC134" s="500"/>
      <c r="AD134" s="296"/>
      <c r="AE134" s="296"/>
      <c r="AF134" s="296"/>
      <c r="AG134" s="296"/>
      <c r="AH134" s="296"/>
      <c r="AI134" s="501"/>
      <c r="AJ134" s="501"/>
      <c r="AK134" s="501"/>
      <c r="AL134" s="501"/>
      <c r="AM134" s="501"/>
      <c r="AN134" s="501"/>
      <c r="AO134" s="501"/>
      <c r="AP134" s="549"/>
      <c r="AQ134" s="549"/>
      <c r="AR134" s="549"/>
      <c r="AS134" s="549"/>
      <c r="AT134" s="549"/>
      <c r="AU134" s="549"/>
      <c r="AV134" s="510"/>
      <c r="AW134" s="510"/>
      <c r="AX134" s="510"/>
      <c r="AY134" s="510"/>
      <c r="AZ134" s="510"/>
      <c r="BA134" s="510"/>
      <c r="BB134" s="510"/>
      <c r="BC134" s="510"/>
      <c r="BD134" s="510"/>
      <c r="BE134" s="409"/>
      <c r="BF134" s="409"/>
      <c r="BG134" s="409"/>
      <c r="BH134" s="409"/>
      <c r="BI134" s="266"/>
      <c r="BJ134" s="265"/>
    </row>
    <row r="135" spans="1:64" ht="14.4" customHeight="1">
      <c r="A135" s="265"/>
      <c r="B135" s="289"/>
      <c r="C135" s="289"/>
      <c r="D135" s="409"/>
      <c r="E135" s="409"/>
      <c r="F135" s="409"/>
      <c r="G135" s="409"/>
      <c r="H135" s="409"/>
      <c r="I135" s="409"/>
      <c r="J135" s="409"/>
      <c r="K135" s="409"/>
      <c r="L135" s="409"/>
      <c r="M135" s="409"/>
      <c r="N135" s="409"/>
      <c r="O135" s="409"/>
      <c r="P135" s="409"/>
      <c r="Q135" s="409"/>
      <c r="R135" s="409"/>
      <c r="S135" s="409"/>
      <c r="T135" s="409"/>
      <c r="U135" s="409"/>
      <c r="V135" s="409"/>
      <c r="W135" s="425"/>
      <c r="X135" s="425"/>
      <c r="Y135" s="425"/>
      <c r="Z135" s="425"/>
      <c r="AA135" s="427"/>
      <c r="AB135" s="277"/>
      <c r="AC135" s="426"/>
      <c r="AD135" s="289"/>
      <c r="AE135" s="289"/>
      <c r="AF135" s="289"/>
      <c r="AG135" s="289"/>
      <c r="AH135" s="289"/>
      <c r="AV135" s="409"/>
      <c r="AW135" s="409"/>
      <c r="AX135" s="409"/>
      <c r="AY135" s="409"/>
      <c r="AZ135" s="409"/>
      <c r="BA135" s="409"/>
      <c r="BB135" s="409"/>
      <c r="BC135" s="409"/>
      <c r="BD135" s="409"/>
      <c r="BE135" s="409"/>
      <c r="BF135" s="409"/>
      <c r="BG135" s="409"/>
      <c r="BH135" s="409"/>
      <c r="BI135" s="266"/>
      <c r="BJ135" s="265"/>
    </row>
    <row r="136" spans="1:64" ht="14.4" customHeight="1">
      <c r="A136" s="265"/>
      <c r="B136" s="289"/>
      <c r="C136" s="289"/>
      <c r="D136" s="409"/>
      <c r="E136" s="409"/>
      <c r="F136" s="409"/>
      <c r="G136" s="409"/>
      <c r="H136" s="409"/>
      <c r="I136" s="409"/>
      <c r="J136" s="409"/>
      <c r="K136" s="409"/>
      <c r="L136" s="409"/>
      <c r="M136" s="409"/>
      <c r="N136" s="409"/>
      <c r="O136" s="409"/>
      <c r="P136" s="409"/>
      <c r="Q136" s="409"/>
      <c r="R136" s="409"/>
      <c r="S136" s="409"/>
      <c r="T136" s="409"/>
      <c r="U136" s="409"/>
      <c r="V136" s="409"/>
      <c r="W136" s="425"/>
      <c r="X136" s="425"/>
      <c r="Y136" s="425"/>
      <c r="Z136" s="425"/>
      <c r="AA136" s="427"/>
      <c r="AB136" s="277"/>
      <c r="AC136" s="426"/>
      <c r="AD136" s="289"/>
      <c r="AE136" s="289"/>
      <c r="AF136" s="289"/>
      <c r="AG136" s="289"/>
      <c r="AK136" s="289"/>
      <c r="AM136" s="369"/>
      <c r="AO136" s="369"/>
      <c r="AP136" s="369"/>
      <c r="AQ136" s="369"/>
      <c r="AR136" s="369"/>
      <c r="AS136" s="369"/>
      <c r="AT136" s="369"/>
      <c r="AU136" s="369"/>
      <c r="AV136" s="409"/>
      <c r="AW136" s="409"/>
      <c r="AX136" s="409"/>
      <c r="AY136" s="409"/>
      <c r="AZ136" s="409"/>
      <c r="BA136" s="409"/>
      <c r="BB136" s="409"/>
      <c r="BC136" s="409"/>
      <c r="BD136" s="409"/>
      <c r="BE136" s="409"/>
      <c r="BF136" s="409"/>
      <c r="BG136" s="409"/>
      <c r="BH136" s="409"/>
      <c r="BI136" s="266"/>
      <c r="BJ136" s="265"/>
    </row>
    <row r="137" spans="1:64">
      <c r="A137" s="265"/>
      <c r="B137" s="289"/>
      <c r="C137" s="289"/>
      <c r="D137" s="289"/>
      <c r="E137" s="289"/>
      <c r="F137" s="289"/>
      <c r="H137" s="518"/>
      <c r="I137" s="518"/>
      <c r="J137" s="518"/>
      <c r="K137" s="770" t="str">
        <f>Obliczenia!J83</f>
        <v/>
      </c>
      <c r="L137" s="770"/>
      <c r="M137" s="770"/>
      <c r="N137" s="770"/>
      <c r="O137" s="770"/>
      <c r="P137" s="770"/>
      <c r="Q137" s="770"/>
      <c r="R137" s="770"/>
      <c r="S137" s="770"/>
      <c r="T137" s="770"/>
      <c r="U137" s="770"/>
      <c r="V137" s="770"/>
      <c r="W137" s="770"/>
      <c r="X137" s="781" t="s">
        <v>415</v>
      </c>
      <c r="Y137" s="781"/>
      <c r="Z137" s="781"/>
      <c r="AA137" s="781"/>
      <c r="AB137" s="781"/>
      <c r="AC137" s="564" t="str">
        <f>"R "&amp;AC138&amp;" %"</f>
        <v>R 0 %</v>
      </c>
      <c r="AD137" s="769">
        <f>VLOOKUP(X137,rozdzial,4,0)-VLOOKUP(X137,rozdzial,4,0)*(AC138/100)</f>
        <v>13824</v>
      </c>
      <c r="AE137" s="769"/>
      <c r="AF137" s="289"/>
      <c r="AG137" s="515" t="s">
        <v>452</v>
      </c>
      <c r="AH137" s="516"/>
      <c r="AI137" s="515"/>
      <c r="AJ137" s="515"/>
      <c r="AK137" s="515"/>
      <c r="AL137" s="517">
        <f>VLOOKUP($X$137,Obliczenia!J37:W45,8,0)</f>
        <v>80</v>
      </c>
      <c r="AM137" s="369" t="s">
        <v>454</v>
      </c>
      <c r="AO137" s="369"/>
      <c r="AP137" s="369"/>
      <c r="AQ137" s="369"/>
      <c r="AR137" s="369"/>
      <c r="AS137" s="369"/>
      <c r="AT137" s="369"/>
      <c r="AU137" s="369"/>
      <c r="AV137" s="409"/>
      <c r="AW137" s="409"/>
      <c r="AX137" s="409"/>
      <c r="AY137" s="409"/>
      <c r="AZ137" s="409"/>
      <c r="BA137" s="409"/>
      <c r="BB137" s="409"/>
      <c r="BC137" s="409"/>
      <c r="BD137" s="409"/>
      <c r="BE137" s="409"/>
      <c r="BF137" s="409"/>
      <c r="BG137" s="409"/>
      <c r="BH137" s="409"/>
      <c r="BI137" s="266"/>
      <c r="BJ137" s="265"/>
    </row>
    <row r="138" spans="1:64">
      <c r="A138" s="265"/>
      <c r="B138" s="289"/>
      <c r="C138" s="289"/>
      <c r="D138" s="289"/>
      <c r="E138" s="289"/>
      <c r="F138" s="289"/>
      <c r="G138" s="289"/>
      <c r="H138" s="289"/>
      <c r="I138" s="289"/>
      <c r="J138" s="289"/>
      <c r="K138" s="770"/>
      <c r="L138" s="770"/>
      <c r="M138" s="770"/>
      <c r="N138" s="770"/>
      <c r="O138" s="770"/>
      <c r="P138" s="770"/>
      <c r="Q138" s="770"/>
      <c r="R138" s="770"/>
      <c r="S138" s="770"/>
      <c r="T138" s="770"/>
      <c r="U138" s="770"/>
      <c r="V138" s="770"/>
      <c r="W138" s="770"/>
      <c r="X138" s="490" t="str">
        <f>IF(X137="Vitoair FS 300E MA 300m3/h","Centrala wentylacji mechanicznej z odzyskiem ciepła i wilgoci","Centrala wentylacji mechanicznej z odzyskiem ciepła")</f>
        <v>Centrala wentylacji mechanicznej z odzyskiem ciepła i wilgoci</v>
      </c>
      <c r="Y138" s="488"/>
      <c r="Z138" s="488"/>
      <c r="AA138" s="488"/>
      <c r="AB138" s="488"/>
      <c r="AC138" s="568">
        <v>0</v>
      </c>
      <c r="AE138" s="506"/>
      <c r="AF138" s="289"/>
      <c r="AG138" s="515" t="s">
        <v>453</v>
      </c>
      <c r="AH138" s="516"/>
      <c r="AI138" s="515"/>
      <c r="AJ138" s="515"/>
      <c r="AK138" s="515"/>
      <c r="AL138" s="517">
        <f>VLOOKUP($X$137,Obliczenia!J37:W45,9,0)</f>
        <v>74</v>
      </c>
      <c r="AM138" s="369" t="s">
        <v>454</v>
      </c>
      <c r="AO138" s="369"/>
      <c r="AP138" s="369"/>
      <c r="AQ138" s="369"/>
      <c r="AR138" s="369"/>
      <c r="AS138" s="369"/>
      <c r="AT138" s="369"/>
      <c r="AU138" s="369"/>
      <c r="AV138" s="409"/>
      <c r="AW138" s="409"/>
      <c r="AX138" s="409"/>
      <c r="AY138" s="409"/>
      <c r="AZ138" s="409"/>
      <c r="BA138" s="409"/>
      <c r="BB138" s="409"/>
      <c r="BC138" s="409"/>
      <c r="BD138" s="409"/>
      <c r="BE138" s="409"/>
      <c r="BF138" s="409"/>
      <c r="BG138" s="409"/>
      <c r="BH138" s="409"/>
      <c r="BI138" s="266"/>
      <c r="BJ138" s="265"/>
    </row>
    <row r="139" spans="1:64">
      <c r="A139" s="265"/>
      <c r="B139" s="289"/>
      <c r="C139" s="289"/>
      <c r="D139" s="289"/>
      <c r="E139" s="289"/>
      <c r="F139" s="289"/>
      <c r="G139" s="289"/>
      <c r="H139" s="289"/>
      <c r="I139" s="289"/>
      <c r="J139" s="289"/>
      <c r="K139" s="770"/>
      <c r="L139" s="770"/>
      <c r="M139" s="770"/>
      <c r="N139" s="770"/>
      <c r="O139" s="770"/>
      <c r="P139" s="770"/>
      <c r="Q139" s="770"/>
      <c r="R139" s="770"/>
      <c r="S139" s="770"/>
      <c r="T139" s="770"/>
      <c r="U139" s="770"/>
      <c r="V139" s="770"/>
      <c r="W139" s="770"/>
      <c r="X139" s="334" t="str">
        <f>VLOOKUP(X137,rozdzial,3,0)</f>
        <v>Z029138</v>
      </c>
      <c r="Z139" s="13"/>
      <c r="AA139" s="514"/>
      <c r="AB139" s="487"/>
      <c r="AC139" s="13"/>
      <c r="AD139" s="507"/>
      <c r="AE139" s="506"/>
      <c r="AF139" s="289"/>
      <c r="AG139" s="515" t="s">
        <v>448</v>
      </c>
      <c r="AH139" s="515"/>
      <c r="AI139" s="515"/>
      <c r="AJ139" s="515"/>
      <c r="AK139" s="515"/>
      <c r="AL139" s="517" t="str">
        <f>VLOOKUP($X$137,Obliczenia!J37:W45,11,0)</f>
        <v>Krzyżowy, entalpiczny</v>
      </c>
      <c r="AV139" s="409"/>
      <c r="AW139" s="409"/>
      <c r="AX139" s="409"/>
      <c r="AY139" s="409"/>
      <c r="AZ139" s="409"/>
      <c r="BA139" s="409"/>
      <c r="BB139" s="409"/>
      <c r="BC139" s="409"/>
      <c r="BD139" s="409"/>
      <c r="BE139" s="409"/>
      <c r="BF139" s="409"/>
      <c r="BG139" s="409"/>
      <c r="BH139" s="409"/>
      <c r="BI139" s="266"/>
      <c r="BJ139" s="265"/>
    </row>
    <row r="140" spans="1:64" ht="14.4" customHeight="1">
      <c r="A140" s="265"/>
      <c r="B140" s="289"/>
      <c r="C140" s="289"/>
      <c r="D140" s="409"/>
      <c r="E140" s="409"/>
      <c r="F140" s="409"/>
      <c r="G140" s="409"/>
      <c r="H140" s="409"/>
      <c r="I140" s="409"/>
      <c r="J140" s="409"/>
      <c r="K140" s="409"/>
      <c r="L140" s="409"/>
      <c r="M140" s="409"/>
      <c r="N140" s="409"/>
      <c r="O140" s="409"/>
      <c r="P140" s="409"/>
      <c r="Q140" s="409"/>
      <c r="R140" s="409"/>
      <c r="S140" s="409"/>
      <c r="T140" s="409"/>
      <c r="U140" s="409"/>
      <c r="V140" s="409"/>
      <c r="AC140" s="298"/>
      <c r="AE140" s="506"/>
      <c r="AF140" s="289"/>
      <c r="AG140" s="515" t="s">
        <v>449</v>
      </c>
      <c r="AH140" s="515"/>
      <c r="AI140" s="515"/>
      <c r="AJ140" s="515"/>
      <c r="AK140" s="515"/>
      <c r="AL140" s="517" t="str">
        <f>VLOOKUP($X$137,Obliczenia!J37:W45,13,0)</f>
        <v>Tak</v>
      </c>
      <c r="AM140" s="289"/>
      <c r="AN140" s="289"/>
      <c r="AO140" s="289"/>
      <c r="AP140" s="409"/>
      <c r="AQ140" s="409"/>
      <c r="AR140" s="409"/>
      <c r="AS140" s="409"/>
      <c r="AT140" s="409"/>
      <c r="AU140" s="409"/>
      <c r="AV140" s="409"/>
      <c r="AW140" s="409"/>
      <c r="AX140" s="409"/>
      <c r="AY140" s="409"/>
      <c r="AZ140" s="409"/>
      <c r="BA140" s="409"/>
      <c r="BB140" s="409"/>
      <c r="BC140" s="409"/>
      <c r="BD140" s="409"/>
      <c r="BE140" s="409"/>
      <c r="BF140" s="409"/>
      <c r="BG140" s="409"/>
      <c r="BH140" s="409"/>
      <c r="BI140" s="266"/>
      <c r="BJ140" s="265"/>
    </row>
    <row r="141" spans="1:64" ht="14.4" customHeight="1" thickBot="1">
      <c r="A141" s="265"/>
      <c r="B141" s="289"/>
      <c r="C141" s="289"/>
      <c r="D141" s="409"/>
      <c r="E141" s="409"/>
      <c r="F141" s="409"/>
      <c r="G141" s="409"/>
      <c r="H141" s="409"/>
      <c r="I141" s="409"/>
      <c r="J141" s="409"/>
      <c r="K141" s="409"/>
      <c r="L141" s="409"/>
      <c r="M141" s="409"/>
      <c r="N141" s="409"/>
      <c r="O141" s="409"/>
      <c r="P141" s="409"/>
      <c r="Q141" s="409"/>
      <c r="R141" s="409"/>
      <c r="S141" s="409"/>
      <c r="T141" s="409"/>
      <c r="U141" s="409"/>
      <c r="V141" s="409"/>
      <c r="X141" s="519" t="str">
        <f>"    "&amp;VLOOKUP($X$137,Obliczenia!J37:W45,6,0)</f>
        <v xml:space="preserve">    39</v>
      </c>
      <c r="Y141" s="517" t="str">
        <f>VLOOKUP($X$137,Obliczenia!J37:W45,4,0)&amp;" [m3/h]"</f>
        <v>300 [m3/h]</v>
      </c>
      <c r="AA141" s="518"/>
      <c r="AB141" s="520" t="str">
        <f>VLOOKUP($X$137,Obliczenia!J37:AA45,16,0)</f>
        <v>A</v>
      </c>
      <c r="AC141" s="430"/>
      <c r="AD141" s="506"/>
      <c r="AE141" s="506"/>
      <c r="AF141" s="289"/>
      <c r="AG141" s="515" t="s">
        <v>450</v>
      </c>
      <c r="AH141" s="515"/>
      <c r="AI141" s="515"/>
      <c r="AJ141" s="515"/>
      <c r="AK141" s="515"/>
      <c r="AL141" s="517" t="str">
        <f>VLOOKUP($X$137,Obliczenia!J37:W45,14,0)</f>
        <v>Opcja 1,8kW</v>
      </c>
      <c r="AM141" s="289"/>
      <c r="AN141" s="289"/>
      <c r="AO141" s="289"/>
      <c r="AP141" s="409"/>
      <c r="AQ141" s="409"/>
      <c r="AR141" s="409"/>
      <c r="AS141" s="409"/>
      <c r="AT141" s="409"/>
      <c r="AU141" s="409"/>
      <c r="AV141" s="409"/>
      <c r="AW141" s="409"/>
      <c r="AX141" s="409"/>
      <c r="AY141" s="409"/>
      <c r="AZ141" s="409"/>
      <c r="BA141" s="409"/>
      <c r="BB141" s="409"/>
      <c r="BC141" s="409"/>
      <c r="BD141" s="409"/>
      <c r="BE141" s="409"/>
      <c r="BF141" s="409"/>
      <c r="BG141" s="409"/>
      <c r="BH141" s="409"/>
      <c r="BI141" s="266"/>
      <c r="BJ141" s="265"/>
    </row>
    <row r="142" spans="1:64" ht="14.4" customHeight="1" thickBot="1">
      <c r="A142" s="265"/>
      <c r="B142" s="289"/>
      <c r="C142" s="289"/>
      <c r="D142" s="409"/>
      <c r="E142" s="409"/>
      <c r="F142" s="409"/>
      <c r="G142" s="409"/>
      <c r="H142" s="409"/>
      <c r="I142" s="409"/>
      <c r="J142" s="409"/>
      <c r="K142" s="409"/>
      <c r="L142" s="409"/>
      <c r="M142" s="409"/>
      <c r="N142" s="409"/>
      <c r="O142" s="409"/>
      <c r="P142" s="409"/>
      <c r="Q142" s="409"/>
      <c r="R142" s="409"/>
      <c r="S142" s="409"/>
      <c r="T142" s="409"/>
      <c r="U142" s="409"/>
      <c r="V142" s="409"/>
      <c r="AB142" s="520" t="str">
        <f>VLOOKUP($X$137,Obliczenia!J37:AA45,17,0)</f>
        <v>A</v>
      </c>
      <c r="AD142" s="506"/>
      <c r="AE142" s="506"/>
      <c r="AF142" s="289"/>
      <c r="AG142" s="515" t="s">
        <v>433</v>
      </c>
      <c r="AH142" s="515"/>
      <c r="AI142" s="515"/>
      <c r="AJ142" s="515"/>
      <c r="AK142" s="515"/>
      <c r="AL142" s="517" t="str">
        <f>VLOOKUP($X$137,Obliczenia!J37:W45,12,0)</f>
        <v>Nie</v>
      </c>
      <c r="AM142" s="289"/>
      <c r="AN142" s="289"/>
      <c r="AO142" s="289"/>
      <c r="AP142" s="409"/>
      <c r="AQ142" s="409"/>
      <c r="AR142" s="409"/>
      <c r="AS142" s="409"/>
      <c r="AT142" s="409"/>
      <c r="AU142" s="409"/>
      <c r="AV142" s="409"/>
      <c r="AW142" s="409"/>
      <c r="AX142" s="409"/>
      <c r="AY142" s="409"/>
      <c r="AZ142" s="409"/>
      <c r="BA142" s="409"/>
      <c r="BB142" s="409"/>
      <c r="BC142" s="409"/>
      <c r="BD142" s="409"/>
      <c r="BE142" s="409"/>
      <c r="BF142" s="409"/>
      <c r="BG142" s="409"/>
      <c r="BH142" s="409"/>
      <c r="BI142" s="266"/>
      <c r="BJ142" s="265"/>
    </row>
    <row r="143" spans="1:64" ht="14.4" customHeight="1">
      <c r="A143" s="265"/>
      <c r="B143" s="289"/>
      <c r="C143" s="289"/>
      <c r="D143" s="409"/>
      <c r="E143" s="409"/>
      <c r="F143" s="409"/>
      <c r="G143" s="409"/>
      <c r="H143" s="409"/>
      <c r="I143" s="409"/>
      <c r="J143" s="409"/>
      <c r="K143" s="409"/>
      <c r="L143" s="409"/>
      <c r="M143" s="409"/>
      <c r="N143" s="409"/>
      <c r="O143" s="409"/>
      <c r="P143" s="409"/>
      <c r="Q143" s="409"/>
      <c r="R143" s="409"/>
      <c r="S143" s="409"/>
      <c r="T143" s="409"/>
      <c r="U143" s="409"/>
      <c r="V143" s="409"/>
      <c r="W143" s="427"/>
      <c r="X143" s="427"/>
      <c r="Y143" s="427"/>
      <c r="Z143" s="427"/>
      <c r="AA143" s="427"/>
      <c r="AB143" s="521" t="str">
        <f>VLOOKUP($X$137,Obliczenia!J37:AA45,18,0)</f>
        <v>A</v>
      </c>
      <c r="AC143" s="426"/>
      <c r="AD143" s="506"/>
      <c r="AE143" s="506"/>
      <c r="AF143" s="289"/>
      <c r="AG143" s="490" t="s">
        <v>447</v>
      </c>
      <c r="AH143" s="515"/>
      <c r="AI143" s="515"/>
      <c r="AJ143" s="515"/>
      <c r="AK143" s="515"/>
      <c r="AL143" s="517" t="str">
        <f>VLOOKUP($X$137,Obliczenia!J37:W45,10,0)</f>
        <v>1254 x 244 x 800</v>
      </c>
      <c r="AM143" s="369" t="s">
        <v>455</v>
      </c>
      <c r="AN143" s="289"/>
      <c r="AO143" s="289"/>
      <c r="AP143" s="409"/>
      <c r="AQ143" s="409"/>
      <c r="AR143" s="409"/>
      <c r="AS143" s="409"/>
      <c r="AT143" s="409"/>
      <c r="AU143" s="409"/>
      <c r="AV143" s="409"/>
      <c r="AW143" s="409"/>
      <c r="AX143" s="409"/>
      <c r="AY143" s="409"/>
      <c r="AZ143" s="409"/>
      <c r="BA143" s="409"/>
      <c r="BB143" s="409"/>
      <c r="BC143" s="409"/>
      <c r="BD143" s="409"/>
      <c r="BE143" s="409"/>
      <c r="BF143" s="409"/>
      <c r="BG143" s="409"/>
      <c r="BH143" s="409"/>
      <c r="BI143" s="266"/>
      <c r="BJ143" s="265"/>
      <c r="BL143" s="289"/>
    </row>
    <row r="144" spans="1:64" ht="14.4" customHeight="1">
      <c r="A144" s="265"/>
      <c r="B144" s="289"/>
      <c r="C144" s="289"/>
      <c r="D144" s="409"/>
      <c r="E144" s="409"/>
      <c r="F144" s="409"/>
      <c r="G144" s="409"/>
      <c r="H144" s="409"/>
      <c r="I144" s="409"/>
      <c r="J144" s="409"/>
      <c r="K144" s="409"/>
      <c r="L144" s="409"/>
      <c r="M144" s="409"/>
      <c r="N144" s="409"/>
      <c r="O144" s="409"/>
      <c r="P144" s="409"/>
      <c r="Q144" s="409"/>
      <c r="R144" s="409"/>
      <c r="S144" s="409"/>
      <c r="T144" s="409"/>
      <c r="U144" s="409"/>
      <c r="V144" s="409"/>
      <c r="W144" s="427"/>
      <c r="X144" s="427"/>
      <c r="Y144" s="427"/>
      <c r="Z144" s="427"/>
      <c r="AB144" s="426"/>
      <c r="AC144" s="426"/>
      <c r="AD144" s="506"/>
      <c r="AE144" s="506"/>
      <c r="AF144" s="289"/>
      <c r="AG144" s="515"/>
      <c r="AH144" s="515"/>
      <c r="AI144" s="515"/>
      <c r="AJ144" s="515"/>
      <c r="AK144" s="515"/>
      <c r="AL144" s="517"/>
      <c r="AM144" s="289"/>
      <c r="AN144" s="289"/>
      <c r="AO144" s="289"/>
      <c r="AP144" s="409"/>
      <c r="AQ144" s="409"/>
      <c r="AR144" s="409"/>
      <c r="AS144" s="409"/>
      <c r="AT144" s="409"/>
      <c r="AU144" s="409"/>
      <c r="AV144" s="409"/>
      <c r="AW144" s="409"/>
      <c r="AX144" s="409"/>
      <c r="AY144" s="409"/>
      <c r="AZ144" s="409"/>
      <c r="BA144" s="409"/>
      <c r="BB144" s="409"/>
      <c r="BC144" s="409"/>
      <c r="BD144" s="409"/>
      <c r="BE144" s="409"/>
      <c r="BF144" s="409"/>
      <c r="BG144" s="409"/>
      <c r="BH144" s="409"/>
      <c r="BI144" s="266"/>
      <c r="BJ144" s="265"/>
      <c r="BL144" s="289"/>
    </row>
    <row r="145" spans="1:70" ht="14.4" customHeight="1">
      <c r="A145" s="265"/>
      <c r="B145" s="289"/>
      <c r="C145" s="289"/>
      <c r="D145" s="409"/>
      <c r="E145" s="409"/>
      <c r="F145" s="409"/>
      <c r="G145" s="409"/>
      <c r="H145" s="409"/>
      <c r="I145" s="409"/>
      <c r="J145" s="409"/>
      <c r="K145" s="409"/>
      <c r="L145" s="409"/>
      <c r="M145" s="409"/>
      <c r="N145" s="409"/>
      <c r="O145" s="409"/>
      <c r="P145" s="409"/>
      <c r="Q145" s="409"/>
      <c r="R145" s="409"/>
      <c r="S145" s="409"/>
      <c r="T145" s="409"/>
      <c r="U145" s="409"/>
      <c r="V145" s="409"/>
      <c r="W145" s="427"/>
      <c r="X145" s="768" t="str">
        <f>IF(X137="Vitoair FS 300E MA 300m3/h","Nagrzewnica elektryczna powietrza 1,8kW","")</f>
        <v>Nagrzewnica elektryczna powietrza 1,8kW</v>
      </c>
      <c r="Y145" s="768"/>
      <c r="Z145" s="768"/>
      <c r="AA145" s="768"/>
      <c r="AB145" s="768"/>
      <c r="AC145" s="13"/>
      <c r="AD145" s="769">
        <f>IFERROR(VLOOKUP(X145,rozdzial,4,0)-VLOOKUP(X145,rozdzial,4,0)*(AC138/100),"")</f>
        <v>1913</v>
      </c>
      <c r="AE145" s="769"/>
      <c r="AF145" s="289"/>
      <c r="AG145" s="515"/>
      <c r="AH145" s="515"/>
      <c r="AI145" s="515"/>
      <c r="AJ145" s="515"/>
      <c r="AK145" s="515"/>
      <c r="AL145" s="517"/>
      <c r="AM145" s="289"/>
      <c r="AN145" s="289"/>
      <c r="AO145" s="289"/>
      <c r="AP145" s="409"/>
      <c r="AQ145" s="409"/>
      <c r="AR145" s="409"/>
      <c r="AS145" s="409"/>
      <c r="AT145" s="409"/>
      <c r="AU145" s="409"/>
      <c r="AV145" s="409"/>
      <c r="AW145" s="409"/>
      <c r="AX145" s="409"/>
      <c r="AY145" s="409"/>
      <c r="AZ145" s="409"/>
      <c r="BA145" s="409"/>
      <c r="BB145" s="409"/>
      <c r="BC145" s="409"/>
      <c r="BD145" s="409"/>
      <c r="BE145" s="409"/>
      <c r="BF145" s="409"/>
      <c r="BG145" s="409"/>
      <c r="BH145" s="409"/>
      <c r="BI145" s="266"/>
      <c r="BJ145" s="265"/>
      <c r="BL145" s="289"/>
    </row>
    <row r="146" spans="1:70" ht="14.4" customHeight="1">
      <c r="A146" s="265"/>
      <c r="B146" s="289"/>
      <c r="C146" s="289"/>
      <c r="D146" s="409"/>
      <c r="E146" s="409"/>
      <c r="F146" s="409"/>
      <c r="G146" s="409"/>
      <c r="H146" s="409"/>
      <c r="I146" s="409"/>
      <c r="J146" s="409"/>
      <c r="K146" s="409"/>
      <c r="L146" s="409"/>
      <c r="M146" s="409"/>
      <c r="N146" s="409"/>
      <c r="O146" s="409"/>
      <c r="P146" s="409"/>
      <c r="Q146" s="409"/>
      <c r="R146" s="409"/>
      <c r="S146" s="409"/>
      <c r="T146" s="409"/>
      <c r="U146" s="409"/>
      <c r="V146" s="409"/>
      <c r="W146" s="427"/>
      <c r="X146" s="490" t="str">
        <f>IF(X137="Vitoair FS 300E MA 300m3/h","Do ogrzewania wstępnego powietrza, montaż wewn. centrali","")</f>
        <v>Do ogrzewania wstępnego powietrza, montaż wewn. centrali</v>
      </c>
      <c r="Y146" s="488"/>
      <c r="Z146" s="488"/>
      <c r="AA146" s="488"/>
      <c r="AB146" s="488"/>
      <c r="AC146" s="339"/>
      <c r="AD146" s="502"/>
      <c r="AE146" s="503"/>
      <c r="AF146" s="289"/>
      <c r="AG146" s="563"/>
      <c r="AH146" s="515"/>
      <c r="AI146" s="515"/>
      <c r="AJ146" s="515"/>
      <c r="AK146" s="515"/>
      <c r="AL146" s="517"/>
      <c r="AM146" s="289"/>
      <c r="AN146" s="289"/>
      <c r="AO146" s="289"/>
      <c r="AP146" s="409"/>
      <c r="AQ146" s="409"/>
      <c r="AR146" s="409"/>
      <c r="AS146" s="409"/>
      <c r="AT146" s="409"/>
      <c r="AU146" s="409"/>
      <c r="AV146" s="409"/>
      <c r="AW146" s="409"/>
      <c r="AX146" s="409"/>
      <c r="AY146" s="409"/>
      <c r="AZ146" s="409"/>
      <c r="BA146" s="409"/>
      <c r="BB146" s="409"/>
      <c r="BC146" s="409"/>
      <c r="BD146" s="409"/>
      <c r="BE146" s="409"/>
      <c r="BF146" s="409"/>
      <c r="BG146" s="409"/>
      <c r="BH146" s="409"/>
      <c r="BI146" s="266"/>
      <c r="BJ146" s="265"/>
      <c r="BL146" s="289"/>
    </row>
    <row r="147" spans="1:70" ht="14.4" customHeight="1">
      <c r="A147" s="265"/>
      <c r="B147" s="289"/>
      <c r="C147" s="289"/>
      <c r="D147" s="409"/>
      <c r="E147" s="409"/>
      <c r="F147" s="409"/>
      <c r="G147" s="409"/>
      <c r="H147" s="409"/>
      <c r="I147" s="409"/>
      <c r="J147" s="409"/>
      <c r="K147" s="409"/>
      <c r="L147" s="409"/>
      <c r="M147" s="409"/>
      <c r="N147" s="409"/>
      <c r="O147" s="409"/>
      <c r="P147" s="409"/>
      <c r="Q147" s="409"/>
      <c r="R147" s="409"/>
      <c r="S147" s="409"/>
      <c r="T147" s="409"/>
      <c r="U147" s="409"/>
      <c r="V147" s="409"/>
      <c r="W147" s="427"/>
      <c r="X147" s="334">
        <f>IFERROR(VLOOKUP(X145,rozdzial,3,0),"")</f>
        <v>7372079</v>
      </c>
      <c r="Y147" s="497"/>
      <c r="Z147" s="497"/>
      <c r="AA147" s="497"/>
      <c r="AB147" s="497"/>
      <c r="AC147" s="339"/>
      <c r="AD147" s="502"/>
      <c r="AE147" s="503"/>
      <c r="AF147" s="289"/>
      <c r="AG147" s="515"/>
      <c r="AH147" s="515"/>
      <c r="AI147" s="515"/>
      <c r="AJ147" s="515"/>
      <c r="AK147" s="515"/>
      <c r="AL147" s="517"/>
      <c r="AM147" s="289"/>
      <c r="AN147" s="289"/>
      <c r="AO147" s="289"/>
      <c r="AP147" s="409"/>
      <c r="AQ147" s="409"/>
      <c r="AR147" s="409"/>
      <c r="AS147" s="409"/>
      <c r="AT147" s="409"/>
      <c r="AU147" s="409"/>
      <c r="AV147" s="409"/>
      <c r="AW147" s="409"/>
      <c r="AX147" s="409"/>
      <c r="AY147" s="409"/>
      <c r="AZ147" s="409"/>
      <c r="BA147" s="409"/>
      <c r="BB147" s="409"/>
      <c r="BC147" s="409"/>
      <c r="BD147" s="409"/>
      <c r="BE147" s="409"/>
      <c r="BF147" s="409"/>
      <c r="BG147" s="409"/>
      <c r="BH147" s="409"/>
      <c r="BI147" s="266"/>
      <c r="BJ147" s="265"/>
      <c r="BL147" s="289"/>
    </row>
    <row r="148" spans="1:70" ht="14.4" customHeight="1">
      <c r="A148" s="265"/>
      <c r="B148" s="289"/>
      <c r="C148" s="289"/>
      <c r="D148" s="409"/>
      <c r="E148" s="409"/>
      <c r="F148" s="409"/>
      <c r="G148" s="409"/>
      <c r="H148" s="409"/>
      <c r="I148" s="409"/>
      <c r="J148" s="409"/>
      <c r="K148" s="409"/>
      <c r="L148" s="409"/>
      <c r="M148" s="409"/>
      <c r="N148" s="409"/>
      <c r="O148" s="409"/>
      <c r="P148" s="409"/>
      <c r="Q148" s="409"/>
      <c r="R148" s="409"/>
      <c r="S148" s="409"/>
      <c r="T148" s="409"/>
      <c r="U148" s="409"/>
      <c r="V148" s="409"/>
      <c r="W148" s="427"/>
      <c r="X148" s="490"/>
      <c r="Y148" s="497"/>
      <c r="Z148" s="497"/>
      <c r="AA148" s="497"/>
      <c r="AB148" s="497"/>
      <c r="AC148" s="339"/>
      <c r="AD148" s="502"/>
      <c r="AE148" s="503"/>
      <c r="AF148" s="289"/>
      <c r="AG148" s="515"/>
      <c r="AH148" s="515"/>
      <c r="AI148" s="515"/>
      <c r="AJ148" s="515"/>
      <c r="AK148" s="515"/>
      <c r="AM148" s="289"/>
      <c r="AN148" s="289"/>
      <c r="AO148" s="289"/>
      <c r="AP148" s="409"/>
      <c r="AQ148" s="409"/>
      <c r="AR148" s="409"/>
      <c r="AS148" s="409"/>
      <c r="AT148" s="409"/>
      <c r="AU148" s="409"/>
      <c r="AV148" s="409"/>
      <c r="AW148" s="409"/>
      <c r="AX148" s="409"/>
      <c r="AY148" s="409"/>
      <c r="AZ148" s="409"/>
      <c r="BA148" s="409"/>
      <c r="BB148" s="409"/>
      <c r="BC148" s="409"/>
      <c r="BD148" s="409"/>
      <c r="BE148" s="409"/>
      <c r="BF148" s="409"/>
      <c r="BG148" s="409"/>
      <c r="BH148" s="409"/>
      <c r="BI148" s="266"/>
      <c r="BJ148" s="265"/>
      <c r="BL148" s="289"/>
    </row>
    <row r="149" spans="1:70" ht="14.4" customHeight="1">
      <c r="A149" s="265"/>
      <c r="B149" s="289"/>
      <c r="C149" s="289"/>
      <c r="D149" s="409"/>
      <c r="E149" s="409"/>
      <c r="F149" s="409"/>
      <c r="G149" s="409"/>
      <c r="H149" s="409"/>
      <c r="I149" s="409"/>
      <c r="J149" s="409"/>
      <c r="K149" s="409"/>
      <c r="L149" s="409"/>
      <c r="M149" s="409"/>
      <c r="N149" s="409"/>
      <c r="O149" s="409"/>
      <c r="P149" s="409"/>
      <c r="Q149" s="409"/>
      <c r="R149" s="409"/>
      <c r="S149" s="409"/>
      <c r="T149" s="409"/>
      <c r="U149" s="409"/>
      <c r="V149" s="409"/>
      <c r="W149" s="746" t="s">
        <v>402</v>
      </c>
      <c r="X149" s="746"/>
      <c r="Y149" s="746"/>
      <c r="Z149" s="746"/>
      <c r="AA149" s="746"/>
      <c r="AB149" s="746"/>
      <c r="AC149" s="426"/>
      <c r="AD149" s="506"/>
      <c r="AE149" s="506"/>
      <c r="AF149" s="289"/>
      <c r="AG149" s="515"/>
      <c r="AH149" s="515"/>
      <c r="AK149" s="515"/>
      <c r="AL149" s="517"/>
      <c r="AM149" s="289"/>
      <c r="AN149" s="289"/>
      <c r="AO149" s="289"/>
      <c r="AP149" s="409"/>
      <c r="AQ149" s="409"/>
      <c r="AR149" s="409"/>
      <c r="AS149" s="409"/>
      <c r="AT149" s="409"/>
      <c r="AU149" s="409"/>
      <c r="AV149" s="409"/>
      <c r="AW149" s="409"/>
      <c r="AX149" s="409"/>
      <c r="AY149" s="409"/>
      <c r="AZ149" s="409"/>
      <c r="BA149" s="409"/>
      <c r="BB149" s="409"/>
      <c r="BC149" s="409"/>
      <c r="BD149" s="409"/>
      <c r="BE149" s="409"/>
      <c r="BF149" s="409"/>
      <c r="BG149" s="409"/>
      <c r="BH149" s="409"/>
      <c r="BI149" s="266"/>
      <c r="BJ149" s="265"/>
      <c r="BL149" s="289"/>
    </row>
    <row r="150" spans="1:70" ht="14.4" customHeight="1">
      <c r="A150" s="265"/>
      <c r="B150" s="289"/>
      <c r="C150" s="289"/>
      <c r="D150" s="409"/>
      <c r="E150" s="409"/>
      <c r="F150" s="409"/>
      <c r="G150" s="409"/>
      <c r="H150" s="409"/>
      <c r="I150" s="409"/>
      <c r="J150" s="409"/>
      <c r="K150" s="409"/>
      <c r="L150" s="409"/>
      <c r="M150" s="409"/>
      <c r="N150" s="409"/>
      <c r="O150" s="409"/>
      <c r="P150" s="409"/>
      <c r="Q150" s="409"/>
      <c r="R150" s="409"/>
      <c r="S150" s="409"/>
      <c r="T150" s="409"/>
      <c r="U150" s="409"/>
      <c r="V150" s="409"/>
      <c r="W150" s="771"/>
      <c r="X150" s="771"/>
      <c r="Y150" s="771"/>
      <c r="Z150" s="771"/>
      <c r="AA150" s="771"/>
      <c r="AB150" s="771"/>
      <c r="AC150" s="500"/>
      <c r="AD150" s="508"/>
      <c r="AE150" s="508"/>
      <c r="AF150" s="296"/>
      <c r="AG150" s="501"/>
      <c r="AH150" s="501"/>
      <c r="AI150" s="501"/>
      <c r="AJ150" s="501"/>
      <c r="AK150" s="501"/>
      <c r="AL150" s="501"/>
      <c r="AM150" s="501"/>
      <c r="AN150" s="296"/>
      <c r="AO150" s="296"/>
      <c r="AP150" s="510"/>
      <c r="AQ150" s="510"/>
      <c r="AR150" s="510"/>
      <c r="AS150" s="510"/>
      <c r="AT150" s="510"/>
      <c r="AU150" s="510"/>
      <c r="AV150" s="510"/>
      <c r="AW150" s="510"/>
      <c r="AX150" s="510"/>
      <c r="AY150" s="510"/>
      <c r="AZ150" s="510"/>
      <c r="BA150" s="510"/>
      <c r="BB150" s="510"/>
      <c r="BC150" s="510"/>
      <c r="BD150" s="510"/>
      <c r="BE150" s="409"/>
      <c r="BF150" s="409"/>
      <c r="BG150" s="409"/>
      <c r="BH150" s="409"/>
      <c r="BI150" s="266"/>
      <c r="BJ150" s="265"/>
      <c r="BM150" s="289"/>
      <c r="BN150" s="289"/>
      <c r="BO150" s="289"/>
      <c r="BP150" s="289"/>
      <c r="BQ150" s="289"/>
    </row>
    <row r="151" spans="1:70" ht="3.6" customHeight="1">
      <c r="A151" s="265"/>
      <c r="B151" s="289"/>
      <c r="C151" s="289"/>
      <c r="D151" s="409"/>
      <c r="E151" s="409"/>
      <c r="F151" s="409"/>
      <c r="G151" s="409"/>
      <c r="H151" s="409"/>
      <c r="I151" s="409"/>
      <c r="J151" s="409"/>
      <c r="K151" s="409"/>
      <c r="L151" s="409"/>
      <c r="M151" s="409"/>
      <c r="N151" s="409"/>
      <c r="O151" s="409"/>
      <c r="P151" s="409"/>
      <c r="Q151" s="409"/>
      <c r="R151" s="409"/>
      <c r="S151" s="409"/>
      <c r="T151" s="409"/>
      <c r="U151" s="409"/>
      <c r="V151" s="409"/>
      <c r="W151" s="425"/>
      <c r="X151" s="425"/>
      <c r="Y151" s="425"/>
      <c r="Z151" s="425"/>
      <c r="AA151" s="425"/>
      <c r="AB151" s="425"/>
      <c r="AC151" s="426"/>
      <c r="AD151" s="506"/>
      <c r="AE151" s="506"/>
      <c r="AF151" s="289"/>
      <c r="AN151" s="289"/>
      <c r="AO151" s="289"/>
      <c r="AP151" s="409"/>
      <c r="AQ151" s="409"/>
      <c r="AR151" s="409"/>
      <c r="AS151" s="409"/>
      <c r="AT151" s="409"/>
      <c r="AU151" s="409"/>
      <c r="AV151" s="409"/>
      <c r="AW151" s="409"/>
      <c r="AX151" s="409"/>
      <c r="AY151" s="409"/>
      <c r="AZ151" s="409"/>
      <c r="BA151" s="409"/>
      <c r="BB151" s="409"/>
      <c r="BC151" s="409"/>
      <c r="BD151" s="409"/>
      <c r="BE151" s="409"/>
      <c r="BF151" s="409"/>
      <c r="BG151" s="409"/>
      <c r="BH151" s="409"/>
      <c r="BI151" s="266"/>
      <c r="BJ151" s="265"/>
      <c r="BM151" s="289"/>
      <c r="BN151" s="289"/>
      <c r="BO151" s="289"/>
      <c r="BP151" s="289"/>
      <c r="BQ151" s="289"/>
    </row>
    <row r="152" spans="1:70" ht="14.4" customHeight="1">
      <c r="A152" s="265"/>
      <c r="B152" s="289"/>
      <c r="C152" s="289"/>
      <c r="D152" s="409"/>
      <c r="E152" s="409"/>
      <c r="F152" s="409"/>
      <c r="G152" s="409"/>
      <c r="H152" s="409"/>
      <c r="I152" s="409"/>
      <c r="J152" s="409"/>
      <c r="K152" s="409"/>
      <c r="L152" s="409"/>
      <c r="M152" s="409"/>
      <c r="N152" s="409"/>
      <c r="O152" s="409"/>
      <c r="P152" s="409"/>
      <c r="Q152" s="409"/>
      <c r="R152" s="409"/>
      <c r="S152" s="409"/>
      <c r="T152" s="409"/>
      <c r="U152" s="409"/>
      <c r="V152" s="409"/>
      <c r="W152" s="425"/>
      <c r="X152" s="425"/>
      <c r="Y152" s="425"/>
      <c r="Z152" s="425"/>
      <c r="AA152" s="427"/>
      <c r="AB152" s="277"/>
      <c r="AC152" s="426"/>
      <c r="AD152" s="506"/>
      <c r="AE152" s="539"/>
      <c r="AF152" s="491"/>
      <c r="AG152" s="552"/>
      <c r="AH152" s="552"/>
      <c r="AI152" s="552"/>
      <c r="AJ152" s="552"/>
      <c r="AK152" s="552"/>
      <c r="AL152" s="552"/>
      <c r="AM152" s="552"/>
      <c r="AN152" s="492"/>
      <c r="AO152" s="492"/>
      <c r="AP152" s="462"/>
      <c r="AQ152" s="462"/>
      <c r="AR152" s="462"/>
      <c r="AS152" s="462"/>
      <c r="AT152" s="462"/>
      <c r="AU152" s="462"/>
      <c r="AV152" s="462"/>
      <c r="AW152" s="462"/>
      <c r="AX152" s="462"/>
      <c r="AY152" s="462"/>
      <c r="AZ152" s="462"/>
      <c r="BA152" s="462"/>
      <c r="BB152" s="462"/>
      <c r="BC152" s="462"/>
      <c r="BD152" s="462"/>
      <c r="BE152" s="409"/>
      <c r="BF152" s="409"/>
      <c r="BG152" s="409"/>
      <c r="BH152" s="409"/>
      <c r="BI152" s="266"/>
      <c r="BJ152" s="265"/>
      <c r="BM152" s="289"/>
      <c r="BO152" s="289"/>
      <c r="BP152" s="289"/>
      <c r="BQ152" s="289"/>
    </row>
    <row r="153" spans="1:70" ht="14.4" customHeight="1">
      <c r="A153" s="265"/>
      <c r="B153" s="289"/>
      <c r="C153" s="289"/>
      <c r="D153" s="409"/>
      <c r="E153" s="409"/>
      <c r="F153" s="409"/>
      <c r="G153" s="409"/>
      <c r="H153" s="409"/>
      <c r="I153" s="409"/>
      <c r="J153" s="409"/>
      <c r="K153" s="409"/>
      <c r="L153" s="409"/>
      <c r="M153" s="409"/>
      <c r="N153" s="409"/>
      <c r="O153" s="409"/>
      <c r="P153" s="409"/>
      <c r="Q153" s="409"/>
      <c r="R153" s="409"/>
      <c r="S153" s="409"/>
      <c r="T153" s="409"/>
      <c r="U153" s="409"/>
      <c r="V153" s="409"/>
      <c r="W153" s="425"/>
      <c r="X153" s="425"/>
      <c r="Y153" s="425"/>
      <c r="Z153" s="425"/>
      <c r="AA153" s="427"/>
      <c r="AB153" s="277"/>
      <c r="AC153" s="426"/>
      <c r="AD153" s="506"/>
      <c r="AE153" s="539"/>
      <c r="AF153" s="400"/>
      <c r="AG153" s="524" t="s">
        <v>416</v>
      </c>
      <c r="AH153" s="524"/>
      <c r="AI153" s="400"/>
      <c r="AJ153" s="400"/>
      <c r="AK153" s="400"/>
      <c r="AL153" s="400"/>
      <c r="AM153" s="400"/>
      <c r="AN153" s="397"/>
      <c r="AO153" s="397"/>
      <c r="AP153" s="465"/>
      <c r="AQ153" s="465"/>
      <c r="AR153" s="465"/>
      <c r="AS153" s="465"/>
      <c r="AT153" s="465"/>
      <c r="AU153" s="465"/>
      <c r="AV153" s="465"/>
      <c r="AW153" s="465"/>
      <c r="AX153" s="465"/>
      <c r="AY153" s="465"/>
      <c r="AZ153" s="465"/>
      <c r="BA153" s="465"/>
      <c r="BB153" s="465"/>
      <c r="BC153" s="465"/>
      <c r="BD153" s="465"/>
      <c r="BE153" s="409"/>
      <c r="BF153" s="409"/>
      <c r="BG153" s="409"/>
      <c r="BH153" s="409"/>
      <c r="BI153" s="266"/>
      <c r="BJ153" s="265"/>
    </row>
    <row r="154" spans="1:70">
      <c r="A154" s="265"/>
      <c r="B154" s="289"/>
      <c r="C154" s="289"/>
      <c r="D154" s="289"/>
      <c r="E154" s="289"/>
      <c r="F154" s="289"/>
      <c r="G154" s="289"/>
      <c r="H154" s="289"/>
      <c r="I154" s="289"/>
      <c r="J154" s="289"/>
      <c r="K154" s="770" t="str">
        <f>Obliczenia!J82</f>
        <v/>
      </c>
      <c r="L154" s="770"/>
      <c r="M154" s="770"/>
      <c r="N154" s="770"/>
      <c r="O154" s="770"/>
      <c r="P154" s="770"/>
      <c r="Q154" s="770"/>
      <c r="R154" s="770"/>
      <c r="S154" s="770"/>
      <c r="T154" s="770"/>
      <c r="U154" s="770"/>
      <c r="V154" s="770"/>
      <c r="W154" s="770"/>
      <c r="X154" s="781" t="s">
        <v>483</v>
      </c>
      <c r="Y154" s="781"/>
      <c r="Z154" s="781"/>
      <c r="AA154" s="781"/>
      <c r="AB154" s="781"/>
      <c r="AD154" s="769" t="str">
        <f>IF(X154="Sterowanie przez aplikację ViCare","0 zł",VLOOKUP(X154,rozdzial,4,0)-VLOOKUP(X154,rozdzial,4,0)*(AC138/100))</f>
        <v>0 zł</v>
      </c>
      <c r="AE154" s="778"/>
      <c r="AF154" s="397"/>
      <c r="AG154" s="400"/>
      <c r="AH154" s="532"/>
      <c r="AI154" s="531" t="s">
        <v>461</v>
      </c>
      <c r="AJ154" s="400"/>
      <c r="AK154" s="400"/>
      <c r="AL154" s="397"/>
      <c r="AM154" s="400"/>
      <c r="AN154" s="397"/>
      <c r="AO154" s="397"/>
      <c r="AP154" s="465"/>
      <c r="AQ154" s="465"/>
      <c r="AR154" s="465"/>
      <c r="AS154" s="465"/>
      <c r="AT154" s="465"/>
      <c r="AU154" s="465"/>
      <c r="AV154" s="465"/>
      <c r="AW154" s="465"/>
      <c r="AX154" s="465"/>
      <c r="AY154" s="465"/>
      <c r="AZ154" s="465"/>
      <c r="BA154" s="465"/>
      <c r="BB154" s="465"/>
      <c r="BC154" s="465"/>
      <c r="BD154" s="465"/>
      <c r="BE154" s="409"/>
      <c r="BF154" s="409"/>
      <c r="BG154" s="409"/>
      <c r="BH154" s="409"/>
      <c r="BI154" s="266"/>
      <c r="BJ154" s="265"/>
    </row>
    <row r="155" spans="1:70">
      <c r="A155" s="265"/>
      <c r="B155" s="289"/>
      <c r="C155" s="289"/>
      <c r="D155" s="289"/>
      <c r="E155" s="289"/>
      <c r="F155" s="289"/>
      <c r="G155" s="289"/>
      <c r="H155" s="289"/>
      <c r="I155" s="289"/>
      <c r="J155" s="289"/>
      <c r="K155" s="770"/>
      <c r="L155" s="770"/>
      <c r="M155" s="770"/>
      <c r="N155" s="770"/>
      <c r="O155" s="770"/>
      <c r="P155" s="770"/>
      <c r="Q155" s="770"/>
      <c r="R155" s="770"/>
      <c r="S155" s="770"/>
      <c r="T155" s="770"/>
      <c r="U155" s="770"/>
      <c r="V155" s="770"/>
      <c r="W155" s="770"/>
      <c r="X155" s="490" t="s">
        <v>456</v>
      </c>
      <c r="Y155" s="488"/>
      <c r="Z155" s="488"/>
      <c r="AA155" s="488"/>
      <c r="AB155" s="488"/>
      <c r="AD155" s="13"/>
      <c r="AE155" s="538"/>
      <c r="AF155" s="397"/>
      <c r="AG155" s="782" t="s">
        <v>462</v>
      </c>
      <c r="AH155" s="400"/>
      <c r="AI155" s="400"/>
      <c r="AJ155" s="780" t="s">
        <v>457</v>
      </c>
      <c r="AK155" s="780"/>
      <c r="AL155" s="400"/>
      <c r="AM155" s="400"/>
      <c r="AN155" s="397"/>
      <c r="AO155" s="397"/>
      <c r="AP155" s="465"/>
      <c r="AQ155" s="465"/>
      <c r="AR155" s="465"/>
      <c r="AS155" s="465"/>
      <c r="AT155" s="465"/>
      <c r="AU155" s="465"/>
      <c r="AV155" s="465"/>
      <c r="AW155" s="465"/>
      <c r="AX155" s="465"/>
      <c r="AY155" s="465"/>
      <c r="AZ155" s="465"/>
      <c r="BA155" s="465"/>
      <c r="BB155" s="465"/>
      <c r="BC155" s="465"/>
      <c r="BD155" s="465"/>
      <c r="BE155" s="409"/>
      <c r="BF155" s="409"/>
      <c r="BG155" s="409"/>
      <c r="BH155" s="409"/>
      <c r="BI155" s="266"/>
      <c r="BJ155" s="265"/>
    </row>
    <row r="156" spans="1:70">
      <c r="A156" s="265"/>
      <c r="B156" s="289"/>
      <c r="C156" s="289"/>
      <c r="D156" s="289"/>
      <c r="E156" s="289"/>
      <c r="F156" s="289"/>
      <c r="G156" s="289"/>
      <c r="H156" s="289"/>
      <c r="I156" s="289"/>
      <c r="J156" s="289"/>
      <c r="K156" s="770"/>
      <c r="L156" s="770"/>
      <c r="M156" s="770"/>
      <c r="N156" s="770"/>
      <c r="O156" s="770"/>
      <c r="P156" s="770"/>
      <c r="Q156" s="770"/>
      <c r="R156" s="770"/>
      <c r="S156" s="770"/>
      <c r="T156" s="770"/>
      <c r="U156" s="770"/>
      <c r="V156" s="770"/>
      <c r="W156" s="770"/>
      <c r="X156" s="334" t="str">
        <f>IF(X154="Sterowanie przez aplikację ViCare","",VLOOKUP(X154,rozdzial,3,0))</f>
        <v/>
      </c>
      <c r="Z156" s="13"/>
      <c r="AA156" s="486"/>
      <c r="AB156" s="487"/>
      <c r="AC156" s="13"/>
      <c r="AD156" s="342"/>
      <c r="AE156" s="538"/>
      <c r="AF156" s="397"/>
      <c r="AG156" s="782"/>
      <c r="AH156" s="400"/>
      <c r="AI156" s="524" t="s">
        <v>457</v>
      </c>
      <c r="AJ156" s="400"/>
      <c r="AK156" s="400"/>
      <c r="AL156" s="400"/>
      <c r="AM156" s="400"/>
      <c r="AN156" s="525" t="s">
        <v>458</v>
      </c>
      <c r="AO156" s="397"/>
      <c r="AP156" s="465"/>
      <c r="AQ156" s="465"/>
      <c r="AR156" s="465"/>
      <c r="AS156" s="465"/>
      <c r="AT156" s="465"/>
      <c r="AU156" s="465"/>
      <c r="AV156" s="465"/>
      <c r="AW156" s="465"/>
      <c r="AX156" s="465"/>
      <c r="AY156" s="465"/>
      <c r="AZ156" s="465"/>
      <c r="BA156" s="465"/>
      <c r="BB156" s="465"/>
      <c r="BC156" s="465"/>
      <c r="BD156" s="465"/>
      <c r="BE156" s="409"/>
      <c r="BF156" s="409"/>
      <c r="BG156" s="409"/>
      <c r="BH156" s="409"/>
      <c r="BI156" s="266"/>
      <c r="BJ156" s="265"/>
    </row>
    <row r="157" spans="1:70">
      <c r="A157" s="265"/>
      <c r="B157" s="289"/>
      <c r="C157" s="289"/>
      <c r="D157" s="409"/>
      <c r="E157" s="409"/>
      <c r="F157" s="409"/>
      <c r="G157" s="409"/>
      <c r="H157" s="409"/>
      <c r="I157" s="409"/>
      <c r="J157" s="409"/>
      <c r="K157" s="770"/>
      <c r="L157" s="770"/>
      <c r="M157" s="770"/>
      <c r="N157" s="770"/>
      <c r="O157" s="770"/>
      <c r="P157" s="770"/>
      <c r="Q157" s="770"/>
      <c r="R157" s="770"/>
      <c r="S157" s="770"/>
      <c r="T157" s="770"/>
      <c r="U157" s="770"/>
      <c r="V157" s="770"/>
      <c r="W157" s="770"/>
      <c r="AD157" s="289"/>
      <c r="AE157" s="538"/>
      <c r="AF157" s="397"/>
      <c r="AG157" s="400"/>
      <c r="AH157" s="531"/>
      <c r="AI157" s="764" t="s">
        <v>541</v>
      </c>
      <c r="AJ157" s="764"/>
      <c r="AK157" s="713" t="s">
        <v>664</v>
      </c>
      <c r="AL157" s="531"/>
      <c r="AM157" s="400"/>
      <c r="AN157" s="397"/>
      <c r="AO157" s="397"/>
      <c r="AP157" s="465"/>
      <c r="AQ157" s="465"/>
      <c r="AR157" s="465"/>
      <c r="AS157" s="465"/>
      <c r="AT157" s="465"/>
      <c r="AU157" s="465"/>
      <c r="AV157" s="465"/>
      <c r="AW157" s="465"/>
      <c r="AX157" s="465"/>
      <c r="AY157" s="465"/>
      <c r="AZ157" s="465"/>
      <c r="BA157" s="465"/>
      <c r="BB157" s="465"/>
      <c r="BC157" s="465"/>
      <c r="BD157" s="465"/>
      <c r="BE157" s="409"/>
      <c r="BF157" s="409"/>
      <c r="BG157" s="409"/>
      <c r="BH157" s="409"/>
      <c r="BI157" s="266"/>
      <c r="BJ157" s="265"/>
      <c r="BL157" s="289"/>
      <c r="BR157" s="289"/>
    </row>
    <row r="158" spans="1:70">
      <c r="A158" s="265"/>
      <c r="B158" s="289"/>
      <c r="C158" s="289"/>
      <c r="D158" s="409"/>
      <c r="E158" s="409"/>
      <c r="F158" s="409"/>
      <c r="G158" s="409"/>
      <c r="H158" s="409"/>
      <c r="I158" s="409"/>
      <c r="J158" s="409"/>
      <c r="K158" s="770"/>
      <c r="L158" s="770"/>
      <c r="M158" s="770"/>
      <c r="N158" s="770"/>
      <c r="O158" s="770"/>
      <c r="P158" s="770"/>
      <c r="Q158" s="770"/>
      <c r="R158" s="770"/>
      <c r="S158" s="770"/>
      <c r="T158" s="770"/>
      <c r="U158" s="770"/>
      <c r="V158" s="770"/>
      <c r="W158" s="770"/>
      <c r="X158" s="781" t="s">
        <v>525</v>
      </c>
      <c r="Y158" s="781"/>
      <c r="Z158" s="781"/>
      <c r="AA158" s="781"/>
      <c r="AB158" s="781"/>
      <c r="AC158" s="13"/>
      <c r="AD158" s="769" t="str">
        <f>IFERROR(VLOOKUP(X158,rozdzial,4,0)-VLOOKUP(X158,rozdzial,4,0)*(AC138/100),"")</f>
        <v/>
      </c>
      <c r="AE158" s="778"/>
      <c r="AF158" s="526"/>
      <c r="AG158" s="528" t="s">
        <v>460</v>
      </c>
      <c r="AH158" s="250"/>
      <c r="AI158" s="250"/>
      <c r="AJ158" s="529"/>
      <c r="AK158" s="522"/>
      <c r="AL158" s="377"/>
      <c r="AM158" s="377"/>
      <c r="AN158" s="535"/>
      <c r="AO158" s="535"/>
      <c r="AP158" s="536"/>
      <c r="AQ158" s="536"/>
      <c r="AR158" s="536"/>
      <c r="AS158" s="536"/>
      <c r="AT158" s="536"/>
      <c r="AU158" s="536"/>
      <c r="AV158" s="536"/>
      <c r="AW158" s="536"/>
      <c r="AX158" s="536"/>
      <c r="AY158" s="536"/>
      <c r="AZ158" s="536"/>
      <c r="BA158" s="536"/>
      <c r="BB158" s="536"/>
      <c r="BC158" s="536"/>
      <c r="BD158" s="536"/>
      <c r="BE158" s="409"/>
      <c r="BF158" s="409"/>
      <c r="BG158" s="409"/>
      <c r="BH158" s="409"/>
      <c r="BI158" s="266"/>
      <c r="BJ158" s="265"/>
      <c r="BL158" s="289"/>
      <c r="BR158" s="289"/>
    </row>
    <row r="159" spans="1:70" ht="14.4" customHeight="1">
      <c r="A159" s="265"/>
      <c r="B159" s="289"/>
      <c r="C159" s="289"/>
      <c r="D159" s="409"/>
      <c r="E159" s="409"/>
      <c r="F159" s="409"/>
      <c r="G159" s="409"/>
      <c r="H159" s="409"/>
      <c r="I159" s="409"/>
      <c r="J159" s="409"/>
      <c r="K159" s="770"/>
      <c r="L159" s="770"/>
      <c r="M159" s="770"/>
      <c r="N159" s="770"/>
      <c r="O159" s="770"/>
      <c r="P159" s="770"/>
      <c r="Q159" s="770"/>
      <c r="R159" s="770"/>
      <c r="S159" s="770"/>
      <c r="T159" s="770"/>
      <c r="U159" s="770"/>
      <c r="V159" s="770"/>
      <c r="W159" s="770"/>
      <c r="X159" s="490" t="str">
        <f>IF(X137="Vitoair FS 300E MA 300m3/h","Opcja: do komunikacji z pompą ciepłą z regulatorem E3",IF(X158="Przewód komunikacyjny Can-Bus 5m","Uwaga! Nie ma zastosowanie w tym rozwiązaniu",""))</f>
        <v>Opcja: do komunikacji z pompą ciepłą z regulatorem E3</v>
      </c>
      <c r="Y159" s="488"/>
      <c r="Z159" s="488"/>
      <c r="AA159" s="488"/>
      <c r="AB159" s="488"/>
      <c r="AC159" s="339"/>
      <c r="AD159" s="502"/>
      <c r="AE159" s="540"/>
      <c r="AF159" s="526"/>
      <c r="AG159" s="716" t="s">
        <v>539</v>
      </c>
      <c r="AH159" s="527"/>
      <c r="AI159" s="250"/>
      <c r="AJ159" s="523"/>
      <c r="AK159" s="523"/>
      <c r="AL159" s="522"/>
      <c r="AM159" s="522"/>
      <c r="AN159" s="535"/>
      <c r="AO159" s="535"/>
      <c r="AP159" s="536"/>
      <c r="AQ159" s="536"/>
      <c r="AR159" s="536"/>
      <c r="AS159" s="536"/>
      <c r="AT159" s="536"/>
      <c r="AU159" s="536"/>
      <c r="AV159" s="536"/>
      <c r="AW159" s="536"/>
      <c r="AX159" s="536"/>
      <c r="AY159" s="536"/>
      <c r="AZ159" s="536"/>
      <c r="BA159" s="536"/>
      <c r="BB159" s="536"/>
      <c r="BC159" s="536"/>
      <c r="BD159" s="536"/>
      <c r="BE159" s="409"/>
      <c r="BF159" s="409"/>
      <c r="BG159" s="409"/>
      <c r="BH159" s="409"/>
      <c r="BI159" s="266"/>
      <c r="BJ159" s="265"/>
      <c r="BL159" s="289"/>
      <c r="BR159" s="289"/>
    </row>
    <row r="160" spans="1:70">
      <c r="A160" s="265"/>
      <c r="B160" s="289"/>
      <c r="C160" s="289"/>
      <c r="D160" s="409"/>
      <c r="E160" s="409"/>
      <c r="F160" s="409"/>
      <c r="G160" s="409"/>
      <c r="H160" s="409"/>
      <c r="I160" s="409"/>
      <c r="J160" s="409"/>
      <c r="K160" s="409"/>
      <c r="L160" s="409"/>
      <c r="M160" s="409"/>
      <c r="N160" s="409"/>
      <c r="O160" s="409"/>
      <c r="P160" s="409"/>
      <c r="Q160" s="409"/>
      <c r="R160" s="409"/>
      <c r="S160" s="409"/>
      <c r="T160" s="409"/>
      <c r="U160" s="409"/>
      <c r="V160" s="409"/>
      <c r="X160" s="334" t="str">
        <f>IFERROR(VLOOKUP(X158,rozdzial,3,0),"")</f>
        <v/>
      </c>
      <c r="AD160" s="289"/>
      <c r="AE160" s="538"/>
      <c r="AF160" s="526"/>
      <c r="AG160" s="714"/>
      <c r="AH160" s="533"/>
      <c r="AI160" s="526"/>
      <c r="AJ160" s="779" t="s">
        <v>459</v>
      </c>
      <c r="AK160" s="779"/>
      <c r="AL160" s="522"/>
      <c r="AM160" s="377"/>
      <c r="AN160" s="535"/>
      <c r="AO160" s="535"/>
      <c r="AP160" s="536"/>
      <c r="AQ160" s="536"/>
      <c r="AR160" s="536"/>
      <c r="AS160" s="536"/>
      <c r="AT160" s="536"/>
      <c r="AU160" s="536"/>
      <c r="AV160" s="536"/>
      <c r="AW160" s="536"/>
      <c r="AX160" s="536"/>
      <c r="AY160" s="536"/>
      <c r="AZ160" s="536"/>
      <c r="BA160" s="536"/>
      <c r="BB160" s="536"/>
      <c r="BC160" s="536"/>
      <c r="BD160" s="536"/>
      <c r="BE160" s="409"/>
      <c r="BF160" s="409"/>
      <c r="BG160" s="409"/>
      <c r="BH160" s="409"/>
      <c r="BI160" s="266"/>
      <c r="BJ160" s="265"/>
      <c r="BL160" s="289"/>
      <c r="BR160" s="289"/>
    </row>
    <row r="161" spans="1:62">
      <c r="A161" s="265"/>
      <c r="B161" s="289"/>
      <c r="C161" s="289"/>
      <c r="D161" s="409"/>
      <c r="E161" s="409"/>
      <c r="F161" s="409"/>
      <c r="G161" s="409"/>
      <c r="H161" s="409"/>
      <c r="I161" s="409"/>
      <c r="J161" s="409"/>
      <c r="K161" s="409"/>
      <c r="L161" s="409"/>
      <c r="M161" s="409"/>
      <c r="N161" s="409"/>
      <c r="O161" s="409"/>
      <c r="P161" s="409"/>
      <c r="Q161" s="409"/>
      <c r="R161" s="409"/>
      <c r="S161" s="409"/>
      <c r="T161" s="409"/>
      <c r="U161" s="409"/>
      <c r="V161" s="409"/>
      <c r="AD161" s="289"/>
      <c r="AE161" s="538"/>
      <c r="AF161" s="526"/>
      <c r="AG161" s="534" t="s">
        <v>62</v>
      </c>
      <c r="AH161" s="533"/>
      <c r="AI161" s="533"/>
      <c r="AJ161" s="797"/>
      <c r="AK161" s="797"/>
      <c r="AL161" s="377"/>
      <c r="AM161" s="377"/>
      <c r="AN161" s="535"/>
      <c r="AO161" s="535"/>
      <c r="AP161" s="536"/>
      <c r="AQ161" s="536"/>
      <c r="AR161" s="536"/>
      <c r="AS161" s="536"/>
      <c r="AT161" s="536"/>
      <c r="AU161" s="536"/>
      <c r="AV161" s="536"/>
      <c r="AW161" s="536"/>
      <c r="AX161" s="536"/>
      <c r="AY161" s="536"/>
      <c r="AZ161" s="536"/>
      <c r="BA161" s="536"/>
      <c r="BB161" s="536"/>
      <c r="BC161" s="536"/>
      <c r="BD161" s="536"/>
      <c r="BE161" s="409"/>
      <c r="BF161" s="409"/>
      <c r="BG161" s="409"/>
      <c r="BH161" s="409"/>
      <c r="BI161" s="266"/>
      <c r="BJ161" s="265"/>
    </row>
    <row r="162" spans="1:62" ht="14.4" customHeight="1">
      <c r="A162" s="265"/>
      <c r="B162" s="289"/>
      <c r="C162" s="289"/>
      <c r="D162" s="409"/>
      <c r="E162" s="409"/>
      <c r="F162" s="409"/>
      <c r="G162" s="409"/>
      <c r="H162" s="409"/>
      <c r="I162" s="409"/>
      <c r="J162" s="409"/>
      <c r="K162" s="409"/>
      <c r="L162" s="409"/>
      <c r="M162" s="409"/>
      <c r="N162" s="409"/>
      <c r="O162" s="409"/>
      <c r="P162" s="409"/>
      <c r="Q162" s="409"/>
      <c r="R162" s="409"/>
      <c r="S162" s="409"/>
      <c r="T162" s="409"/>
      <c r="U162" s="409"/>
      <c r="V162" s="409"/>
      <c r="W162" s="746" t="s">
        <v>466</v>
      </c>
      <c r="X162" s="746"/>
      <c r="Y162" s="746"/>
      <c r="Z162" s="746"/>
      <c r="AA162" s="746"/>
      <c r="AB162" s="746"/>
      <c r="AC162" s="746"/>
      <c r="AD162" s="289"/>
      <c r="AE162" s="538"/>
      <c r="AF162" s="526"/>
      <c r="AG162" s="719" t="s">
        <v>692</v>
      </c>
      <c r="AH162" s="250"/>
      <c r="AI162" s="250"/>
      <c r="AJ162" s="796" t="s">
        <v>660</v>
      </c>
      <c r="AK162" s="779"/>
      <c r="AL162" s="377"/>
      <c r="AM162" s="377"/>
      <c r="AN162" s="523" t="s">
        <v>458</v>
      </c>
      <c r="AO162" s="535"/>
      <c r="AP162" s="536"/>
      <c r="AQ162" s="536"/>
      <c r="AR162" s="536"/>
      <c r="AS162" s="536"/>
      <c r="AT162" s="536"/>
      <c r="AU162" s="536"/>
      <c r="AV162" s="536"/>
      <c r="AW162" s="536"/>
      <c r="AX162" s="536"/>
      <c r="AY162" s="536"/>
      <c r="AZ162" s="536"/>
      <c r="BA162" s="536"/>
      <c r="BB162" s="536"/>
      <c r="BC162" s="536"/>
      <c r="BD162" s="536"/>
      <c r="BE162" s="409"/>
      <c r="BF162" s="409"/>
      <c r="BG162" s="409"/>
      <c r="BH162" s="409"/>
      <c r="BI162" s="266"/>
      <c r="BJ162" s="265"/>
    </row>
    <row r="163" spans="1:62" ht="14.4" customHeight="1">
      <c r="A163" s="265"/>
      <c r="B163" s="289"/>
      <c r="C163" s="289"/>
      <c r="D163" s="409"/>
      <c r="E163" s="409"/>
      <c r="F163" s="409"/>
      <c r="G163" s="409"/>
      <c r="H163" s="409"/>
      <c r="I163" s="409"/>
      <c r="J163" s="409"/>
      <c r="K163" s="409"/>
      <c r="L163" s="409"/>
      <c r="M163" s="409"/>
      <c r="N163" s="409"/>
      <c r="O163" s="409"/>
      <c r="P163" s="409"/>
      <c r="Q163" s="409"/>
      <c r="R163" s="409"/>
      <c r="S163" s="409"/>
      <c r="T163" s="409"/>
      <c r="U163" s="409"/>
      <c r="V163" s="409"/>
      <c r="W163" s="746"/>
      <c r="X163" s="746"/>
      <c r="Y163" s="746"/>
      <c r="Z163" s="746"/>
      <c r="AA163" s="746"/>
      <c r="AB163" s="746"/>
      <c r="AC163" s="746"/>
      <c r="AD163" s="289"/>
      <c r="AE163" s="538"/>
      <c r="AF163" s="550"/>
      <c r="AG163" s="553"/>
      <c r="AH163" s="553"/>
      <c r="AI163" s="619" t="s">
        <v>542</v>
      </c>
      <c r="AJ163" s="554"/>
      <c r="AK163" s="715"/>
      <c r="AL163" s="715"/>
      <c r="AM163" s="554"/>
      <c r="AN163" s="555"/>
      <c r="AO163" s="530"/>
      <c r="AP163" s="537"/>
      <c r="AQ163" s="537"/>
      <c r="AR163" s="537"/>
      <c r="AS163" s="537"/>
      <c r="AT163" s="537"/>
      <c r="AU163" s="537"/>
      <c r="AV163" s="537"/>
      <c r="AW163" s="537"/>
      <c r="AX163" s="537"/>
      <c r="AY163" s="537"/>
      <c r="AZ163" s="537"/>
      <c r="BA163" s="537"/>
      <c r="BB163" s="537"/>
      <c r="BC163" s="537"/>
      <c r="BD163" s="537"/>
      <c r="BE163" s="409"/>
      <c r="BF163" s="409"/>
      <c r="BG163" s="409"/>
      <c r="BH163" s="409"/>
      <c r="BI163" s="266"/>
      <c r="BJ163" s="265"/>
    </row>
    <row r="164" spans="1:62" ht="3.6" customHeight="1">
      <c r="A164" s="265"/>
      <c r="B164" s="289"/>
      <c r="C164" s="289"/>
      <c r="D164" s="409"/>
      <c r="E164" s="409"/>
      <c r="F164" s="409"/>
      <c r="G164" s="409"/>
      <c r="H164" s="409"/>
      <c r="I164" s="409"/>
      <c r="J164" s="409"/>
      <c r="K164" s="409"/>
      <c r="L164" s="409"/>
      <c r="M164" s="409"/>
      <c r="N164" s="409"/>
      <c r="O164" s="409"/>
      <c r="P164" s="409"/>
      <c r="Q164" s="409"/>
      <c r="R164" s="409"/>
      <c r="S164" s="409"/>
      <c r="T164" s="409"/>
      <c r="U164" s="409"/>
      <c r="V164" s="409"/>
      <c r="W164" s="771"/>
      <c r="X164" s="771"/>
      <c r="Y164" s="771"/>
      <c r="Z164" s="771"/>
      <c r="AA164" s="771"/>
      <c r="AB164" s="771"/>
      <c r="AC164" s="771"/>
      <c r="AD164" s="296"/>
      <c r="AE164" s="296"/>
      <c r="AF164" s="556"/>
      <c r="AG164" s="556"/>
      <c r="AH164" s="556"/>
      <c r="AI164" s="556"/>
      <c r="AJ164" s="556"/>
      <c r="AK164" s="557"/>
      <c r="AL164" s="557"/>
      <c r="AM164" s="556"/>
      <c r="AN164" s="556"/>
      <c r="AO164" s="556"/>
      <c r="AP164" s="558"/>
      <c r="AQ164" s="558"/>
      <c r="AR164" s="558"/>
      <c r="AS164" s="558"/>
      <c r="AT164" s="558"/>
      <c r="AU164" s="558"/>
      <c r="AV164" s="558"/>
      <c r="AW164" s="558"/>
      <c r="AX164" s="558"/>
      <c r="AY164" s="558"/>
      <c r="AZ164" s="558"/>
      <c r="BA164" s="558"/>
      <c r="BB164" s="558"/>
      <c r="BC164" s="558"/>
      <c r="BD164" s="558"/>
      <c r="BE164" s="409"/>
      <c r="BF164" s="409"/>
      <c r="BG164" s="409"/>
      <c r="BH164" s="409"/>
      <c r="BI164" s="266"/>
      <c r="BJ164" s="265"/>
    </row>
    <row r="165" spans="1:62">
      <c r="A165" s="265"/>
      <c r="B165" s="289"/>
      <c r="C165" s="289"/>
      <c r="D165" s="409"/>
      <c r="E165" s="409"/>
      <c r="F165" s="409"/>
      <c r="G165" s="409"/>
      <c r="H165" s="409"/>
      <c r="I165" s="409"/>
      <c r="J165" s="409"/>
      <c r="K165" s="409"/>
      <c r="L165" s="409"/>
      <c r="M165" s="409"/>
      <c r="N165" s="409"/>
      <c r="O165" s="409"/>
      <c r="P165" s="409"/>
      <c r="Q165" s="409"/>
      <c r="R165" s="409"/>
      <c r="S165" s="409"/>
      <c r="T165" s="409"/>
      <c r="U165" s="409"/>
      <c r="V165" s="409"/>
      <c r="AD165" s="404"/>
      <c r="AE165" s="404"/>
      <c r="AF165" s="404"/>
      <c r="AG165" s="404"/>
      <c r="AH165" s="404"/>
      <c r="AI165" s="404"/>
      <c r="AJ165" s="404"/>
      <c r="AK165" s="404"/>
      <c r="AL165" s="404"/>
      <c r="AM165" s="404"/>
      <c r="AN165" s="404"/>
      <c r="AO165" s="404"/>
      <c r="AP165" s="548"/>
      <c r="AQ165" s="548"/>
      <c r="AR165" s="548"/>
      <c r="AS165" s="548"/>
      <c r="AT165" s="548"/>
      <c r="AU165" s="548"/>
      <c r="AV165" s="548"/>
      <c r="AW165" s="548"/>
      <c r="AX165" s="548"/>
      <c r="AY165" s="548"/>
      <c r="AZ165" s="548"/>
      <c r="BA165" s="548"/>
      <c r="BB165" s="548"/>
      <c r="BC165" s="548"/>
      <c r="BD165" s="548"/>
      <c r="BE165" s="409"/>
      <c r="BF165" s="409"/>
      <c r="BG165" s="409"/>
      <c r="BH165" s="409"/>
      <c r="BI165" s="266"/>
      <c r="BJ165" s="265"/>
    </row>
    <row r="166" spans="1:62" ht="13.95" customHeight="1">
      <c r="A166" s="265"/>
      <c r="B166" s="289"/>
      <c r="C166" s="289"/>
      <c r="D166" s="409"/>
      <c r="E166" s="409"/>
      <c r="F166" s="409"/>
      <c r="G166" s="409"/>
      <c r="H166" s="409"/>
      <c r="I166" s="409"/>
      <c r="J166" s="409"/>
      <c r="K166" s="409"/>
      <c r="L166" s="409"/>
      <c r="M166" s="409"/>
      <c r="N166" s="409"/>
      <c r="O166" s="409"/>
      <c r="P166" s="409"/>
      <c r="Q166" s="409"/>
      <c r="R166" s="409"/>
      <c r="S166" s="409"/>
      <c r="T166" s="409"/>
      <c r="U166" s="409"/>
      <c r="V166" s="409"/>
      <c r="W166" s="289"/>
      <c r="X166" s="290"/>
      <c r="Y166" s="290"/>
      <c r="Z166" s="290"/>
      <c r="AA166" s="290"/>
      <c r="AB166" s="290"/>
      <c r="AC166" s="266"/>
      <c r="AD166" s="266"/>
      <c r="AE166" s="266"/>
      <c r="AF166" s="266"/>
      <c r="AH166" s="289"/>
      <c r="AI166" s="289"/>
      <c r="AJ166" s="289"/>
      <c r="AK166" s="289"/>
      <c r="AL166" s="289"/>
      <c r="AM166" s="289"/>
      <c r="AN166" s="289"/>
      <c r="AO166" s="289"/>
      <c r="AP166" s="409"/>
      <c r="AQ166" s="409"/>
      <c r="AR166" s="409"/>
      <c r="AS166" s="409"/>
      <c r="AT166" s="409"/>
      <c r="AU166" s="409"/>
      <c r="AV166" s="409"/>
      <c r="AW166" s="409"/>
      <c r="AX166" s="409"/>
      <c r="AY166" s="409"/>
      <c r="AZ166" s="409"/>
      <c r="BA166" s="409"/>
      <c r="BB166" s="409"/>
      <c r="BC166" s="409"/>
      <c r="BD166" s="409"/>
      <c r="BE166" s="409"/>
      <c r="BF166" s="409"/>
      <c r="BG166" s="409"/>
      <c r="BH166" s="409"/>
      <c r="BI166" s="266"/>
      <c r="BJ166" s="265"/>
    </row>
    <row r="167" spans="1:62" ht="13.95" customHeight="1">
      <c r="A167" s="265"/>
      <c r="B167" s="289"/>
      <c r="C167" s="289"/>
      <c r="D167" s="409"/>
      <c r="E167" s="409"/>
      <c r="F167" s="409"/>
      <c r="G167" s="409"/>
      <c r="H167" s="409"/>
      <c r="I167" s="409"/>
      <c r="J167" s="409"/>
      <c r="K167" s="409"/>
      <c r="L167" s="409"/>
      <c r="M167" s="409"/>
      <c r="N167" s="409"/>
      <c r="O167" s="409"/>
      <c r="P167" s="409"/>
      <c r="Q167" s="409"/>
      <c r="R167" s="409"/>
      <c r="S167" s="409"/>
      <c r="T167" s="409"/>
      <c r="U167" s="409"/>
      <c r="V167" s="409"/>
      <c r="W167" s="289"/>
      <c r="X167" s="496" t="s">
        <v>46</v>
      </c>
      <c r="Y167" s="13"/>
      <c r="Z167" s="13"/>
      <c r="AA167" s="13"/>
      <c r="AB167" s="13"/>
      <c r="AC167" s="763">
        <f>Obliczenia!V30</f>
        <v>15</v>
      </c>
      <c r="AD167" s="762">
        <f>VLOOKUP(X167,rozdzial,4,0)*AC167*(1-$AM$236/100)</f>
        <v>4875</v>
      </c>
      <c r="AE167" s="762"/>
      <c r="AF167" s="282"/>
      <c r="AH167" s="496" t="s">
        <v>404</v>
      </c>
      <c r="AI167" s="13"/>
      <c r="AJ167" s="13"/>
      <c r="AK167" s="13"/>
      <c r="AL167" s="763">
        <v>0</v>
      </c>
      <c r="AM167" s="762">
        <f>VLOOKUP(AH167,rozdzial,4,0)*AL167*(1-$AM$236/100)</f>
        <v>0</v>
      </c>
      <c r="AN167" s="762"/>
      <c r="AO167" s="289"/>
      <c r="AP167" s="409"/>
      <c r="AQ167" s="409"/>
      <c r="AR167" s="409"/>
      <c r="AS167" s="409"/>
      <c r="AT167" s="409"/>
      <c r="AU167" s="409"/>
      <c r="AV167" s="409"/>
      <c r="AW167" s="409"/>
      <c r="AX167" s="409"/>
      <c r="AY167" s="409"/>
      <c r="AZ167" s="409"/>
      <c r="BA167" s="409"/>
      <c r="BB167" s="409"/>
      <c r="BC167" s="409"/>
      <c r="BD167" s="409"/>
      <c r="BE167" s="409"/>
      <c r="BF167" s="409"/>
      <c r="BG167" s="409"/>
      <c r="BH167" s="409"/>
      <c r="BI167" s="266"/>
      <c r="BJ167" s="265"/>
    </row>
    <row r="168" spans="1:62" ht="13.95" customHeight="1">
      <c r="A168" s="265"/>
      <c r="B168" s="289"/>
      <c r="C168" s="289"/>
      <c r="D168" s="409"/>
      <c r="E168" s="409"/>
      <c r="F168" s="409"/>
      <c r="G168" s="409"/>
      <c r="H168" s="409"/>
      <c r="I168" s="409"/>
      <c r="J168" s="409"/>
      <c r="K168" s="409"/>
      <c r="L168" s="409"/>
      <c r="M168" s="409"/>
      <c r="N168" s="409"/>
      <c r="O168" s="409"/>
      <c r="P168" s="409"/>
      <c r="Q168" s="409"/>
      <c r="R168" s="409"/>
      <c r="S168" s="409"/>
      <c r="T168" s="409"/>
      <c r="U168" s="409"/>
      <c r="V168" s="409"/>
      <c r="W168" s="289"/>
      <c r="X168" s="490" t="s">
        <v>474</v>
      </c>
      <c r="Y168" s="488"/>
      <c r="Z168" s="488"/>
      <c r="AA168" s="488"/>
      <c r="AB168" s="488"/>
      <c r="AC168" s="763"/>
      <c r="AD168" s="502"/>
      <c r="AE168" s="503"/>
      <c r="AF168" s="340"/>
      <c r="AH168" s="490" t="s">
        <v>473</v>
      </c>
      <c r="AI168" s="488"/>
      <c r="AJ168" s="488"/>
      <c r="AK168" s="488"/>
      <c r="AL168" s="763"/>
      <c r="AM168" s="541"/>
      <c r="AN168" s="506"/>
      <c r="AO168" s="289"/>
      <c r="AP168" s="409"/>
      <c r="AQ168" s="409"/>
      <c r="AR168" s="409"/>
      <c r="AS168" s="409"/>
      <c r="AT168" s="409"/>
      <c r="AU168" s="409"/>
      <c r="AV168" s="409"/>
      <c r="AW168" s="409"/>
      <c r="AX168" s="409"/>
      <c r="AY168" s="409"/>
      <c r="AZ168" s="409"/>
      <c r="BA168" s="409"/>
      <c r="BB168" s="409"/>
      <c r="BC168" s="409"/>
      <c r="BD168" s="409"/>
      <c r="BE168" s="409"/>
      <c r="BF168" s="409"/>
      <c r="BG168" s="409"/>
      <c r="BH168" s="409"/>
      <c r="BI168" s="266"/>
      <c r="BJ168" s="265"/>
    </row>
    <row r="169" spans="1:62" ht="13.95" customHeight="1">
      <c r="A169" s="265"/>
      <c r="B169" s="289"/>
      <c r="C169" s="289"/>
      <c r="D169" s="409"/>
      <c r="E169" s="409"/>
      <c r="F169" s="409"/>
      <c r="G169" s="409"/>
      <c r="H169" s="409"/>
      <c r="I169" s="409"/>
      <c r="J169" s="409"/>
      <c r="K169" s="409"/>
      <c r="L169" s="409"/>
      <c r="M169" s="409"/>
      <c r="N169" s="409"/>
      <c r="O169" s="409"/>
      <c r="P169" s="409"/>
      <c r="Q169" s="409"/>
      <c r="R169" s="409"/>
      <c r="S169" s="409"/>
      <c r="T169" s="409"/>
      <c r="U169" s="409"/>
      <c r="V169" s="409"/>
      <c r="W169" s="289"/>
      <c r="X169" s="334">
        <f>VLOOKUP(X167,rozdzial,3,0)</f>
        <v>7546057</v>
      </c>
      <c r="Y169" s="562">
        <f>VLOOKUP(X167,rozdzial,4,0)</f>
        <v>325</v>
      </c>
      <c r="Z169" s="13"/>
      <c r="AA169" s="486"/>
      <c r="AB169" s="487"/>
      <c r="AC169" s="13"/>
      <c r="AD169" s="503"/>
      <c r="AE169" s="503"/>
      <c r="AF169" s="342"/>
      <c r="AH169" s="334">
        <f>VLOOKUP(AH167,rozdzial,3,0)</f>
        <v>7634370</v>
      </c>
      <c r="AI169" s="562">
        <f>VLOOKUP(AH167,rozdzial,4,0)</f>
        <v>12</v>
      </c>
      <c r="AJ169" s="13"/>
      <c r="AK169" s="571">
        <f>AC167</f>
        <v>15</v>
      </c>
      <c r="AL169" s="13"/>
      <c r="AM169" s="541"/>
      <c r="AN169" s="506"/>
      <c r="AO169" s="289"/>
      <c r="AP169" s="409"/>
      <c r="AQ169" s="409"/>
      <c r="AR169" s="409"/>
      <c r="AS169" s="409"/>
      <c r="AT169" s="409"/>
      <c r="AU169" s="409"/>
      <c r="AV169" s="409"/>
      <c r="AW169" s="409"/>
      <c r="AX169" s="409"/>
      <c r="AY169" s="409"/>
      <c r="AZ169" s="409"/>
      <c r="BA169" s="409"/>
      <c r="BB169" s="409"/>
      <c r="BC169" s="409"/>
      <c r="BD169" s="409"/>
      <c r="BE169" s="409"/>
      <c r="BF169" s="409"/>
      <c r="BG169" s="409"/>
      <c r="BH169" s="409"/>
      <c r="BI169" s="266"/>
      <c r="BJ169" s="265"/>
    </row>
    <row r="170" spans="1:62" ht="13.95" customHeight="1">
      <c r="A170" s="265"/>
      <c r="B170" s="289"/>
      <c r="C170" s="289"/>
      <c r="D170" s="409"/>
      <c r="E170" s="409"/>
      <c r="F170" s="409"/>
      <c r="G170" s="409"/>
      <c r="H170" s="409"/>
      <c r="I170" s="409"/>
      <c r="J170" s="409"/>
      <c r="K170" s="409"/>
      <c r="L170" s="409"/>
      <c r="M170" s="409"/>
      <c r="N170" s="409"/>
      <c r="O170" s="409"/>
      <c r="P170" s="409"/>
      <c r="Q170" s="409"/>
      <c r="R170" s="409"/>
      <c r="S170" s="409"/>
      <c r="T170" s="409"/>
      <c r="U170" s="409"/>
      <c r="V170" s="409"/>
      <c r="W170" s="289"/>
      <c r="X170" s="13"/>
      <c r="Y170" s="13"/>
      <c r="Z170" s="13"/>
      <c r="AA170" s="13"/>
      <c r="AB170" s="13"/>
      <c r="AC170" s="13"/>
      <c r="AD170" s="503"/>
      <c r="AE170" s="503"/>
      <c r="AF170" s="13"/>
      <c r="AH170" s="289"/>
      <c r="AI170" s="289"/>
      <c r="AJ170" s="289"/>
      <c r="AK170" s="289"/>
      <c r="AL170" s="289"/>
      <c r="AM170" s="506"/>
      <c r="AN170" s="506"/>
      <c r="AO170" s="289"/>
      <c r="AP170" s="409"/>
      <c r="AQ170" s="409"/>
      <c r="AR170" s="409"/>
      <c r="AS170" s="409"/>
      <c r="AT170" s="409"/>
      <c r="AU170" s="409"/>
      <c r="AV170" s="409"/>
      <c r="AW170" s="409"/>
      <c r="AX170" s="409"/>
      <c r="AY170" s="409"/>
      <c r="AZ170" s="409"/>
      <c r="BA170" s="409"/>
      <c r="BB170" s="409"/>
      <c r="BC170" s="409"/>
      <c r="BD170" s="409"/>
      <c r="BE170" s="409"/>
      <c r="BF170" s="409"/>
      <c r="BG170" s="409"/>
      <c r="BH170" s="409"/>
      <c r="BI170" s="266"/>
      <c r="BJ170" s="265"/>
    </row>
    <row r="171" spans="1:62" ht="13.95" customHeight="1">
      <c r="A171" s="265"/>
      <c r="B171" s="289"/>
      <c r="C171" s="289"/>
      <c r="D171" s="409"/>
      <c r="E171" s="409"/>
      <c r="F171" s="409"/>
      <c r="G171" s="409"/>
      <c r="H171" s="409"/>
      <c r="I171" s="409"/>
      <c r="J171" s="409"/>
      <c r="K171" s="409"/>
      <c r="L171" s="409"/>
      <c r="M171" s="409"/>
      <c r="N171" s="409"/>
      <c r="O171" s="409"/>
      <c r="P171" s="409"/>
      <c r="Q171" s="409"/>
      <c r="R171" s="409"/>
      <c r="S171" s="409"/>
      <c r="T171" s="409"/>
      <c r="U171" s="409"/>
      <c r="V171" s="409"/>
      <c r="W171" s="289"/>
      <c r="X171" s="290"/>
      <c r="Y171" s="290"/>
      <c r="Z171" s="290"/>
      <c r="AA171" s="290"/>
      <c r="AB171" s="290"/>
      <c r="AC171" s="266"/>
      <c r="AD171" s="504"/>
      <c r="AE171" s="505"/>
      <c r="AF171" s="266"/>
      <c r="AH171" s="289"/>
      <c r="AI171" s="289"/>
      <c r="AJ171" s="289"/>
      <c r="AK171" s="289"/>
      <c r="AL171" s="289"/>
      <c r="AM171" s="506"/>
      <c r="AN171" s="506"/>
      <c r="AO171" s="289"/>
      <c r="AP171" s="409"/>
      <c r="AQ171" s="409"/>
      <c r="AR171" s="409"/>
      <c r="AS171" s="409"/>
      <c r="AT171" s="409"/>
      <c r="AU171" s="409"/>
      <c r="AV171" s="409"/>
      <c r="AW171" s="409"/>
      <c r="AX171" s="409"/>
      <c r="AY171" s="409"/>
      <c r="AZ171" s="409"/>
      <c r="BA171" s="409"/>
      <c r="BB171" s="409"/>
      <c r="BC171" s="409"/>
      <c r="BD171" s="409"/>
      <c r="BE171" s="409"/>
      <c r="BF171" s="409"/>
      <c r="BG171" s="409"/>
      <c r="BH171" s="409"/>
      <c r="BI171" s="266"/>
      <c r="BJ171" s="265"/>
    </row>
    <row r="172" spans="1:62" ht="13.95" customHeight="1">
      <c r="A172" s="265"/>
      <c r="B172" s="289"/>
      <c r="C172" s="289"/>
      <c r="D172" s="409"/>
      <c r="E172" s="409"/>
      <c r="F172" s="409"/>
      <c r="G172" s="409"/>
      <c r="H172" s="409"/>
      <c r="I172" s="409"/>
      <c r="J172" s="409"/>
      <c r="K172" s="409"/>
      <c r="L172" s="409"/>
      <c r="M172" s="409"/>
      <c r="N172" s="409"/>
      <c r="O172" s="409"/>
      <c r="P172" s="409"/>
      <c r="Q172" s="409"/>
      <c r="R172" s="409"/>
      <c r="S172" s="409"/>
      <c r="T172" s="409"/>
      <c r="U172" s="409"/>
      <c r="V172" s="409"/>
      <c r="W172" s="289"/>
      <c r="X172" s="496" t="s">
        <v>146</v>
      </c>
      <c r="Y172" s="13"/>
      <c r="Z172" s="13"/>
      <c r="AA172" s="13"/>
      <c r="AB172" s="13"/>
      <c r="AC172" s="763">
        <f>Obliczenia!X30</f>
        <v>8</v>
      </c>
      <c r="AD172" s="762">
        <f>VLOOKUP(X172,rozdzial,4,0)*AC172*(1-$AM$236/100)</f>
        <v>408</v>
      </c>
      <c r="AE172" s="762"/>
      <c r="AF172" s="282"/>
      <c r="AH172" s="496" t="s">
        <v>145</v>
      </c>
      <c r="AI172" s="13"/>
      <c r="AJ172" s="13"/>
      <c r="AK172" s="13"/>
      <c r="AL172" s="763">
        <f>Obliczenia!W30</f>
        <v>7</v>
      </c>
      <c r="AM172" s="762">
        <f>VLOOKUP(AH172,rozdzial,4,0)*AL172*(1-$AM$236/100)</f>
        <v>441</v>
      </c>
      <c r="AN172" s="762"/>
      <c r="AO172" s="289"/>
      <c r="AP172" s="409"/>
      <c r="AQ172" s="409"/>
      <c r="AR172" s="409"/>
      <c r="AS172" s="409"/>
      <c r="AT172" s="409"/>
      <c r="AU172" s="409"/>
      <c r="AV172" s="409"/>
      <c r="AW172" s="409"/>
      <c r="AX172" s="409"/>
      <c r="AY172" s="409"/>
      <c r="AZ172" s="409"/>
      <c r="BA172" s="409"/>
      <c r="BB172" s="409"/>
      <c r="BC172" s="409"/>
      <c r="BD172" s="409"/>
      <c r="BE172" s="409"/>
      <c r="BF172" s="409"/>
      <c r="BG172" s="409"/>
      <c r="BH172" s="409"/>
      <c r="BI172" s="266"/>
      <c r="BJ172" s="265"/>
    </row>
    <row r="173" spans="1:62" ht="13.95" customHeight="1">
      <c r="A173" s="265"/>
      <c r="B173" s="289"/>
      <c r="C173" s="289"/>
      <c r="D173" s="409"/>
      <c r="E173" s="409"/>
      <c r="F173" s="409"/>
      <c r="G173" s="409"/>
      <c r="H173" s="409"/>
      <c r="I173" s="409"/>
      <c r="J173" s="409"/>
      <c r="K173" s="409"/>
      <c r="L173" s="409"/>
      <c r="M173" s="409"/>
      <c r="N173" s="409"/>
      <c r="O173" s="409"/>
      <c r="P173" s="409"/>
      <c r="Q173" s="409"/>
      <c r="R173" s="409"/>
      <c r="S173" s="409"/>
      <c r="T173" s="409"/>
      <c r="U173" s="409"/>
      <c r="V173" s="409"/>
      <c r="W173" s="289"/>
      <c r="X173" s="490" t="s">
        <v>523</v>
      </c>
      <c r="Y173" s="488"/>
      <c r="Z173" s="488"/>
      <c r="AA173" s="488"/>
      <c r="AB173" s="488"/>
      <c r="AC173" s="763"/>
      <c r="AD173" s="502"/>
      <c r="AE173" s="503"/>
      <c r="AF173" s="340"/>
      <c r="AH173" s="490" t="s">
        <v>472</v>
      </c>
      <c r="AI173" s="488"/>
      <c r="AJ173" s="488"/>
      <c r="AK173" s="488"/>
      <c r="AL173" s="763"/>
      <c r="AM173" s="506"/>
      <c r="AN173" s="506"/>
      <c r="AO173" s="289"/>
      <c r="AP173" s="409"/>
      <c r="AQ173" s="409"/>
      <c r="AR173" s="409"/>
      <c r="AS173" s="409"/>
      <c r="AT173" s="409"/>
      <c r="AU173" s="409"/>
      <c r="AV173" s="409"/>
      <c r="AW173" s="409"/>
      <c r="AX173" s="409"/>
      <c r="AY173" s="409"/>
      <c r="AZ173" s="409"/>
      <c r="BA173" s="409"/>
      <c r="BB173" s="409"/>
      <c r="BC173" s="409"/>
      <c r="BD173" s="409"/>
      <c r="BE173" s="409"/>
      <c r="BF173" s="409"/>
      <c r="BG173" s="409"/>
      <c r="BH173" s="409"/>
      <c r="BI173" s="266"/>
      <c r="BJ173" s="265"/>
    </row>
    <row r="174" spans="1:62" ht="13.95" customHeight="1">
      <c r="A174" s="265"/>
      <c r="B174" s="289"/>
      <c r="C174" s="289"/>
      <c r="D174" s="409"/>
      <c r="E174" s="409"/>
      <c r="F174" s="409"/>
      <c r="G174" s="409"/>
      <c r="H174" s="409"/>
      <c r="I174" s="409"/>
      <c r="J174" s="409"/>
      <c r="K174" s="409"/>
      <c r="L174" s="409"/>
      <c r="M174" s="409"/>
      <c r="N174" s="409"/>
      <c r="O174" s="409"/>
      <c r="P174" s="409"/>
      <c r="Q174" s="409"/>
      <c r="R174" s="409"/>
      <c r="S174" s="409"/>
      <c r="T174" s="409"/>
      <c r="U174" s="409"/>
      <c r="V174" s="409"/>
      <c r="W174" s="289"/>
      <c r="X174" s="334">
        <f>VLOOKUP(X172,rozdzial,3,0)</f>
        <v>7546060</v>
      </c>
      <c r="Y174" s="562">
        <f>VLOOKUP(X172,rozdzial,4,0)</f>
        <v>51</v>
      </c>
      <c r="Z174" s="13"/>
      <c r="AA174" s="486"/>
      <c r="AB174" s="487"/>
      <c r="AC174" s="13"/>
      <c r="AD174" s="503"/>
      <c r="AE174" s="503"/>
      <c r="AF174" s="342"/>
      <c r="AH174" s="334">
        <f>VLOOKUP(AH172,rozdzial,3,0)</f>
        <v>7546059</v>
      </c>
      <c r="AI174" s="562">
        <f>VLOOKUP(AH172,rozdzial,4,0)</f>
        <v>63</v>
      </c>
      <c r="AJ174" s="13"/>
      <c r="AK174" s="486"/>
      <c r="AL174" s="13"/>
      <c r="AM174" s="506"/>
      <c r="AN174" s="506"/>
      <c r="AO174" s="289"/>
      <c r="AP174" s="409"/>
      <c r="AQ174" s="409"/>
      <c r="AR174" s="409"/>
      <c r="AS174" s="409"/>
      <c r="AT174" s="409"/>
      <c r="AU174" s="409"/>
      <c r="AV174" s="409"/>
      <c r="AW174" s="409"/>
      <c r="AX174" s="409"/>
      <c r="AY174" s="409"/>
      <c r="AZ174" s="409"/>
      <c r="BA174" s="409"/>
      <c r="BB174" s="409"/>
      <c r="BC174" s="409"/>
      <c r="BD174" s="409"/>
      <c r="BE174" s="409"/>
      <c r="BF174" s="409"/>
      <c r="BG174" s="409"/>
      <c r="BH174" s="409"/>
      <c r="BI174" s="266"/>
      <c r="BJ174" s="265"/>
    </row>
    <row r="175" spans="1:62" ht="13.95" customHeight="1">
      <c r="A175" s="265"/>
      <c r="B175" s="289"/>
      <c r="C175" s="289"/>
      <c r="D175" s="409"/>
      <c r="E175" s="409"/>
      <c r="F175" s="409"/>
      <c r="G175" s="409"/>
      <c r="H175" s="409"/>
      <c r="I175" s="409"/>
      <c r="J175" s="409"/>
      <c r="K175" s="409"/>
      <c r="L175" s="409"/>
      <c r="M175" s="409"/>
      <c r="N175" s="409"/>
      <c r="O175" s="409"/>
      <c r="P175" s="409"/>
      <c r="Q175" s="409"/>
      <c r="R175" s="409"/>
      <c r="S175" s="409"/>
      <c r="T175" s="409"/>
      <c r="U175" s="409"/>
      <c r="V175" s="409"/>
      <c r="W175" s="289"/>
      <c r="X175" s="13"/>
      <c r="Y175" s="13"/>
      <c r="Z175" s="13"/>
      <c r="AA175" s="13"/>
      <c r="AB175" s="13"/>
      <c r="AC175" s="13"/>
      <c r="AD175" s="503"/>
      <c r="AE175" s="503"/>
      <c r="AF175" s="13"/>
      <c r="AH175" s="289"/>
      <c r="AI175" s="289"/>
      <c r="AJ175" s="289"/>
      <c r="AK175" s="289"/>
      <c r="AL175" s="289"/>
      <c r="AM175" s="506"/>
      <c r="AN175" s="506"/>
      <c r="AO175" s="289"/>
      <c r="AP175" s="409"/>
      <c r="AQ175" s="409"/>
      <c r="AR175" s="409"/>
      <c r="AS175" s="409"/>
      <c r="AT175" s="409"/>
      <c r="AU175" s="409"/>
      <c r="AV175" s="409"/>
      <c r="AW175" s="409"/>
      <c r="AX175" s="409"/>
      <c r="AY175" s="409"/>
      <c r="AZ175" s="409"/>
      <c r="BA175" s="409"/>
      <c r="BB175" s="409"/>
      <c r="BC175" s="409"/>
      <c r="BD175" s="409"/>
      <c r="BE175" s="409"/>
      <c r="BF175" s="409"/>
      <c r="BG175" s="409"/>
      <c r="BH175" s="409"/>
      <c r="BI175" s="266"/>
      <c r="BJ175" s="265"/>
    </row>
    <row r="176" spans="1:62">
      <c r="A176" s="265"/>
      <c r="B176" s="289"/>
      <c r="C176" s="289"/>
      <c r="D176" s="409"/>
      <c r="E176" s="409"/>
      <c r="F176" s="409"/>
      <c r="G176" s="409"/>
      <c r="H176" s="409"/>
      <c r="I176" s="409"/>
      <c r="J176" s="409"/>
      <c r="K176" s="409"/>
      <c r="L176" s="409"/>
      <c r="M176" s="409"/>
      <c r="N176" s="409"/>
      <c r="O176" s="409"/>
      <c r="P176" s="409"/>
      <c r="Q176" s="409"/>
      <c r="R176" s="409"/>
      <c r="S176" s="409"/>
      <c r="T176" s="409"/>
      <c r="U176" s="409"/>
      <c r="V176" s="409"/>
      <c r="W176" s="289"/>
      <c r="X176" s="289"/>
      <c r="Y176" s="289"/>
      <c r="Z176" s="289"/>
      <c r="AA176" s="289"/>
      <c r="AB176" s="289"/>
      <c r="AC176" s="289"/>
      <c r="AD176" s="506"/>
      <c r="AE176" s="506"/>
      <c r="AF176" s="289"/>
      <c r="AH176" s="289"/>
      <c r="AI176" s="289"/>
      <c r="AJ176" s="289"/>
      <c r="AK176" s="289"/>
      <c r="AL176" s="289"/>
      <c r="AM176" s="506"/>
      <c r="AN176" s="506"/>
      <c r="AO176" s="289"/>
      <c r="AP176" s="409"/>
      <c r="AQ176" s="409"/>
      <c r="AR176" s="409"/>
      <c r="AS176" s="409"/>
      <c r="AT176" s="409"/>
      <c r="AU176" s="409"/>
      <c r="AV176" s="409"/>
      <c r="AW176" s="409"/>
      <c r="AX176" s="409"/>
      <c r="AY176" s="409"/>
      <c r="AZ176" s="409"/>
      <c r="BA176" s="409"/>
      <c r="BB176" s="409"/>
      <c r="BC176" s="409"/>
      <c r="BD176" s="409"/>
      <c r="BE176" s="409"/>
      <c r="BF176" s="409"/>
      <c r="BG176" s="409"/>
      <c r="BH176" s="409"/>
      <c r="BI176" s="266"/>
      <c r="BJ176" s="265"/>
    </row>
    <row r="177" spans="1:62" ht="13.95" customHeight="1">
      <c r="A177" s="265"/>
      <c r="B177" s="289"/>
      <c r="C177" s="289"/>
      <c r="D177" s="409"/>
      <c r="E177" s="409"/>
      <c r="F177" s="409"/>
      <c r="G177" s="409"/>
      <c r="H177" s="409"/>
      <c r="I177" s="409"/>
      <c r="J177" s="409"/>
      <c r="K177" s="409"/>
      <c r="L177" s="409"/>
      <c r="M177" s="409"/>
      <c r="N177" s="409"/>
      <c r="O177" s="409"/>
      <c r="P177" s="409"/>
      <c r="Q177" s="409"/>
      <c r="R177" s="409"/>
      <c r="S177" s="409"/>
      <c r="T177" s="409"/>
      <c r="U177" s="409"/>
      <c r="V177" s="409"/>
      <c r="W177" s="289"/>
      <c r="X177" s="496" t="s">
        <v>47</v>
      </c>
      <c r="Y177" s="13"/>
      <c r="Z177" s="13"/>
      <c r="AA177" s="13"/>
      <c r="AB177" s="13"/>
      <c r="AC177" s="763">
        <f>Obliczenia!Z34+Obliczenia!AB34</f>
        <v>2</v>
      </c>
      <c r="AD177" s="762">
        <f>VLOOKUP(X177,rozdzial,4,0)*AC177*(1-$AM$236/100)</f>
        <v>2414</v>
      </c>
      <c r="AE177" s="762"/>
      <c r="AF177" s="282"/>
      <c r="AH177" s="496" t="s">
        <v>48</v>
      </c>
      <c r="AI177" s="13"/>
      <c r="AJ177" s="13"/>
      <c r="AK177" s="13"/>
      <c r="AL177" s="763">
        <f>Obliczenia!Y33+Obliczenia!AA33</f>
        <v>0</v>
      </c>
      <c r="AM177" s="762">
        <f>VLOOKUP(AH177,rozdzial,4,0)*AL177*(1-$AM$236/100)</f>
        <v>0</v>
      </c>
      <c r="AN177" s="762"/>
      <c r="AO177" s="289"/>
      <c r="AP177" s="409"/>
      <c r="AQ177" s="409"/>
      <c r="AR177" s="409"/>
      <c r="AS177" s="409"/>
      <c r="AT177" s="409"/>
      <c r="AU177" s="409"/>
      <c r="AV177" s="409"/>
      <c r="AW177" s="409"/>
      <c r="AX177" s="409"/>
      <c r="AY177" s="409"/>
      <c r="AZ177" s="409"/>
      <c r="BA177" s="409"/>
      <c r="BB177" s="409"/>
      <c r="BC177" s="409"/>
      <c r="BD177" s="409"/>
      <c r="BE177" s="409"/>
      <c r="BF177" s="409"/>
      <c r="BG177" s="409"/>
      <c r="BH177" s="409"/>
      <c r="BI177" s="266"/>
      <c r="BJ177" s="265"/>
    </row>
    <row r="178" spans="1:62" ht="13.95" customHeight="1">
      <c r="A178" s="265"/>
      <c r="B178" s="289"/>
      <c r="C178" s="289"/>
      <c r="D178" s="409"/>
      <c r="E178" s="409"/>
      <c r="F178" s="409"/>
      <c r="G178" s="409"/>
      <c r="H178" s="409"/>
      <c r="I178" s="409"/>
      <c r="J178" s="409"/>
      <c r="K178" s="409"/>
      <c r="L178" s="409"/>
      <c r="M178" s="409"/>
      <c r="N178" s="409"/>
      <c r="O178" s="409"/>
      <c r="P178" s="409"/>
      <c r="Q178" s="409"/>
      <c r="R178" s="409"/>
      <c r="S178" s="409"/>
      <c r="T178" s="409"/>
      <c r="U178" s="409"/>
      <c r="V178" s="409"/>
      <c r="W178" s="289"/>
      <c r="X178" s="490" t="s">
        <v>471</v>
      </c>
      <c r="Y178" s="488"/>
      <c r="Z178" s="488"/>
      <c r="AA178" s="488"/>
      <c r="AB178" s="488"/>
      <c r="AC178" s="763"/>
      <c r="AD178" s="502"/>
      <c r="AE178" s="503"/>
      <c r="AF178" s="340"/>
      <c r="AH178" s="490" t="s">
        <v>470</v>
      </c>
      <c r="AI178" s="488"/>
      <c r="AJ178" s="488"/>
      <c r="AK178" s="488"/>
      <c r="AL178" s="763"/>
      <c r="AM178" s="289"/>
      <c r="AN178" s="289"/>
      <c r="AO178" s="289"/>
      <c r="AP178" s="409"/>
      <c r="AQ178" s="409"/>
      <c r="AR178" s="409"/>
      <c r="AS178" s="409"/>
      <c r="AT178" s="409"/>
      <c r="AU178" s="409"/>
      <c r="AV178" s="409"/>
      <c r="AW178" s="409"/>
      <c r="AX178" s="409"/>
      <c r="AY178" s="409"/>
      <c r="AZ178" s="409"/>
      <c r="BA178" s="409"/>
      <c r="BB178" s="409"/>
      <c r="BC178" s="409"/>
      <c r="BD178" s="409"/>
      <c r="BE178" s="409"/>
      <c r="BF178" s="409"/>
      <c r="BG178" s="409"/>
      <c r="BH178" s="409"/>
      <c r="BI178" s="266"/>
      <c r="BJ178" s="265"/>
    </row>
    <row r="179" spans="1:62" ht="13.95" customHeight="1">
      <c r="A179" s="265"/>
      <c r="B179" s="289"/>
      <c r="C179" s="289"/>
      <c r="D179" s="409"/>
      <c r="E179" s="409"/>
      <c r="F179" s="409"/>
      <c r="G179" s="409"/>
      <c r="H179" s="409"/>
      <c r="I179" s="409"/>
      <c r="J179" s="409"/>
      <c r="K179" s="409"/>
      <c r="L179" s="409"/>
      <c r="M179" s="409"/>
      <c r="N179" s="409"/>
      <c r="O179" s="409"/>
      <c r="P179" s="409"/>
      <c r="Q179" s="409"/>
      <c r="R179" s="409"/>
      <c r="S179" s="409"/>
      <c r="T179" s="409"/>
      <c r="U179" s="409"/>
      <c r="V179" s="409"/>
      <c r="W179" s="289"/>
      <c r="X179" s="334">
        <f>VLOOKUP(X177,rozdzial,3,0)</f>
        <v>7546061</v>
      </c>
      <c r="Y179" s="562">
        <f>VLOOKUP(X177,rozdzial,4,0)</f>
        <v>1207</v>
      </c>
      <c r="Z179" s="13"/>
      <c r="AA179" s="486"/>
      <c r="AB179" s="487"/>
      <c r="AC179" s="13"/>
      <c r="AD179" s="503"/>
      <c r="AE179" s="503"/>
      <c r="AF179" s="342"/>
      <c r="AH179" s="334">
        <f>VLOOKUP(AH177,rozdzial,3,0)</f>
        <v>7546062</v>
      </c>
      <c r="AI179" s="562">
        <f>VLOOKUP(AH177,rozdzial,4,0)</f>
        <v>1032</v>
      </c>
      <c r="AJ179" s="13"/>
      <c r="AK179" s="486"/>
      <c r="AL179" s="13"/>
      <c r="AM179" s="289"/>
      <c r="AN179" s="289"/>
      <c r="AO179" s="289"/>
      <c r="AP179" s="409"/>
      <c r="AQ179" s="409"/>
      <c r="AR179" s="409"/>
      <c r="AS179" s="409"/>
      <c r="AT179" s="409"/>
      <c r="AU179" s="409"/>
      <c r="AV179" s="409"/>
      <c r="AW179" s="409"/>
      <c r="AX179" s="409"/>
      <c r="AY179" s="409"/>
      <c r="AZ179" s="409"/>
      <c r="BA179" s="409"/>
      <c r="BB179" s="409"/>
      <c r="BC179" s="409"/>
      <c r="BD179" s="409"/>
      <c r="BE179" s="409"/>
      <c r="BF179" s="409"/>
      <c r="BG179" s="409"/>
      <c r="BH179" s="409"/>
      <c r="BI179" s="266"/>
      <c r="BJ179" s="265"/>
    </row>
    <row r="180" spans="1:62" ht="13.95" customHeight="1">
      <c r="A180" s="265"/>
      <c r="B180" s="289"/>
      <c r="C180" s="289"/>
      <c r="D180" s="409"/>
      <c r="E180" s="409"/>
      <c r="F180" s="409"/>
      <c r="G180" s="409"/>
      <c r="H180" s="409"/>
      <c r="I180" s="409"/>
      <c r="J180" s="409"/>
      <c r="K180" s="409"/>
      <c r="L180" s="409"/>
      <c r="M180" s="409"/>
      <c r="N180" s="409"/>
      <c r="O180" s="409"/>
      <c r="P180" s="409"/>
      <c r="Q180" s="409"/>
      <c r="R180" s="409"/>
      <c r="S180" s="409"/>
      <c r="T180" s="409"/>
      <c r="U180" s="409"/>
      <c r="V180" s="409"/>
      <c r="W180" s="289"/>
      <c r="X180" s="13"/>
      <c r="Y180" s="13"/>
      <c r="Z180" s="13"/>
      <c r="AA180" s="13"/>
      <c r="AB180" s="13"/>
      <c r="AC180" s="13"/>
      <c r="AD180" s="503"/>
      <c r="AE180" s="503"/>
      <c r="AF180" s="13"/>
      <c r="AH180" s="289"/>
      <c r="AI180" s="289"/>
      <c r="AJ180" s="289"/>
      <c r="AK180" s="289"/>
      <c r="AL180" s="289"/>
      <c r="AM180" s="289"/>
      <c r="AN180" s="289"/>
      <c r="AO180" s="289"/>
      <c r="AP180" s="409"/>
      <c r="AQ180" s="409"/>
      <c r="AR180" s="409"/>
      <c r="AS180" s="409"/>
      <c r="AT180" s="409"/>
      <c r="AU180" s="409"/>
      <c r="AV180" s="409"/>
      <c r="AW180" s="409"/>
      <c r="AX180" s="409"/>
      <c r="AY180" s="409"/>
      <c r="AZ180" s="409"/>
      <c r="BA180" s="409"/>
      <c r="BB180" s="409"/>
      <c r="BC180" s="409"/>
      <c r="BD180" s="409"/>
      <c r="BE180" s="409"/>
      <c r="BF180" s="409"/>
      <c r="BG180" s="409"/>
      <c r="BH180" s="409"/>
      <c r="BI180" s="266"/>
      <c r="BJ180" s="265"/>
    </row>
    <row r="181" spans="1:62">
      <c r="A181" s="265"/>
      <c r="B181" s="289"/>
      <c r="C181" s="289"/>
      <c r="D181" s="409"/>
      <c r="E181" s="409"/>
      <c r="F181" s="409"/>
      <c r="G181" s="409"/>
      <c r="H181" s="409"/>
      <c r="I181" s="409"/>
      <c r="J181" s="409"/>
      <c r="K181" s="409"/>
      <c r="L181" s="409"/>
      <c r="M181" s="409"/>
      <c r="N181" s="409"/>
      <c r="O181" s="409"/>
      <c r="P181" s="409"/>
      <c r="Q181" s="409"/>
      <c r="R181" s="409"/>
      <c r="S181" s="409"/>
      <c r="T181" s="409"/>
      <c r="U181" s="409"/>
      <c r="V181" s="409"/>
      <c r="W181" s="289"/>
      <c r="X181" s="289"/>
      <c r="Y181" s="289"/>
      <c r="Z181" s="289"/>
      <c r="AA181" s="289"/>
      <c r="AB181" s="289"/>
      <c r="AC181" s="289"/>
      <c r="AD181" s="506"/>
      <c r="AE181" s="506"/>
      <c r="AF181" s="289"/>
      <c r="AO181" s="289"/>
      <c r="AP181" s="409"/>
      <c r="AQ181" s="409"/>
      <c r="AR181" s="409"/>
      <c r="AS181" s="409"/>
      <c r="AT181" s="409"/>
      <c r="AU181" s="409"/>
      <c r="AV181" s="409"/>
      <c r="AW181" s="409"/>
      <c r="AX181" s="409"/>
      <c r="AY181" s="409"/>
      <c r="AZ181" s="409"/>
      <c r="BA181" s="409"/>
      <c r="BB181" s="409"/>
      <c r="BC181" s="409"/>
      <c r="BD181" s="409"/>
      <c r="BE181" s="409"/>
      <c r="BF181" s="409"/>
      <c r="BG181" s="409"/>
      <c r="BH181" s="409"/>
      <c r="BI181" s="266"/>
      <c r="BJ181" s="265"/>
    </row>
    <row r="182" spans="1:62" ht="13.95" customHeight="1">
      <c r="A182" s="265"/>
      <c r="B182" s="289"/>
      <c r="C182" s="289"/>
      <c r="D182" s="409"/>
      <c r="E182" s="409"/>
      <c r="F182" s="409"/>
      <c r="G182" s="409"/>
      <c r="H182" s="409"/>
      <c r="I182" s="409"/>
      <c r="J182" s="409"/>
      <c r="K182" s="409"/>
      <c r="L182" s="409"/>
      <c r="M182" s="409"/>
      <c r="N182" s="409"/>
      <c r="O182" s="409"/>
      <c r="P182" s="409"/>
      <c r="Q182" s="409"/>
      <c r="R182" s="409"/>
      <c r="S182" s="409"/>
      <c r="T182" s="409"/>
      <c r="U182" s="409"/>
      <c r="V182" s="409"/>
      <c r="W182" s="289"/>
      <c r="X182" s="496" t="s">
        <v>44</v>
      </c>
      <c r="Y182" s="13"/>
      <c r="Z182" s="13"/>
      <c r="AA182" s="13"/>
      <c r="AB182" s="13"/>
      <c r="AC182" s="763">
        <f>AB184</f>
        <v>6</v>
      </c>
      <c r="AD182" s="762">
        <f>VLOOKUP(X182,rozdzial,4,0)*AC182*(1-$AM$236/100)</f>
        <v>2502</v>
      </c>
      <c r="AE182" s="762"/>
      <c r="AF182" s="282"/>
      <c r="AO182" s="289"/>
      <c r="AP182" s="409"/>
      <c r="AQ182" s="409"/>
      <c r="AR182" s="409"/>
      <c r="AS182" s="409"/>
      <c r="AT182" s="409"/>
      <c r="AU182" s="409"/>
      <c r="AV182" s="409"/>
      <c r="AW182" s="409"/>
      <c r="AX182" s="409"/>
      <c r="AY182" s="409"/>
      <c r="AZ182" s="409"/>
      <c r="BA182" s="409"/>
      <c r="BB182" s="409"/>
      <c r="BC182" s="409"/>
      <c r="BD182" s="409"/>
      <c r="BE182" s="409"/>
      <c r="BF182" s="409"/>
      <c r="BG182" s="409"/>
      <c r="BH182" s="409"/>
      <c r="BI182" s="266"/>
      <c r="BJ182" s="265"/>
    </row>
    <row r="183" spans="1:62" ht="13.95" customHeight="1">
      <c r="A183" s="265"/>
      <c r="B183" s="289"/>
      <c r="C183" s="289"/>
      <c r="D183" s="409"/>
      <c r="E183" s="409"/>
      <c r="F183" s="409"/>
      <c r="G183" s="409"/>
      <c r="H183" s="409"/>
      <c r="I183" s="409"/>
      <c r="J183" s="409"/>
      <c r="K183" s="409"/>
      <c r="L183" s="409"/>
      <c r="M183" s="409"/>
      <c r="N183" s="409"/>
      <c r="O183" s="409"/>
      <c r="P183" s="409"/>
      <c r="Q183" s="409"/>
      <c r="R183" s="409"/>
      <c r="S183" s="409"/>
      <c r="T183" s="409"/>
      <c r="U183" s="409"/>
      <c r="V183" s="409"/>
      <c r="W183" s="289"/>
      <c r="X183" s="490" t="s">
        <v>469</v>
      </c>
      <c r="Y183" s="488"/>
      <c r="Z183" s="488"/>
      <c r="AA183" s="488"/>
      <c r="AB183" s="488"/>
      <c r="AC183" s="763"/>
      <c r="AD183" s="541"/>
      <c r="AE183" s="503"/>
      <c r="AF183" s="340"/>
      <c r="AO183" s="289"/>
      <c r="AP183" s="409"/>
      <c r="AQ183" s="409"/>
      <c r="AR183" s="409"/>
      <c r="AS183" s="409"/>
      <c r="AT183" s="409"/>
      <c r="AU183" s="409"/>
      <c r="AV183" s="409"/>
      <c r="AW183" s="409"/>
      <c r="AX183" s="409"/>
      <c r="AY183" s="409"/>
      <c r="AZ183" s="409"/>
      <c r="BA183" s="409"/>
      <c r="BB183" s="409"/>
      <c r="BC183" s="409"/>
      <c r="BD183" s="409"/>
      <c r="BE183" s="409"/>
      <c r="BF183" s="409"/>
      <c r="BG183" s="409"/>
      <c r="BH183" s="409"/>
      <c r="BI183" s="266"/>
      <c r="BJ183" s="265"/>
    </row>
    <row r="184" spans="1:62" ht="13.95" customHeight="1">
      <c r="A184" s="265"/>
      <c r="B184" s="289"/>
      <c r="C184" s="289"/>
      <c r="D184" s="409"/>
      <c r="E184" s="409"/>
      <c r="F184" s="409"/>
      <c r="G184" s="409"/>
      <c r="H184" s="409"/>
      <c r="I184" s="409"/>
      <c r="J184" s="409"/>
      <c r="K184" s="409"/>
      <c r="L184" s="409"/>
      <c r="M184" s="409"/>
      <c r="N184" s="409"/>
      <c r="O184" s="409"/>
      <c r="P184" s="409"/>
      <c r="Q184" s="409"/>
      <c r="R184" s="409"/>
      <c r="S184" s="409"/>
      <c r="T184" s="409"/>
      <c r="U184" s="409"/>
      <c r="V184" s="409"/>
      <c r="W184" s="289"/>
      <c r="X184" s="334">
        <f>VLOOKUP(X182,rozdzial,3,0)</f>
        <v>7228294</v>
      </c>
      <c r="Y184" s="562">
        <f>VLOOKUP(X182,rozdzial,4,0)</f>
        <v>417</v>
      </c>
      <c r="Z184" s="13"/>
      <c r="AA184" s="486"/>
      <c r="AB184" s="572">
        <f>ROUNDUP(AC167*20/50,0)</f>
        <v>6</v>
      </c>
      <c r="AC184" s="13"/>
      <c r="AD184" s="541"/>
      <c r="AE184" s="503"/>
      <c r="AF184" s="342"/>
      <c r="AO184" s="289"/>
      <c r="AP184" s="409"/>
      <c r="AQ184" s="409"/>
      <c r="AR184" s="409"/>
      <c r="AS184" s="409"/>
      <c r="AT184" s="409"/>
      <c r="AU184" s="409"/>
      <c r="AV184" s="409"/>
      <c r="AW184" s="409"/>
      <c r="AX184" s="409"/>
      <c r="AY184" s="409"/>
      <c r="AZ184" s="409"/>
      <c r="BA184" s="409"/>
      <c r="BB184" s="409"/>
      <c r="BC184" s="409"/>
      <c r="BD184" s="409"/>
      <c r="BE184" s="409"/>
      <c r="BF184" s="409"/>
      <c r="BG184" s="409"/>
      <c r="BH184" s="409"/>
      <c r="BI184" s="266"/>
      <c r="BJ184" s="265"/>
    </row>
    <row r="185" spans="1:62" ht="13.95" customHeight="1">
      <c r="A185" s="265"/>
      <c r="B185" s="289"/>
      <c r="C185" s="289"/>
      <c r="D185" s="409"/>
      <c r="E185" s="409"/>
      <c r="F185" s="409"/>
      <c r="G185" s="409"/>
      <c r="H185" s="409"/>
      <c r="I185" s="409"/>
      <c r="J185" s="409"/>
      <c r="K185" s="409"/>
      <c r="L185" s="409"/>
      <c r="M185" s="409"/>
      <c r="N185" s="409"/>
      <c r="O185" s="409"/>
      <c r="P185" s="409"/>
      <c r="Q185" s="409"/>
      <c r="R185" s="409"/>
      <c r="S185" s="409"/>
      <c r="T185" s="409"/>
      <c r="U185" s="409"/>
      <c r="V185" s="409"/>
      <c r="W185" s="289"/>
      <c r="X185" s="13"/>
      <c r="Y185" s="13"/>
      <c r="Z185" s="13"/>
      <c r="AA185" s="13"/>
      <c r="AB185" s="13"/>
      <c r="AC185" s="13"/>
      <c r="AD185" s="503"/>
      <c r="AE185" s="503"/>
      <c r="AF185" s="13"/>
      <c r="AI185" s="289"/>
      <c r="AJ185" s="289"/>
      <c r="AK185" s="289"/>
      <c r="AL185" s="289"/>
      <c r="AM185" s="289"/>
      <c r="AN185" s="289"/>
      <c r="AO185" s="289"/>
      <c r="AP185" s="409"/>
      <c r="AQ185" s="409"/>
      <c r="AR185" s="409"/>
      <c r="AS185" s="409"/>
      <c r="AT185" s="409"/>
      <c r="AU185" s="409"/>
      <c r="AV185" s="409"/>
      <c r="AW185" s="409"/>
      <c r="AX185" s="409"/>
      <c r="AY185" s="409"/>
      <c r="AZ185" s="409"/>
      <c r="BA185" s="409"/>
      <c r="BB185" s="409"/>
      <c r="BC185" s="409"/>
      <c r="BD185" s="409"/>
      <c r="BE185" s="409"/>
      <c r="BF185" s="409"/>
      <c r="BG185" s="409"/>
      <c r="BH185" s="409"/>
      <c r="BI185" s="266"/>
      <c r="BJ185" s="265"/>
    </row>
    <row r="186" spans="1:62" ht="13.95" customHeight="1">
      <c r="A186" s="265"/>
      <c r="B186" s="289"/>
      <c r="C186" s="289"/>
      <c r="D186" s="409"/>
      <c r="E186" s="409"/>
      <c r="F186" s="409"/>
      <c r="G186" s="409"/>
      <c r="H186" s="409"/>
      <c r="I186" s="409"/>
      <c r="J186" s="409"/>
      <c r="K186" s="409"/>
      <c r="L186" s="409"/>
      <c r="M186" s="409"/>
      <c r="N186" s="409"/>
      <c r="O186" s="409"/>
      <c r="P186" s="409"/>
      <c r="Q186" s="409"/>
      <c r="R186" s="409"/>
      <c r="S186" s="409"/>
      <c r="T186" s="409"/>
      <c r="U186" s="409"/>
      <c r="V186" s="409"/>
      <c r="W186" s="289"/>
      <c r="X186" s="13"/>
      <c r="Y186" s="13"/>
      <c r="Z186" s="13"/>
      <c r="AA186" s="13"/>
      <c r="AB186" s="13"/>
      <c r="AC186" s="13"/>
      <c r="AD186" s="503"/>
      <c r="AE186" s="503"/>
      <c r="AF186" s="13"/>
      <c r="AI186" s="289"/>
      <c r="AJ186" s="289"/>
      <c r="AK186" s="289"/>
      <c r="AL186" s="289"/>
      <c r="AM186" s="289"/>
      <c r="AN186" s="289"/>
      <c r="AO186" s="289"/>
      <c r="AP186" s="409"/>
      <c r="AQ186" s="409"/>
      <c r="AR186" s="409"/>
      <c r="AS186" s="409"/>
      <c r="AT186" s="409"/>
      <c r="AU186" s="409"/>
      <c r="AV186" s="409"/>
      <c r="AW186" s="409"/>
      <c r="AX186" s="409"/>
      <c r="AY186" s="409"/>
      <c r="AZ186" s="409"/>
      <c r="BA186" s="409"/>
      <c r="BB186" s="409"/>
      <c r="BC186" s="409"/>
      <c r="BD186" s="409"/>
      <c r="BE186" s="409"/>
      <c r="BF186" s="409"/>
      <c r="BG186" s="409"/>
      <c r="BH186" s="409"/>
      <c r="BI186" s="266"/>
      <c r="BJ186" s="265"/>
    </row>
    <row r="187" spans="1:62" ht="13.95" customHeight="1">
      <c r="A187" s="265"/>
      <c r="B187" s="289"/>
      <c r="C187" s="289"/>
      <c r="D187" s="409"/>
      <c r="E187" s="409"/>
      <c r="F187" s="409"/>
      <c r="G187" s="409"/>
      <c r="H187" s="409"/>
      <c r="I187" s="409"/>
      <c r="J187" s="409"/>
      <c r="K187" s="409"/>
      <c r="L187" s="409"/>
      <c r="M187" s="409"/>
      <c r="N187" s="409"/>
      <c r="O187" s="409"/>
      <c r="P187" s="409"/>
      <c r="Q187" s="409"/>
      <c r="R187" s="409"/>
      <c r="S187" s="409"/>
      <c r="T187" s="409"/>
      <c r="U187" s="409"/>
      <c r="V187" s="409"/>
      <c r="W187" s="746" t="s">
        <v>467</v>
      </c>
      <c r="X187" s="746"/>
      <c r="Y187" s="746"/>
      <c r="Z187" s="746"/>
      <c r="AA187" s="746"/>
      <c r="AB187" s="746"/>
      <c r="AC187" s="746"/>
      <c r="AD187" s="503"/>
      <c r="AE187" s="503"/>
      <c r="AF187" s="13"/>
      <c r="AH187" s="289"/>
      <c r="AI187" s="289"/>
      <c r="AJ187" s="289"/>
      <c r="AK187" s="289"/>
      <c r="AL187" s="289"/>
      <c r="AM187" s="289"/>
      <c r="AN187" s="289"/>
      <c r="AO187" s="289"/>
      <c r="AP187" s="409"/>
      <c r="AQ187" s="409"/>
      <c r="AR187" s="409"/>
      <c r="AS187" s="409"/>
      <c r="AT187" s="409"/>
      <c r="AU187" s="409"/>
      <c r="AV187" s="409"/>
      <c r="AW187" s="409"/>
      <c r="AX187" s="409"/>
      <c r="AY187" s="409"/>
      <c r="AZ187" s="409"/>
      <c r="BA187" s="409"/>
      <c r="BB187" s="409"/>
      <c r="BC187" s="409"/>
      <c r="BD187" s="409"/>
      <c r="BE187" s="409"/>
      <c r="BF187" s="409"/>
      <c r="BG187" s="409"/>
      <c r="BH187" s="409"/>
      <c r="BI187" s="266"/>
      <c r="BJ187" s="265"/>
    </row>
    <row r="188" spans="1:62" ht="13.95" customHeight="1">
      <c r="A188" s="265"/>
      <c r="B188" s="289"/>
      <c r="C188" s="289"/>
      <c r="D188" s="409"/>
      <c r="E188" s="409"/>
      <c r="F188" s="409"/>
      <c r="G188" s="409"/>
      <c r="H188" s="409"/>
      <c r="I188" s="409"/>
      <c r="J188" s="409"/>
      <c r="K188" s="409"/>
      <c r="L188" s="409"/>
      <c r="M188" s="409"/>
      <c r="N188" s="409"/>
      <c r="O188" s="409"/>
      <c r="P188" s="409"/>
      <c r="Q188" s="409"/>
      <c r="R188" s="409"/>
      <c r="S188" s="409"/>
      <c r="T188" s="409"/>
      <c r="U188" s="409"/>
      <c r="V188" s="409"/>
      <c r="W188" s="771"/>
      <c r="X188" s="771"/>
      <c r="Y188" s="771"/>
      <c r="Z188" s="771"/>
      <c r="AA188" s="771"/>
      <c r="AB188" s="771"/>
      <c r="AC188" s="771"/>
      <c r="AD188" s="551"/>
      <c r="AE188" s="551"/>
      <c r="AF188" s="338"/>
      <c r="AG188" s="501"/>
      <c r="AH188" s="296"/>
      <c r="AI188" s="296"/>
      <c r="AJ188" s="296"/>
      <c r="AK188" s="296"/>
      <c r="AL188" s="296"/>
      <c r="AM188" s="296"/>
      <c r="AN188" s="296"/>
      <c r="AO188" s="296"/>
      <c r="AP188" s="510"/>
      <c r="AQ188" s="510"/>
      <c r="AR188" s="510"/>
      <c r="AS188" s="510"/>
      <c r="AT188" s="510"/>
      <c r="AU188" s="510"/>
      <c r="AV188" s="510"/>
      <c r="AW188" s="510"/>
      <c r="AX188" s="510"/>
      <c r="AY188" s="510"/>
      <c r="AZ188" s="510"/>
      <c r="BA188" s="510"/>
      <c r="BB188" s="510"/>
      <c r="BC188" s="510"/>
      <c r="BD188" s="510"/>
      <c r="BE188" s="409"/>
      <c r="BF188" s="409"/>
      <c r="BG188" s="409"/>
      <c r="BH188" s="409"/>
      <c r="BI188" s="266"/>
      <c r="BJ188" s="265"/>
    </row>
    <row r="189" spans="1:62" ht="13.95" customHeight="1">
      <c r="A189" s="265"/>
      <c r="B189" s="289"/>
      <c r="C189" s="289"/>
      <c r="D189" s="409"/>
      <c r="E189" s="409"/>
      <c r="F189" s="409"/>
      <c r="G189" s="409"/>
      <c r="H189" s="409"/>
      <c r="I189" s="409"/>
      <c r="J189" s="409"/>
      <c r="K189" s="409"/>
      <c r="L189" s="409"/>
      <c r="M189" s="409"/>
      <c r="N189" s="409"/>
      <c r="O189" s="409"/>
      <c r="P189" s="409"/>
      <c r="Q189" s="409"/>
      <c r="R189" s="409"/>
      <c r="S189" s="409"/>
      <c r="T189" s="409"/>
      <c r="U189" s="409"/>
      <c r="V189" s="409"/>
      <c r="W189" s="289"/>
      <c r="X189" s="13"/>
      <c r="Y189" s="13"/>
      <c r="Z189" s="13"/>
      <c r="AA189" s="13"/>
      <c r="AB189" s="13"/>
      <c r="AC189" s="559"/>
      <c r="AD189" s="560"/>
      <c r="AE189" s="560"/>
      <c r="AF189" s="559"/>
      <c r="AG189" s="122"/>
      <c r="AH189" s="561"/>
      <c r="AI189" s="561"/>
      <c r="AJ189" s="561"/>
      <c r="AK189" s="561"/>
      <c r="AL189" s="561"/>
      <c r="AM189" s="561"/>
      <c r="AN189" s="561"/>
      <c r="AO189" s="561"/>
      <c r="AP189" s="509"/>
      <c r="AQ189" s="509"/>
      <c r="AR189" s="509"/>
      <c r="AS189" s="509"/>
      <c r="AT189" s="509"/>
      <c r="AU189" s="509"/>
      <c r="AV189" s="509"/>
      <c r="AW189" s="509"/>
      <c r="AX189" s="509"/>
      <c r="AY189" s="509"/>
      <c r="AZ189" s="509"/>
      <c r="BA189" s="509"/>
      <c r="BB189" s="509"/>
      <c r="BC189" s="509"/>
      <c r="BD189" s="509"/>
      <c r="BE189" s="409"/>
      <c r="BF189" s="409"/>
      <c r="BG189" s="409"/>
      <c r="BH189" s="409"/>
      <c r="BI189" s="266"/>
      <c r="BJ189" s="265"/>
    </row>
    <row r="190" spans="1:62">
      <c r="A190" s="265"/>
      <c r="B190" s="289"/>
      <c r="C190" s="289"/>
      <c r="D190" s="409"/>
      <c r="E190" s="409"/>
      <c r="F190" s="409"/>
      <c r="G190" s="409"/>
      <c r="H190" s="409"/>
      <c r="I190" s="409"/>
      <c r="J190" s="409"/>
      <c r="K190" s="409"/>
      <c r="L190" s="409"/>
      <c r="M190" s="409"/>
      <c r="N190" s="409"/>
      <c r="O190" s="409"/>
      <c r="P190" s="409"/>
      <c r="Q190" s="409"/>
      <c r="R190" s="409"/>
      <c r="S190" s="409"/>
      <c r="T190" s="409"/>
      <c r="U190" s="409"/>
      <c r="V190" s="409"/>
      <c r="W190" s="289"/>
      <c r="X190" s="289"/>
      <c r="Y190" s="289"/>
      <c r="Z190" s="289"/>
      <c r="AA190" s="289"/>
      <c r="AB190" s="289"/>
      <c r="AC190" s="289"/>
      <c r="AD190" s="506"/>
      <c r="AE190" s="506"/>
      <c r="AF190" s="289"/>
      <c r="AH190" s="289"/>
      <c r="AI190" s="289"/>
      <c r="AJ190" s="289"/>
      <c r="AK190" s="289"/>
      <c r="AL190" s="289"/>
      <c r="AM190" s="289"/>
      <c r="AN190" s="289"/>
      <c r="AO190" s="289"/>
      <c r="AP190" s="409"/>
      <c r="AQ190" s="409"/>
      <c r="AR190" s="409"/>
      <c r="AS190" s="409"/>
      <c r="AT190" s="409"/>
      <c r="AU190" s="409"/>
      <c r="AV190" s="409"/>
      <c r="AW190" s="409"/>
      <c r="AX190" s="409"/>
      <c r="AY190" s="409"/>
      <c r="AZ190" s="409"/>
      <c r="BA190" s="409"/>
      <c r="BB190" s="409"/>
      <c r="BC190" s="409"/>
      <c r="BD190" s="409"/>
      <c r="BE190" s="409"/>
      <c r="BF190" s="409"/>
      <c r="BG190" s="409"/>
      <c r="BH190" s="409"/>
      <c r="BI190" s="266"/>
      <c r="BJ190" s="265"/>
    </row>
    <row r="191" spans="1:62" ht="13.95" customHeight="1">
      <c r="A191" s="265"/>
      <c r="B191" s="289"/>
      <c r="C191" s="289"/>
      <c r="D191" s="409"/>
      <c r="E191" s="409"/>
      <c r="F191" s="409"/>
      <c r="G191" s="409"/>
      <c r="H191" s="409"/>
      <c r="I191" s="409"/>
      <c r="J191" s="409"/>
      <c r="K191" s="409"/>
      <c r="L191" s="409"/>
      <c r="M191" s="409"/>
      <c r="N191" s="409"/>
      <c r="O191" s="409"/>
      <c r="P191" s="409"/>
      <c r="Q191" s="409"/>
      <c r="R191" s="409"/>
      <c r="S191" s="409"/>
      <c r="T191" s="409"/>
      <c r="U191" s="409"/>
      <c r="V191" s="409"/>
      <c r="W191" s="289"/>
      <c r="X191" s="496" t="s">
        <v>54</v>
      </c>
      <c r="Y191" s="13"/>
      <c r="Z191" s="13"/>
      <c r="AA191" s="13"/>
      <c r="AB191" s="13"/>
      <c r="AC191" s="763">
        <f>AB193</f>
        <v>6</v>
      </c>
      <c r="AD191" s="762">
        <f>VLOOKUP(X191,rozdzial,4,0)*AC191*(1-$AM$236/100)</f>
        <v>2754</v>
      </c>
      <c r="AE191" s="762"/>
      <c r="AF191" s="282"/>
      <c r="AH191" s="496" t="s">
        <v>56</v>
      </c>
      <c r="AI191" s="13"/>
      <c r="AJ191" s="13"/>
      <c r="AK191" s="13"/>
      <c r="AL191" s="763">
        <f>AK193</f>
        <v>4</v>
      </c>
      <c r="AM191" s="762">
        <f>VLOOKUP(AH191,rozdzial,4,0)*AL191*(1-$AM$236/100)</f>
        <v>816</v>
      </c>
      <c r="AN191" s="762"/>
      <c r="AO191" s="289"/>
      <c r="AP191" s="409"/>
      <c r="AQ191" s="409"/>
      <c r="AR191" s="409"/>
      <c r="AS191" s="409"/>
      <c r="AT191" s="409"/>
      <c r="AU191" s="409"/>
      <c r="AV191" s="409"/>
      <c r="AW191" s="409"/>
      <c r="AX191" s="409"/>
      <c r="AY191" s="409"/>
      <c r="AZ191" s="409"/>
      <c r="BA191" s="409"/>
      <c r="BB191" s="409"/>
      <c r="BC191" s="409"/>
      <c r="BD191" s="409"/>
      <c r="BE191" s="409"/>
      <c r="BF191" s="409"/>
      <c r="BG191" s="409"/>
      <c r="BH191" s="409"/>
      <c r="BI191" s="266"/>
      <c r="BJ191" s="265"/>
    </row>
    <row r="192" spans="1:62" ht="13.95" customHeight="1">
      <c r="A192" s="265"/>
      <c r="B192" s="289"/>
      <c r="C192" s="289"/>
      <c r="D192" s="409"/>
      <c r="E192" s="409"/>
      <c r="F192" s="409"/>
      <c r="G192" s="409"/>
      <c r="H192" s="409"/>
      <c r="I192" s="409"/>
      <c r="J192" s="409"/>
      <c r="K192" s="409"/>
      <c r="L192" s="409"/>
      <c r="M192" s="409"/>
      <c r="N192" s="409"/>
      <c r="O192" s="409"/>
      <c r="P192" s="409"/>
      <c r="Q192" s="409"/>
      <c r="R192" s="409"/>
      <c r="S192" s="409"/>
      <c r="T192" s="409"/>
      <c r="U192" s="409"/>
      <c r="V192" s="409"/>
      <c r="W192" s="289"/>
      <c r="X192" s="490" t="s">
        <v>477</v>
      </c>
      <c r="Y192" s="488"/>
      <c r="Z192" s="488"/>
      <c r="AA192" s="488"/>
      <c r="AB192" s="488"/>
      <c r="AC192" s="763"/>
      <c r="AD192" s="502"/>
      <c r="AE192" s="503"/>
      <c r="AF192" s="340"/>
      <c r="AH192" s="490" t="s">
        <v>481</v>
      </c>
      <c r="AI192" s="488"/>
      <c r="AJ192" s="488"/>
      <c r="AK192" s="488"/>
      <c r="AL192" s="763"/>
      <c r="AM192" s="541"/>
      <c r="AN192" s="289"/>
      <c r="AO192" s="289"/>
      <c r="AP192" s="409"/>
      <c r="AQ192" s="409"/>
      <c r="AR192" s="409"/>
      <c r="AS192" s="409"/>
      <c r="AT192" s="409"/>
      <c r="AU192" s="409"/>
      <c r="AV192" s="409"/>
      <c r="AW192" s="409"/>
      <c r="AX192" s="409"/>
      <c r="AY192" s="409"/>
      <c r="AZ192" s="409"/>
      <c r="BA192" s="409"/>
      <c r="BB192" s="409"/>
      <c r="BC192" s="409"/>
      <c r="BD192" s="409"/>
      <c r="BE192" s="409"/>
      <c r="BF192" s="409"/>
      <c r="BG192" s="409"/>
      <c r="BH192" s="409"/>
      <c r="BI192" s="266"/>
      <c r="BJ192" s="265"/>
    </row>
    <row r="193" spans="1:62" ht="13.95" customHeight="1">
      <c r="A193" s="265"/>
      <c r="B193" s="289"/>
      <c r="C193" s="289"/>
      <c r="D193" s="409"/>
      <c r="E193" s="409"/>
      <c r="F193" s="409"/>
      <c r="G193" s="409"/>
      <c r="H193" s="409"/>
      <c r="I193" s="409"/>
      <c r="J193" s="409"/>
      <c r="K193" s="409"/>
      <c r="L193" s="409"/>
      <c r="M193" s="409"/>
      <c r="N193" s="409"/>
      <c r="O193" s="409"/>
      <c r="P193" s="409"/>
      <c r="Q193" s="409"/>
      <c r="R193" s="409"/>
      <c r="S193" s="409"/>
      <c r="T193" s="409"/>
      <c r="U193" s="409"/>
      <c r="V193" s="409"/>
      <c r="W193" s="289"/>
      <c r="X193" s="334">
        <f>VLOOKUP(X191,rozdzial,3,0)</f>
        <v>7546070</v>
      </c>
      <c r="Y193" s="562">
        <f>VLOOKUP(X191,rozdzial,4,0)</f>
        <v>459</v>
      </c>
      <c r="Z193" s="13"/>
      <c r="AA193" s="486"/>
      <c r="AB193" s="570">
        <f>ROUNDUP(Obliczenia!V30*20/50,0)</f>
        <v>6</v>
      </c>
      <c r="AC193" s="13"/>
      <c r="AD193" s="507"/>
      <c r="AE193" s="503"/>
      <c r="AF193" s="342"/>
      <c r="AH193" s="334">
        <f>VLOOKUP(AH191,rozdzial,3,0)</f>
        <v>7546071</v>
      </c>
      <c r="AI193" s="562">
        <f>VLOOKUP(AH191,rozdzial,4,0)</f>
        <v>204</v>
      </c>
      <c r="AJ193" s="489"/>
      <c r="AK193" s="571">
        <v>4</v>
      </c>
      <c r="AL193" s="13"/>
      <c r="AM193" s="541"/>
      <c r="AN193" s="289"/>
      <c r="AO193" s="289"/>
      <c r="AP193" s="409"/>
      <c r="AQ193" s="409"/>
      <c r="AR193" s="409"/>
      <c r="AS193" s="409"/>
      <c r="AT193" s="409"/>
      <c r="AU193" s="409"/>
      <c r="AV193" s="409"/>
      <c r="AW193" s="409"/>
      <c r="AX193" s="409"/>
      <c r="AY193" s="409"/>
      <c r="AZ193" s="409"/>
      <c r="BA193" s="409"/>
      <c r="BB193" s="409"/>
      <c r="BC193" s="409"/>
      <c r="BD193" s="409"/>
      <c r="BE193" s="409"/>
      <c r="BF193" s="409"/>
      <c r="BG193" s="409"/>
      <c r="BH193" s="409"/>
      <c r="BI193" s="266"/>
      <c r="BJ193" s="265"/>
    </row>
    <row r="194" spans="1:62" ht="13.95" customHeight="1">
      <c r="A194" s="265"/>
      <c r="B194" s="289"/>
      <c r="C194" s="289"/>
      <c r="D194" s="409"/>
      <c r="E194" s="409"/>
      <c r="F194" s="409"/>
      <c r="G194" s="409"/>
      <c r="H194" s="409"/>
      <c r="I194" s="409"/>
      <c r="J194" s="409"/>
      <c r="K194" s="409"/>
      <c r="L194" s="409"/>
      <c r="M194" s="409"/>
      <c r="N194" s="409"/>
      <c r="O194" s="409"/>
      <c r="P194" s="409"/>
      <c r="Q194" s="409"/>
      <c r="R194" s="409"/>
      <c r="S194" s="409"/>
      <c r="T194" s="409"/>
      <c r="U194" s="409"/>
      <c r="V194" s="409"/>
      <c r="W194" s="289"/>
      <c r="X194" s="13"/>
      <c r="Y194" s="13"/>
      <c r="Z194" s="13"/>
      <c r="AA194" s="13"/>
      <c r="AB194" s="13"/>
      <c r="AC194" s="13"/>
      <c r="AD194" s="503"/>
      <c r="AE194" s="503"/>
      <c r="AF194" s="13"/>
      <c r="AH194" s="289"/>
      <c r="AI194" s="289"/>
      <c r="AJ194" s="289"/>
      <c r="AK194" s="289"/>
      <c r="AL194" s="289"/>
      <c r="AM194" s="289"/>
      <c r="AN194" s="289"/>
      <c r="AO194" s="289"/>
      <c r="AP194" s="409"/>
      <c r="AQ194" s="409"/>
      <c r="AR194" s="409"/>
      <c r="AS194" s="409"/>
      <c r="AT194" s="409"/>
      <c r="AU194" s="409"/>
      <c r="AV194" s="409"/>
      <c r="AW194" s="409"/>
      <c r="AX194" s="409"/>
      <c r="AY194" s="409"/>
      <c r="AZ194" s="409"/>
      <c r="BA194" s="409"/>
      <c r="BB194" s="409"/>
      <c r="BC194" s="409"/>
      <c r="BD194" s="409"/>
      <c r="BE194" s="409"/>
      <c r="BF194" s="409"/>
      <c r="BG194" s="409"/>
      <c r="BH194" s="409"/>
      <c r="BI194" s="266"/>
      <c r="BJ194" s="265"/>
    </row>
    <row r="195" spans="1:62">
      <c r="A195" s="265"/>
      <c r="B195" s="289"/>
      <c r="C195" s="289"/>
      <c r="D195" s="409"/>
      <c r="E195" s="409"/>
      <c r="F195" s="409"/>
      <c r="G195" s="409"/>
      <c r="H195" s="409"/>
      <c r="I195" s="409"/>
      <c r="J195" s="409"/>
      <c r="K195" s="409"/>
      <c r="L195" s="409"/>
      <c r="M195" s="409"/>
      <c r="N195" s="409"/>
      <c r="O195" s="409"/>
      <c r="P195" s="409"/>
      <c r="Q195" s="409"/>
      <c r="R195" s="409"/>
      <c r="S195" s="409"/>
      <c r="T195" s="409"/>
      <c r="U195" s="409"/>
      <c r="V195" s="409"/>
      <c r="W195" s="289"/>
      <c r="X195" s="289"/>
      <c r="Y195" s="289"/>
      <c r="Z195" s="289"/>
      <c r="AA195" s="289"/>
      <c r="AB195" s="289"/>
      <c r="AC195" s="289"/>
      <c r="AD195" s="506"/>
      <c r="AE195" s="506"/>
      <c r="AF195" s="289"/>
      <c r="AH195" s="289"/>
      <c r="AI195" s="289"/>
      <c r="AJ195" s="289"/>
      <c r="AK195" s="289"/>
      <c r="AL195" s="289"/>
      <c r="AM195" s="289"/>
      <c r="AN195" s="289"/>
      <c r="AO195" s="289"/>
      <c r="AP195" s="409"/>
      <c r="AQ195" s="409"/>
      <c r="AR195" s="409"/>
      <c r="AS195" s="409"/>
      <c r="AT195" s="409"/>
      <c r="AU195" s="409"/>
      <c r="AV195" s="409"/>
      <c r="AW195" s="409"/>
      <c r="AX195" s="409"/>
      <c r="AY195" s="409"/>
      <c r="AZ195" s="409"/>
      <c r="BA195" s="409"/>
      <c r="BB195" s="409"/>
      <c r="BC195" s="409"/>
      <c r="BD195" s="409"/>
      <c r="BE195" s="409"/>
      <c r="BF195" s="409"/>
      <c r="BG195" s="409"/>
      <c r="BH195" s="409"/>
      <c r="BI195" s="266"/>
      <c r="BJ195" s="265"/>
    </row>
    <row r="196" spans="1:62" ht="13.95" customHeight="1">
      <c r="A196" s="265"/>
      <c r="B196" s="289"/>
      <c r="C196" s="289"/>
      <c r="D196" s="409"/>
      <c r="E196" s="409"/>
      <c r="F196" s="409"/>
      <c r="G196" s="409"/>
      <c r="H196" s="409"/>
      <c r="I196" s="409"/>
      <c r="J196" s="409"/>
      <c r="K196" s="409"/>
      <c r="L196" s="409"/>
      <c r="M196" s="409"/>
      <c r="N196" s="409"/>
      <c r="O196" s="409"/>
      <c r="P196" s="409"/>
      <c r="Q196" s="409"/>
      <c r="R196" s="409"/>
      <c r="S196" s="409"/>
      <c r="T196" s="409"/>
      <c r="U196" s="409"/>
      <c r="V196" s="409"/>
      <c r="W196" s="289"/>
      <c r="X196" s="496" t="s">
        <v>405</v>
      </c>
      <c r="Y196" s="13"/>
      <c r="Z196" s="13"/>
      <c r="AA196" s="13"/>
      <c r="AB196" s="13"/>
      <c r="AC196" s="763">
        <v>2</v>
      </c>
      <c r="AD196" s="762">
        <f>VLOOKUP(X196,rozdzial,4,0)*AC196*(1-$AM$236/100)</f>
        <v>616</v>
      </c>
      <c r="AE196" s="762"/>
      <c r="AF196" s="282"/>
      <c r="AH196" s="496" t="str">
        <f>IF(Obliczenia!N57="Vitovent 300-W 325m3/h lewa","Mufa/redukcja 200/150",IF(Obliczenia!N57="Vitovent 300-W 325m3/h prawa","Mufa/redukcja 200/150",IF(Obliczenia!N57="Vitovent 300-W 400m3/h lewa","Mufa/redukcja 200/180",IF(Obliczenia!N57="Vitovent 300-W 400m3/h prawa","Mufa/redukcja 200/180",IF(Obliczenia!N57="Vitovent 300-W 225m3/h lewa","Mufa/redukcja 200/125",IF(Obliczenia!N57="Vitovent 300-W 225m3/h prawa","Mufa/redukcja 200/125","Mufa/redukcja 200/150"))))))</f>
        <v>Mufa/redukcja 200/150</v>
      </c>
      <c r="AI196" s="13"/>
      <c r="AJ196" s="13"/>
      <c r="AK196" s="13"/>
      <c r="AL196" s="763">
        <v>4</v>
      </c>
      <c r="AM196" s="762">
        <f>VLOOKUP(AH196,rozdzial,4,0)*AL196*(1-$AM$236/100)</f>
        <v>336</v>
      </c>
      <c r="AN196" s="762"/>
      <c r="AO196" s="289"/>
      <c r="AP196" s="409"/>
      <c r="AQ196" s="409"/>
      <c r="AR196" s="409"/>
      <c r="AS196" s="409"/>
      <c r="AT196" s="409"/>
      <c r="AU196" s="409"/>
      <c r="AV196" s="409"/>
      <c r="AW196" s="409"/>
      <c r="AX196" s="409"/>
      <c r="AY196" s="409"/>
      <c r="AZ196" s="409"/>
      <c r="BA196" s="409"/>
      <c r="BB196" s="409"/>
      <c r="BC196" s="409"/>
      <c r="BD196" s="409"/>
      <c r="BE196" s="409"/>
      <c r="BF196" s="409"/>
      <c r="BG196" s="409"/>
      <c r="BH196" s="409"/>
      <c r="BI196" s="266"/>
      <c r="BJ196" s="265"/>
    </row>
    <row r="197" spans="1:62" ht="13.95" customHeight="1">
      <c r="A197" s="265"/>
      <c r="B197" s="289"/>
      <c r="C197" s="289"/>
      <c r="D197" s="409"/>
      <c r="E197" s="409"/>
      <c r="F197" s="409"/>
      <c r="G197" s="409"/>
      <c r="H197" s="409"/>
      <c r="I197" s="409"/>
      <c r="J197" s="409"/>
      <c r="K197" s="409"/>
      <c r="L197" s="409"/>
      <c r="M197" s="409"/>
      <c r="N197" s="409"/>
      <c r="O197" s="409"/>
      <c r="P197" s="409"/>
      <c r="Q197" s="409"/>
      <c r="R197" s="409"/>
      <c r="S197" s="409"/>
      <c r="T197" s="409"/>
      <c r="U197" s="409"/>
      <c r="V197" s="409"/>
      <c r="W197" s="289"/>
      <c r="X197" s="490" t="s">
        <v>475</v>
      </c>
      <c r="Y197" s="488"/>
      <c r="Z197" s="488"/>
      <c r="AA197" s="488"/>
      <c r="AB197" s="488"/>
      <c r="AC197" s="763"/>
      <c r="AD197" s="502"/>
      <c r="AE197" s="503"/>
      <c r="AF197" s="340"/>
      <c r="AH197" s="490" t="s">
        <v>476</v>
      </c>
      <c r="AI197" s="488"/>
      <c r="AJ197" s="488"/>
      <c r="AK197" s="488"/>
      <c r="AL197" s="763"/>
      <c r="AM197" s="289"/>
      <c r="AN197" s="289"/>
      <c r="AO197" s="289"/>
      <c r="AP197" s="409"/>
      <c r="AQ197" s="409"/>
      <c r="AR197" s="409"/>
      <c r="AS197" s="409"/>
      <c r="AT197" s="409"/>
      <c r="AU197" s="409"/>
      <c r="AV197" s="409"/>
      <c r="AW197" s="409"/>
      <c r="AX197" s="409"/>
      <c r="AY197" s="409"/>
      <c r="AZ197" s="409"/>
      <c r="BA197" s="409"/>
      <c r="BB197" s="409"/>
      <c r="BC197" s="409"/>
      <c r="BD197" s="409"/>
      <c r="BE197" s="409"/>
      <c r="BF197" s="409"/>
      <c r="BG197" s="409"/>
      <c r="BH197" s="409"/>
      <c r="BI197" s="266"/>
      <c r="BJ197" s="265"/>
    </row>
    <row r="198" spans="1:62" ht="13.95" customHeight="1">
      <c r="A198" s="265"/>
      <c r="B198" s="289"/>
      <c r="C198" s="289"/>
      <c r="D198" s="409"/>
      <c r="E198" s="409"/>
      <c r="F198" s="409"/>
      <c r="G198" s="409"/>
      <c r="H198" s="409"/>
      <c r="I198" s="409"/>
      <c r="J198" s="409"/>
      <c r="K198" s="409"/>
      <c r="L198" s="409"/>
      <c r="M198" s="409"/>
      <c r="N198" s="409"/>
      <c r="O198" s="409"/>
      <c r="P198" s="409"/>
      <c r="Q198" s="409"/>
      <c r="R198" s="409"/>
      <c r="S198" s="409"/>
      <c r="T198" s="409"/>
      <c r="U198" s="409"/>
      <c r="V198" s="409"/>
      <c r="W198" s="289"/>
      <c r="X198" s="334">
        <f>VLOOKUP(X196,rozdzial,3,0)</f>
        <v>7663729</v>
      </c>
      <c r="Y198" s="562">
        <f>VLOOKUP(X196,rozdzial,4,0)</f>
        <v>308</v>
      </c>
      <c r="Z198" s="13"/>
      <c r="AA198" s="486"/>
      <c r="AB198" s="487"/>
      <c r="AC198" s="13"/>
      <c r="AD198" s="507"/>
      <c r="AE198" s="503"/>
      <c r="AF198" s="342"/>
      <c r="AH198" s="334">
        <f>VLOOKUP(AH196,rozdzial,3,0)</f>
        <v>7546075</v>
      </c>
      <c r="AI198" s="562">
        <f>VLOOKUP(AH196,rozdzial,4,0)</f>
        <v>84</v>
      </c>
      <c r="AJ198" s="13"/>
      <c r="AK198" s="486"/>
      <c r="AL198" s="13"/>
      <c r="AM198" s="289"/>
      <c r="AN198" s="289"/>
      <c r="AO198" s="289"/>
      <c r="AP198" s="409"/>
      <c r="AQ198" s="409"/>
      <c r="AR198" s="409"/>
      <c r="AS198" s="409"/>
      <c r="AT198" s="409"/>
      <c r="AU198" s="409"/>
      <c r="AV198" s="409"/>
      <c r="AW198" s="409"/>
      <c r="AX198" s="409"/>
      <c r="AY198" s="409"/>
      <c r="AZ198" s="409"/>
      <c r="BA198" s="409"/>
      <c r="BB198" s="409"/>
      <c r="BC198" s="409"/>
      <c r="BD198" s="409"/>
      <c r="BE198" s="409"/>
      <c r="BF198" s="409"/>
      <c r="BG198" s="409"/>
      <c r="BH198" s="409"/>
      <c r="BI198" s="266"/>
      <c r="BJ198" s="265"/>
    </row>
    <row r="199" spans="1:62" ht="13.95" customHeight="1">
      <c r="A199" s="265"/>
      <c r="B199" s="289"/>
      <c r="C199" s="289"/>
      <c r="D199" s="409"/>
      <c r="E199" s="409"/>
      <c r="F199" s="409"/>
      <c r="G199" s="409"/>
      <c r="H199" s="409"/>
      <c r="I199" s="409"/>
      <c r="J199" s="409"/>
      <c r="K199" s="409"/>
      <c r="L199" s="409"/>
      <c r="M199" s="409"/>
      <c r="N199" s="409"/>
      <c r="O199" s="409"/>
      <c r="P199" s="409"/>
      <c r="Q199" s="409"/>
      <c r="R199" s="409"/>
      <c r="S199" s="409"/>
      <c r="T199" s="409"/>
      <c r="U199" s="409"/>
      <c r="V199" s="409"/>
      <c r="W199" s="289"/>
      <c r="X199" s="13"/>
      <c r="Y199" s="13"/>
      <c r="Z199" s="13"/>
      <c r="AA199" s="13"/>
      <c r="AB199" s="13"/>
      <c r="AC199" s="13"/>
      <c r="AD199" s="503"/>
      <c r="AE199" s="503"/>
      <c r="AF199" s="13"/>
      <c r="AH199" s="289"/>
      <c r="AI199" s="289"/>
      <c r="AJ199" s="289"/>
      <c r="AK199" s="289"/>
      <c r="AL199" s="289"/>
      <c r="AM199" s="289"/>
      <c r="AN199" s="289"/>
      <c r="AO199" s="289"/>
      <c r="AP199" s="409"/>
      <c r="AQ199" s="409"/>
      <c r="AR199" s="409"/>
      <c r="AS199" s="409"/>
      <c r="AT199" s="409"/>
      <c r="AU199" s="409"/>
      <c r="AV199" s="409"/>
      <c r="AW199" s="409"/>
      <c r="AX199" s="409"/>
      <c r="AY199" s="409"/>
      <c r="AZ199" s="409"/>
      <c r="BA199" s="409"/>
      <c r="BB199" s="409"/>
      <c r="BC199" s="409"/>
      <c r="BD199" s="409"/>
      <c r="BE199" s="409"/>
      <c r="BF199" s="409"/>
      <c r="BG199" s="409"/>
      <c r="BH199" s="409"/>
      <c r="BI199" s="266"/>
      <c r="BJ199" s="265"/>
    </row>
    <row r="200" spans="1:62" hidden="1">
      <c r="A200" s="265"/>
      <c r="B200" s="289"/>
      <c r="C200" s="289"/>
      <c r="D200" s="409"/>
      <c r="E200" s="409"/>
      <c r="F200" s="409"/>
      <c r="G200" s="409"/>
      <c r="H200" s="409"/>
      <c r="I200" s="409"/>
      <c r="J200" s="409"/>
      <c r="K200" s="409"/>
      <c r="L200" s="409"/>
      <c r="M200" s="409"/>
      <c r="N200" s="409"/>
      <c r="O200" s="409"/>
      <c r="P200" s="409"/>
      <c r="Q200" s="409"/>
      <c r="R200" s="409"/>
      <c r="S200" s="409"/>
      <c r="T200" s="409"/>
      <c r="U200" s="409"/>
      <c r="V200" s="409"/>
      <c r="W200" s="289"/>
      <c r="X200" s="289"/>
      <c r="Y200" s="289"/>
      <c r="Z200" s="289"/>
      <c r="AA200" s="289"/>
      <c r="AB200" s="289"/>
      <c r="AC200" s="289"/>
      <c r="AD200" s="506"/>
      <c r="AE200" s="506"/>
      <c r="AF200" s="289"/>
      <c r="AH200" s="289"/>
      <c r="AI200" s="289"/>
      <c r="AJ200" s="289"/>
      <c r="AK200" s="289"/>
      <c r="AL200" s="289"/>
      <c r="AM200" s="289"/>
      <c r="AN200" s="289"/>
      <c r="AO200" s="289"/>
      <c r="AP200" s="409"/>
      <c r="AQ200" s="409"/>
      <c r="AR200" s="409"/>
      <c r="AS200" s="409"/>
      <c r="AT200" s="409"/>
      <c r="AU200" s="409"/>
      <c r="AV200" s="409"/>
      <c r="AW200" s="409"/>
      <c r="AX200" s="409"/>
      <c r="AY200" s="409"/>
      <c r="AZ200" s="409"/>
      <c r="BA200" s="409"/>
      <c r="BB200" s="409"/>
      <c r="BC200" s="409"/>
      <c r="BD200" s="409"/>
      <c r="BE200" s="409"/>
      <c r="BF200" s="409"/>
      <c r="BG200" s="409"/>
      <c r="BH200" s="409"/>
      <c r="BI200" s="266"/>
      <c r="BJ200" s="265"/>
    </row>
    <row r="201" spans="1:62" ht="13.95" hidden="1" customHeight="1">
      <c r="A201" s="265"/>
      <c r="B201" s="289"/>
      <c r="C201" s="289"/>
      <c r="D201" s="409"/>
      <c r="E201" s="409"/>
      <c r="F201" s="409"/>
      <c r="G201" s="409"/>
      <c r="H201" s="409"/>
      <c r="I201" s="409"/>
      <c r="J201" s="409"/>
      <c r="K201" s="409"/>
      <c r="L201" s="409"/>
      <c r="M201" s="409"/>
      <c r="N201" s="409"/>
      <c r="O201" s="409"/>
      <c r="P201" s="409"/>
      <c r="Q201" s="409"/>
      <c r="R201" s="409"/>
      <c r="S201" s="409"/>
      <c r="T201" s="409"/>
      <c r="U201" s="409"/>
      <c r="V201" s="409"/>
      <c r="W201" s="289"/>
      <c r="AC201" s="786"/>
      <c r="AD201" s="785"/>
      <c r="AE201" s="785"/>
      <c r="AF201" s="282"/>
      <c r="AH201" s="289"/>
      <c r="AI201" s="289"/>
      <c r="AJ201" s="289"/>
      <c r="AK201" s="289"/>
      <c r="AL201" s="289"/>
      <c r="AM201" s="289"/>
      <c r="AN201" s="289"/>
      <c r="AO201" s="289"/>
      <c r="AP201" s="409"/>
      <c r="AQ201" s="409"/>
      <c r="AR201" s="409"/>
      <c r="AS201" s="409"/>
      <c r="AT201" s="409"/>
      <c r="AU201" s="409"/>
      <c r="AV201" s="409"/>
      <c r="AW201" s="409"/>
      <c r="AX201" s="409"/>
      <c r="AY201" s="409"/>
      <c r="AZ201" s="409"/>
      <c r="BA201" s="409"/>
      <c r="BB201" s="409"/>
      <c r="BC201" s="409"/>
      <c r="BD201" s="409"/>
      <c r="BE201" s="409"/>
      <c r="BF201" s="409"/>
      <c r="BG201" s="409"/>
      <c r="BH201" s="409"/>
      <c r="BI201" s="266"/>
      <c r="BJ201" s="265"/>
    </row>
    <row r="202" spans="1:62" ht="13.95" hidden="1" customHeight="1">
      <c r="A202" s="265"/>
      <c r="B202" s="289"/>
      <c r="C202" s="289"/>
      <c r="D202" s="409"/>
      <c r="E202" s="409"/>
      <c r="F202" s="409"/>
      <c r="G202" s="409"/>
      <c r="H202" s="409"/>
      <c r="I202" s="409"/>
      <c r="J202" s="409"/>
      <c r="K202" s="409"/>
      <c r="L202" s="409"/>
      <c r="M202" s="409"/>
      <c r="N202" s="409"/>
      <c r="O202" s="409"/>
      <c r="P202" s="409"/>
      <c r="Q202" s="409"/>
      <c r="R202" s="409"/>
      <c r="S202" s="409"/>
      <c r="T202" s="409"/>
      <c r="U202" s="409"/>
      <c r="V202" s="409"/>
      <c r="W202" s="289"/>
      <c r="X202" s="542"/>
      <c r="Y202" s="543"/>
      <c r="Z202" s="543"/>
      <c r="AA202" s="543"/>
      <c r="AB202" s="543"/>
      <c r="AC202" s="786"/>
      <c r="AD202" s="502"/>
      <c r="AE202" s="502"/>
      <c r="AF202" s="340"/>
      <c r="AH202" s="289"/>
      <c r="AI202" s="289"/>
      <c r="AJ202" s="289"/>
      <c r="AK202" s="289"/>
      <c r="AL202" s="289"/>
      <c r="AM202" s="289"/>
      <c r="AN202" s="289"/>
      <c r="AO202" s="289"/>
      <c r="AP202" s="409"/>
      <c r="AQ202" s="409"/>
      <c r="AR202" s="409"/>
      <c r="AS202" s="409"/>
      <c r="AT202" s="409"/>
      <c r="AU202" s="409"/>
      <c r="AV202" s="409"/>
      <c r="AW202" s="409"/>
      <c r="AX202" s="409"/>
      <c r="AY202" s="409"/>
      <c r="AZ202" s="409"/>
      <c r="BA202" s="409"/>
      <c r="BB202" s="409"/>
      <c r="BC202" s="409"/>
      <c r="BD202" s="409"/>
      <c r="BE202" s="409"/>
      <c r="BF202" s="409"/>
      <c r="BG202" s="409"/>
      <c r="BH202" s="409"/>
      <c r="BI202" s="266"/>
      <c r="BJ202" s="265"/>
    </row>
    <row r="203" spans="1:62" ht="13.95" hidden="1" customHeight="1">
      <c r="A203" s="265"/>
      <c r="B203" s="289"/>
      <c r="C203" s="289"/>
      <c r="D203" s="409"/>
      <c r="E203" s="409"/>
      <c r="F203" s="409"/>
      <c r="G203" s="409"/>
      <c r="H203" s="409"/>
      <c r="I203" s="409"/>
      <c r="J203" s="409"/>
      <c r="K203" s="409"/>
      <c r="L203" s="409"/>
      <c r="M203" s="409"/>
      <c r="N203" s="409"/>
      <c r="O203" s="409"/>
      <c r="P203" s="409"/>
      <c r="Q203" s="409"/>
      <c r="R203" s="409"/>
      <c r="S203" s="409"/>
      <c r="T203" s="409"/>
      <c r="U203" s="409"/>
      <c r="V203" s="409"/>
      <c r="W203" s="289"/>
      <c r="X203" s="544"/>
      <c r="AA203" s="545"/>
      <c r="AB203" s="546"/>
      <c r="AD203" s="547"/>
      <c r="AE203" s="502"/>
      <c r="AF203" s="342"/>
      <c r="AH203" s="289"/>
      <c r="AI203" s="289"/>
      <c r="AJ203" s="289"/>
      <c r="AK203" s="289"/>
      <c r="AL203" s="289"/>
      <c r="AM203" s="289"/>
      <c r="AN203" s="289"/>
      <c r="AO203" s="289"/>
      <c r="AP203" s="409"/>
      <c r="AQ203" s="409"/>
      <c r="AR203" s="409"/>
      <c r="AS203" s="409"/>
      <c r="AT203" s="409"/>
      <c r="AU203" s="409"/>
      <c r="AV203" s="409"/>
      <c r="AW203" s="409"/>
      <c r="AX203" s="409"/>
      <c r="AY203" s="409"/>
      <c r="AZ203" s="409"/>
      <c r="BA203" s="409"/>
      <c r="BB203" s="409"/>
      <c r="BC203" s="409"/>
      <c r="BD203" s="409"/>
      <c r="BE203" s="409"/>
      <c r="BF203" s="409"/>
      <c r="BG203" s="409"/>
      <c r="BH203" s="409"/>
      <c r="BI203" s="266"/>
      <c r="BJ203" s="265"/>
    </row>
    <row r="204" spans="1:62" ht="13.95" hidden="1" customHeight="1">
      <c r="A204" s="265"/>
      <c r="B204" s="289"/>
      <c r="C204" s="289"/>
      <c r="D204" s="409"/>
      <c r="E204" s="409"/>
      <c r="F204" s="409"/>
      <c r="G204" s="409"/>
      <c r="H204" s="409"/>
      <c r="I204" s="409"/>
      <c r="J204" s="409"/>
      <c r="K204" s="409"/>
      <c r="L204" s="409"/>
      <c r="M204" s="409"/>
      <c r="N204" s="409"/>
      <c r="O204" s="409"/>
      <c r="P204" s="409"/>
      <c r="Q204" s="409"/>
      <c r="R204" s="409"/>
      <c r="S204" s="409"/>
      <c r="T204" s="409"/>
      <c r="U204" s="409"/>
      <c r="V204" s="409"/>
      <c r="W204" s="289"/>
      <c r="X204" s="13"/>
      <c r="Y204" s="13"/>
      <c r="Z204" s="13"/>
      <c r="AA204" s="13"/>
      <c r="AB204" s="13"/>
      <c r="AC204" s="13"/>
      <c r="AD204" s="503"/>
      <c r="AE204" s="503"/>
      <c r="AF204" s="13"/>
      <c r="AH204" s="289"/>
      <c r="AI204" s="289"/>
      <c r="AJ204" s="289"/>
      <c r="AK204" s="289"/>
      <c r="AL204" s="289"/>
      <c r="AM204" s="289"/>
      <c r="AN204" s="289"/>
      <c r="AO204" s="289"/>
      <c r="AP204" s="409"/>
      <c r="AQ204" s="409"/>
      <c r="AR204" s="409"/>
      <c r="AS204" s="409"/>
      <c r="AT204" s="409"/>
      <c r="AU204" s="409"/>
      <c r="AV204" s="409"/>
      <c r="AW204" s="409"/>
      <c r="AX204" s="409"/>
      <c r="AY204" s="409"/>
      <c r="AZ204" s="409"/>
      <c r="BA204" s="409"/>
      <c r="BB204" s="409"/>
      <c r="BC204" s="409"/>
      <c r="BD204" s="409"/>
      <c r="BE204" s="409"/>
      <c r="BF204" s="409"/>
      <c r="BG204" s="409"/>
      <c r="BH204" s="409"/>
      <c r="BI204" s="266"/>
      <c r="BJ204" s="265"/>
    </row>
    <row r="205" spans="1:62">
      <c r="A205" s="265"/>
      <c r="B205" s="289"/>
      <c r="C205" s="289"/>
      <c r="D205" s="409"/>
      <c r="E205" s="409"/>
      <c r="F205" s="409"/>
      <c r="G205" s="409"/>
      <c r="H205" s="409"/>
      <c r="I205" s="409"/>
      <c r="J205" s="409"/>
      <c r="K205" s="409"/>
      <c r="L205" s="409"/>
      <c r="M205" s="409"/>
      <c r="N205" s="409"/>
      <c r="O205" s="409"/>
      <c r="P205" s="409"/>
      <c r="Q205" s="409"/>
      <c r="R205" s="409"/>
      <c r="S205" s="409"/>
      <c r="T205" s="409"/>
      <c r="U205" s="409"/>
      <c r="V205" s="409"/>
      <c r="W205" s="289"/>
      <c r="X205" s="289"/>
      <c r="Y205" s="289"/>
      <c r="Z205" s="289"/>
      <c r="AA205" s="289"/>
      <c r="AB205" s="289"/>
      <c r="AC205" s="289"/>
      <c r="AD205" s="506"/>
      <c r="AE205" s="506"/>
      <c r="AF205" s="289"/>
      <c r="AH205" s="289"/>
      <c r="AI205" s="289"/>
      <c r="AJ205" s="289"/>
      <c r="AK205" s="289"/>
      <c r="AL205" s="289"/>
      <c r="AM205" s="289"/>
      <c r="AN205" s="289"/>
      <c r="AO205" s="289"/>
      <c r="AP205" s="409"/>
      <c r="AQ205" s="409"/>
      <c r="AR205" s="409"/>
      <c r="AS205" s="409"/>
      <c r="AT205" s="409"/>
      <c r="AU205" s="409"/>
      <c r="AV205" s="409"/>
      <c r="AW205" s="409"/>
      <c r="AX205" s="409"/>
      <c r="AY205" s="409"/>
      <c r="AZ205" s="409"/>
      <c r="BA205" s="409"/>
      <c r="BB205" s="409"/>
      <c r="BC205" s="409"/>
      <c r="BD205" s="409"/>
      <c r="BE205" s="409"/>
      <c r="BF205" s="409"/>
      <c r="BG205" s="409"/>
      <c r="BH205" s="409"/>
      <c r="BI205" s="266"/>
      <c r="BJ205" s="265"/>
    </row>
    <row r="206" spans="1:62" ht="14.4" customHeight="1">
      <c r="A206" s="265"/>
      <c r="B206" s="289"/>
      <c r="C206" s="289"/>
      <c r="D206" s="409"/>
      <c r="E206" s="409"/>
      <c r="F206" s="409"/>
      <c r="G206" s="409"/>
      <c r="H206" s="409"/>
      <c r="I206" s="409"/>
      <c r="J206" s="409"/>
      <c r="K206" s="409"/>
      <c r="L206" s="409"/>
      <c r="M206" s="409"/>
      <c r="N206" s="409"/>
      <c r="O206" s="409"/>
      <c r="P206" s="409"/>
      <c r="Q206" s="409"/>
      <c r="R206" s="409"/>
      <c r="S206" s="409"/>
      <c r="T206" s="409"/>
      <c r="U206" s="409"/>
      <c r="V206" s="409"/>
      <c r="W206" s="746" t="s">
        <v>406</v>
      </c>
      <c r="X206" s="746"/>
      <c r="Y206" s="746"/>
      <c r="Z206" s="746"/>
      <c r="AA206" s="746"/>
      <c r="AB206" s="289"/>
      <c r="AC206" s="289"/>
      <c r="AD206" s="506"/>
      <c r="AE206" s="506"/>
      <c r="AF206" s="289"/>
      <c r="AG206" s="289"/>
      <c r="AH206" s="289"/>
      <c r="AI206" s="289"/>
      <c r="AJ206" s="289"/>
      <c r="AK206" s="289"/>
      <c r="AL206" s="289"/>
      <c r="AM206" s="289"/>
      <c r="AN206" s="289"/>
      <c r="AO206" s="289"/>
      <c r="AP206" s="409"/>
      <c r="AQ206" s="409"/>
      <c r="AR206" s="409"/>
      <c r="AS206" s="409"/>
      <c r="AT206" s="409"/>
      <c r="AU206" s="409"/>
      <c r="AV206" s="409"/>
      <c r="AW206" s="409"/>
      <c r="AX206" s="409"/>
      <c r="AY206" s="409"/>
      <c r="AZ206" s="409"/>
      <c r="BA206" s="409"/>
      <c r="BB206" s="409"/>
      <c r="BC206" s="409"/>
      <c r="BD206" s="409"/>
      <c r="BE206" s="409"/>
      <c r="BF206" s="409"/>
      <c r="BG206" s="409"/>
      <c r="BH206" s="409"/>
      <c r="BI206" s="266"/>
      <c r="BJ206" s="265"/>
    </row>
    <row r="207" spans="1:62" ht="14.4" customHeight="1">
      <c r="A207" s="265"/>
      <c r="B207" s="289"/>
      <c r="C207" s="289"/>
      <c r="D207" s="409"/>
      <c r="E207" s="409"/>
      <c r="F207" s="409"/>
      <c r="G207" s="409"/>
      <c r="H207" s="409"/>
      <c r="I207" s="409"/>
      <c r="J207" s="409"/>
      <c r="K207" s="409"/>
      <c r="L207" s="409"/>
      <c r="M207" s="409"/>
      <c r="N207" s="409"/>
      <c r="O207" s="409"/>
      <c r="P207" s="409"/>
      <c r="Q207" s="409"/>
      <c r="R207" s="409"/>
      <c r="S207" s="409"/>
      <c r="T207" s="409"/>
      <c r="U207" s="409"/>
      <c r="V207" s="409"/>
      <c r="W207" s="771"/>
      <c r="X207" s="771"/>
      <c r="Y207" s="771"/>
      <c r="Z207" s="771"/>
      <c r="AA207" s="771"/>
      <c r="AB207" s="296"/>
      <c r="AC207" s="296"/>
      <c r="AD207" s="508"/>
      <c r="AE207" s="508"/>
      <c r="AF207" s="296"/>
      <c r="AG207" s="296"/>
      <c r="AH207" s="296"/>
      <c r="AI207" s="296"/>
      <c r="AJ207" s="296"/>
      <c r="AK207" s="296"/>
      <c r="AL207" s="296"/>
      <c r="AM207" s="296"/>
      <c r="AN207" s="296"/>
      <c r="AO207" s="296"/>
      <c r="AP207" s="510"/>
      <c r="AQ207" s="510"/>
      <c r="AR207" s="510"/>
      <c r="AS207" s="510"/>
      <c r="AT207" s="510"/>
      <c r="AU207" s="510"/>
      <c r="AV207" s="510"/>
      <c r="AW207" s="510"/>
      <c r="AX207" s="510"/>
      <c r="AY207" s="510"/>
      <c r="AZ207" s="510"/>
      <c r="BA207" s="510"/>
      <c r="BB207" s="510"/>
      <c r="BC207" s="510"/>
      <c r="BD207" s="510"/>
      <c r="BE207" s="409"/>
      <c r="BF207" s="409"/>
      <c r="BG207" s="409"/>
      <c r="BH207" s="409"/>
      <c r="BI207" s="266"/>
      <c r="BJ207" s="265"/>
    </row>
    <row r="208" spans="1:62" ht="14.4" customHeight="1">
      <c r="A208" s="265"/>
      <c r="B208" s="289"/>
      <c r="C208" s="289"/>
      <c r="D208" s="409"/>
      <c r="E208" s="409"/>
      <c r="F208" s="409"/>
      <c r="G208" s="409"/>
      <c r="H208" s="409"/>
      <c r="I208" s="409"/>
      <c r="J208" s="409"/>
      <c r="K208" s="409"/>
      <c r="L208" s="409"/>
      <c r="M208" s="409"/>
      <c r="N208" s="409"/>
      <c r="O208" s="409"/>
      <c r="P208" s="409"/>
      <c r="Q208" s="409"/>
      <c r="R208" s="409"/>
      <c r="S208" s="409"/>
      <c r="T208" s="409"/>
      <c r="U208" s="409"/>
      <c r="V208" s="409"/>
      <c r="W208" s="425"/>
      <c r="X208" s="425"/>
      <c r="Y208" s="425"/>
      <c r="Z208" s="425"/>
      <c r="AA208" s="289"/>
      <c r="AB208" s="289"/>
      <c r="AC208" s="289"/>
      <c r="AD208" s="506"/>
      <c r="AE208" s="506"/>
      <c r="AF208" s="289"/>
      <c r="AG208" s="289"/>
      <c r="AH208" s="289"/>
      <c r="AI208" s="289"/>
      <c r="AJ208" s="289"/>
      <c r="AK208" s="289"/>
      <c r="AL208" s="289"/>
      <c r="AM208" s="289"/>
      <c r="AN208" s="289"/>
      <c r="AO208" s="289"/>
      <c r="AP208" s="409"/>
      <c r="AQ208" s="409"/>
      <c r="AR208" s="409"/>
      <c r="AS208" s="409"/>
      <c r="AT208" s="409"/>
      <c r="AU208" s="409"/>
      <c r="AV208" s="409"/>
      <c r="AW208" s="409"/>
      <c r="AX208" s="409"/>
      <c r="AY208" s="409"/>
      <c r="AZ208" s="409"/>
      <c r="BA208" s="409"/>
      <c r="BB208" s="409"/>
      <c r="BC208" s="409"/>
      <c r="BD208" s="409"/>
      <c r="BE208" s="409"/>
      <c r="BF208" s="409"/>
      <c r="BG208" s="409"/>
      <c r="BH208" s="409"/>
      <c r="BI208" s="266"/>
      <c r="BJ208" s="265"/>
    </row>
    <row r="209" spans="1:62">
      <c r="A209" s="265"/>
      <c r="B209" s="289"/>
      <c r="C209" s="289"/>
      <c r="D209" s="409"/>
      <c r="E209" s="409"/>
      <c r="F209" s="409"/>
      <c r="G209" s="409"/>
      <c r="H209" s="409"/>
      <c r="I209" s="409"/>
      <c r="J209" s="409"/>
      <c r="K209" s="409"/>
      <c r="L209" s="409"/>
      <c r="M209" s="409"/>
      <c r="N209" s="409"/>
      <c r="O209" s="409"/>
      <c r="P209" s="409"/>
      <c r="Q209" s="409"/>
      <c r="R209" s="409"/>
      <c r="S209" s="409"/>
      <c r="T209" s="409"/>
      <c r="U209" s="409"/>
      <c r="V209" s="409"/>
      <c r="W209" s="289"/>
      <c r="X209" s="289"/>
      <c r="Y209" s="289"/>
      <c r="Z209" s="289"/>
      <c r="AA209" s="289"/>
      <c r="AB209" s="289"/>
      <c r="AC209" s="289"/>
      <c r="AD209" s="506"/>
      <c r="AE209" s="506"/>
      <c r="AF209" s="289"/>
      <c r="AH209" s="289"/>
      <c r="AI209" s="289"/>
      <c r="AJ209" s="289"/>
      <c r="AK209" s="289"/>
      <c r="AL209" s="289"/>
      <c r="AM209" s="289"/>
      <c r="AN209" s="289"/>
      <c r="AO209" s="289"/>
      <c r="AP209" s="409"/>
      <c r="AQ209" s="409"/>
      <c r="AR209" s="409"/>
      <c r="AS209" s="409"/>
      <c r="AT209" s="409"/>
      <c r="AU209" s="409"/>
      <c r="AV209" s="409"/>
      <c r="AW209" s="409"/>
      <c r="AX209" s="409"/>
      <c r="AY209" s="409"/>
      <c r="AZ209" s="409"/>
      <c r="BA209" s="409"/>
      <c r="BB209" s="409"/>
      <c r="BC209" s="409"/>
      <c r="BD209" s="409"/>
      <c r="BE209" s="409"/>
      <c r="BF209" s="409"/>
      <c r="BG209" s="409"/>
      <c r="BH209" s="409"/>
      <c r="BI209" s="266"/>
      <c r="BJ209" s="265"/>
    </row>
    <row r="210" spans="1:62" ht="13.95" customHeight="1">
      <c r="A210" s="265"/>
      <c r="B210" s="289"/>
      <c r="C210" s="289"/>
      <c r="D210" s="409"/>
      <c r="E210" s="409"/>
      <c r="F210" s="409"/>
      <c r="G210" s="409"/>
      <c r="H210" s="409"/>
      <c r="I210" s="409"/>
      <c r="J210" s="409"/>
      <c r="K210" s="409"/>
      <c r="L210" s="409"/>
      <c r="M210" s="409"/>
      <c r="N210" s="409"/>
      <c r="O210" s="409"/>
      <c r="P210" s="409"/>
      <c r="Q210" s="409"/>
      <c r="R210" s="409"/>
      <c r="S210" s="409"/>
      <c r="T210" s="409"/>
      <c r="U210" s="409"/>
      <c r="V210" s="409"/>
      <c r="W210" s="289"/>
      <c r="X210" s="496" t="s">
        <v>52</v>
      </c>
      <c r="Y210" s="13"/>
      <c r="Z210" s="13"/>
      <c r="AA210" s="13"/>
      <c r="AB210" s="13"/>
      <c r="AC210" s="763">
        <v>0</v>
      </c>
      <c r="AD210" s="762">
        <f>VLOOKUP(X210,rozdzial,4,0)*AC210*(1-$AM$236/100)</f>
        <v>0</v>
      </c>
      <c r="AE210" s="762"/>
      <c r="AF210" s="282"/>
      <c r="AH210" s="496" t="s">
        <v>51</v>
      </c>
      <c r="AI210" s="13"/>
      <c r="AJ210" s="13"/>
      <c r="AK210" s="13"/>
      <c r="AL210" s="763">
        <v>0</v>
      </c>
      <c r="AM210" s="762">
        <f>VLOOKUP(AH210,rozdzial,4,0)*AL210*(1-$AM$236/100)</f>
        <v>0</v>
      </c>
      <c r="AN210" s="762"/>
      <c r="AO210" s="289"/>
      <c r="AP210" s="409"/>
      <c r="AQ210" s="409"/>
      <c r="AR210" s="409"/>
      <c r="AS210" s="409"/>
      <c r="AT210" s="409"/>
      <c r="AU210" s="409"/>
      <c r="AV210" s="409"/>
      <c r="AW210" s="409"/>
      <c r="AX210" s="409"/>
      <c r="AY210" s="409"/>
      <c r="AZ210" s="409"/>
      <c r="BA210" s="409"/>
      <c r="BB210" s="409"/>
      <c r="BC210" s="409"/>
      <c r="BD210" s="409"/>
      <c r="BE210" s="409"/>
      <c r="BF210" s="409"/>
      <c r="BG210" s="409"/>
      <c r="BH210" s="409"/>
      <c r="BI210" s="266"/>
      <c r="BJ210" s="265"/>
    </row>
    <row r="211" spans="1:62" ht="13.95" customHeight="1">
      <c r="A211" s="265"/>
      <c r="B211" s="289"/>
      <c r="C211" s="289"/>
      <c r="D211" s="409"/>
      <c r="E211" s="409"/>
      <c r="F211" s="409"/>
      <c r="G211" s="409"/>
      <c r="H211" s="409"/>
      <c r="I211" s="409"/>
      <c r="J211" s="409"/>
      <c r="K211" s="409"/>
      <c r="L211" s="409"/>
      <c r="M211" s="409"/>
      <c r="N211" s="409"/>
      <c r="O211" s="409"/>
      <c r="P211" s="409"/>
      <c r="Q211" s="409"/>
      <c r="R211" s="409"/>
      <c r="S211" s="409"/>
      <c r="T211" s="409"/>
      <c r="U211" s="409"/>
      <c r="V211" s="409"/>
      <c r="W211" s="289"/>
      <c r="X211" s="490" t="s">
        <v>478</v>
      </c>
      <c r="Y211" s="488"/>
      <c r="Z211" s="488"/>
      <c r="AA211" s="488"/>
      <c r="AB211" s="488"/>
      <c r="AC211" s="763"/>
      <c r="AE211" s="13"/>
      <c r="AF211" s="340"/>
      <c r="AH211" s="490" t="s">
        <v>479</v>
      </c>
      <c r="AI211" s="488"/>
      <c r="AJ211" s="488"/>
      <c r="AK211" s="488"/>
      <c r="AL211" s="763"/>
      <c r="AM211" s="289"/>
      <c r="AN211" s="289"/>
      <c r="AO211" s="289"/>
      <c r="AP211" s="409"/>
      <c r="AQ211" s="409"/>
      <c r="AR211" s="409"/>
      <c r="AS211" s="409"/>
      <c r="AT211" s="409"/>
      <c r="AU211" s="409"/>
      <c r="AV211" s="409"/>
      <c r="AW211" s="409"/>
      <c r="AX211" s="409"/>
      <c r="AY211" s="409"/>
      <c r="AZ211" s="409"/>
      <c r="BA211" s="409"/>
      <c r="BB211" s="409"/>
      <c r="BC211" s="409"/>
      <c r="BD211" s="409"/>
      <c r="BE211" s="409"/>
      <c r="BF211" s="409"/>
      <c r="BG211" s="409"/>
      <c r="BH211" s="409"/>
      <c r="BI211" s="266"/>
      <c r="BJ211" s="265"/>
    </row>
    <row r="212" spans="1:62" ht="13.95" customHeight="1">
      <c r="A212" s="265"/>
      <c r="B212" s="289"/>
      <c r="C212" s="289"/>
      <c r="D212" s="409"/>
      <c r="E212" s="409"/>
      <c r="F212" s="409"/>
      <c r="G212" s="409"/>
      <c r="H212" s="409"/>
      <c r="I212" s="409"/>
      <c r="J212" s="409"/>
      <c r="K212" s="409"/>
      <c r="L212" s="409"/>
      <c r="M212" s="409"/>
      <c r="N212" s="409"/>
      <c r="O212" s="409"/>
      <c r="P212" s="409"/>
      <c r="Q212" s="409"/>
      <c r="R212" s="409"/>
      <c r="S212" s="409"/>
      <c r="T212" s="409"/>
      <c r="U212" s="409"/>
      <c r="V212" s="409"/>
      <c r="W212" s="289"/>
      <c r="X212" s="334">
        <f>VLOOKUP(X210,rozdzial,3,0)</f>
        <v>7546068</v>
      </c>
      <c r="Y212" s="562">
        <f>VLOOKUP(X210,rozdzial,4,0)</f>
        <v>305</v>
      </c>
      <c r="Z212" s="13"/>
      <c r="AA212" s="486"/>
      <c r="AB212" s="487"/>
      <c r="AC212" s="13"/>
      <c r="AD212" s="342"/>
      <c r="AE212" s="13"/>
      <c r="AF212" s="342"/>
      <c r="AH212" s="334">
        <f>VLOOKUP(AH210,rozdzial,3,0)</f>
        <v>7546067</v>
      </c>
      <c r="AI212" s="562">
        <f>VLOOKUP(AH210,rozdzial,4,0)</f>
        <v>40</v>
      </c>
      <c r="AJ212" s="13"/>
      <c r="AK212" s="486"/>
      <c r="AL212" s="13"/>
      <c r="AM212" s="289"/>
      <c r="AN212" s="289"/>
      <c r="AO212" s="289"/>
      <c r="AP212" s="409"/>
      <c r="AQ212" s="409"/>
      <c r="AR212" s="409"/>
      <c r="AS212" s="409"/>
      <c r="AT212" s="409"/>
      <c r="AU212" s="409"/>
      <c r="AV212" s="409"/>
      <c r="AW212" s="409"/>
      <c r="AX212" s="409"/>
      <c r="AY212" s="409"/>
      <c r="AZ212" s="409"/>
      <c r="BA212" s="409"/>
      <c r="BB212" s="409"/>
      <c r="BC212" s="409"/>
      <c r="BD212" s="409"/>
      <c r="BE212" s="409"/>
      <c r="BF212" s="409"/>
      <c r="BG212" s="409"/>
      <c r="BH212" s="409"/>
      <c r="BI212" s="266"/>
      <c r="BJ212" s="265"/>
    </row>
    <row r="213" spans="1:62" ht="13.95" customHeight="1">
      <c r="A213" s="265"/>
      <c r="B213" s="289"/>
      <c r="C213" s="289"/>
      <c r="D213" s="409"/>
      <c r="E213" s="409"/>
      <c r="F213" s="409"/>
      <c r="G213" s="409"/>
      <c r="H213" s="409"/>
      <c r="I213" s="409"/>
      <c r="J213" s="409"/>
      <c r="K213" s="409"/>
      <c r="L213" s="409"/>
      <c r="M213" s="409"/>
      <c r="N213" s="409"/>
      <c r="O213" s="409"/>
      <c r="P213" s="409"/>
      <c r="Q213" s="409"/>
      <c r="R213" s="409"/>
      <c r="S213" s="409"/>
      <c r="T213" s="409"/>
      <c r="U213" s="409"/>
      <c r="V213" s="409"/>
      <c r="W213" s="289"/>
      <c r="X213" s="13"/>
      <c r="Y213" s="13"/>
      <c r="Z213" s="13"/>
      <c r="AA213" s="13"/>
      <c r="AB213" s="13"/>
      <c r="AC213" s="13"/>
      <c r="AD213" s="13"/>
      <c r="AE213" s="13"/>
      <c r="AF213" s="13"/>
      <c r="AH213" s="289"/>
      <c r="AI213" s="289"/>
      <c r="AJ213" s="289"/>
      <c r="AK213" s="289"/>
      <c r="AL213" s="289"/>
      <c r="AM213" s="289"/>
      <c r="AN213" s="289"/>
      <c r="AO213" s="289"/>
      <c r="AP213" s="409"/>
      <c r="AQ213" s="409"/>
      <c r="AR213" s="409"/>
      <c r="AS213" s="409"/>
      <c r="AT213" s="409"/>
      <c r="AU213" s="409"/>
      <c r="AV213" s="409"/>
      <c r="AW213" s="409"/>
      <c r="AX213" s="409"/>
      <c r="AY213" s="409"/>
      <c r="AZ213" s="409"/>
      <c r="BA213" s="409"/>
      <c r="BB213" s="409"/>
      <c r="BC213" s="409"/>
      <c r="BD213" s="409"/>
      <c r="BE213" s="409"/>
      <c r="BF213" s="409"/>
      <c r="BG213" s="409"/>
      <c r="BH213" s="409"/>
      <c r="BI213" s="266"/>
      <c r="BJ213" s="265"/>
    </row>
    <row r="214" spans="1:62" ht="14.4" customHeight="1">
      <c r="A214" s="265"/>
      <c r="B214" s="289"/>
      <c r="C214" s="289"/>
      <c r="D214" s="289"/>
      <c r="E214" s="289"/>
      <c r="F214" s="289"/>
      <c r="G214" s="289"/>
      <c r="H214" s="289"/>
      <c r="I214" s="289"/>
      <c r="J214" s="289"/>
      <c r="K214" s="289"/>
      <c r="L214" s="289"/>
      <c r="M214" s="289"/>
      <c r="N214" s="289"/>
      <c r="O214" s="289"/>
      <c r="P214" s="289"/>
      <c r="Q214" s="289"/>
      <c r="R214" s="289"/>
      <c r="S214" s="289"/>
      <c r="T214" s="289"/>
      <c r="U214" s="289"/>
      <c r="V214" s="289"/>
      <c r="W214" s="289"/>
      <c r="AH214" s="289"/>
      <c r="AI214" s="289"/>
      <c r="AJ214" s="289"/>
      <c r="AK214" s="289"/>
      <c r="AL214" s="289"/>
      <c r="AM214" s="289"/>
      <c r="AN214" s="289"/>
      <c r="AO214" s="289"/>
      <c r="AP214" s="409"/>
      <c r="AQ214" s="409"/>
      <c r="AR214" s="409"/>
      <c r="AS214" s="409"/>
      <c r="AT214" s="409"/>
      <c r="AU214" s="409"/>
      <c r="AV214" s="409"/>
      <c r="AW214" s="409"/>
      <c r="AX214" s="409"/>
      <c r="AY214" s="409"/>
      <c r="AZ214" s="409"/>
      <c r="BA214" s="409"/>
      <c r="BB214" s="409"/>
      <c r="BC214" s="409"/>
      <c r="BD214" s="409"/>
      <c r="BE214" s="409"/>
      <c r="BF214" s="409"/>
      <c r="BG214" s="409"/>
      <c r="BH214" s="409"/>
      <c r="BI214" s="266"/>
      <c r="BJ214" s="265"/>
    </row>
    <row r="215" spans="1:62" ht="14.4" customHeight="1">
      <c r="A215" s="265"/>
      <c r="B215" s="289"/>
      <c r="C215" s="787"/>
      <c r="D215" s="787"/>
      <c r="E215" s="787"/>
      <c r="F215" s="787"/>
      <c r="G215" s="409"/>
      <c r="H215" s="409"/>
      <c r="I215" s="409"/>
      <c r="J215" s="409"/>
      <c r="K215" s="409"/>
      <c r="L215" s="409"/>
      <c r="M215" s="409"/>
      <c r="N215" s="409"/>
      <c r="O215" s="409"/>
      <c r="P215" s="409"/>
      <c r="Q215" s="409"/>
      <c r="R215" s="409"/>
      <c r="S215" s="409"/>
      <c r="T215" s="409"/>
      <c r="U215" s="409"/>
      <c r="V215" s="409"/>
      <c r="W215" s="289"/>
      <c r="X215" s="496" t="s">
        <v>57</v>
      </c>
      <c r="Y215" s="13"/>
      <c r="Z215" s="13"/>
      <c r="AA215" s="13"/>
      <c r="AB215" s="13"/>
      <c r="AC215" s="763">
        <v>0</v>
      </c>
      <c r="AD215" s="762">
        <f>VLOOKUP(X215,rozdzial,4,0)*AC215*(1-$AM$236/100)</f>
        <v>0</v>
      </c>
      <c r="AE215" s="762"/>
      <c r="AH215" s="496" t="s">
        <v>266</v>
      </c>
      <c r="AI215" s="13"/>
      <c r="AJ215" s="13"/>
      <c r="AK215" s="13"/>
      <c r="AL215" s="763">
        <f>AL217</f>
        <v>0</v>
      </c>
      <c r="AM215" s="762">
        <f>VLOOKUP(AH215,rozdzial,4,0)*AL215*(1-$AM$236/100)</f>
        <v>0</v>
      </c>
      <c r="AN215" s="762"/>
      <c r="AO215" s="289"/>
      <c r="AP215" s="409"/>
      <c r="AQ215" s="409"/>
      <c r="AR215" s="409"/>
      <c r="AS215" s="409"/>
      <c r="AT215" s="409"/>
      <c r="AU215" s="409"/>
      <c r="AV215" s="409"/>
      <c r="AW215" s="409"/>
      <c r="AX215" s="409"/>
      <c r="AY215" s="409"/>
      <c r="AZ215" s="409"/>
      <c r="BA215" s="409"/>
      <c r="BB215" s="409"/>
      <c r="BC215" s="409"/>
      <c r="BD215" s="409"/>
      <c r="BE215" s="409"/>
      <c r="BF215" s="409"/>
      <c r="BG215" s="409"/>
      <c r="BH215" s="409"/>
      <c r="BI215" s="266"/>
      <c r="BJ215" s="265"/>
    </row>
    <row r="216" spans="1:62" ht="14.4" customHeight="1">
      <c r="A216" s="265"/>
      <c r="B216" s="289"/>
      <c r="C216" s="289"/>
      <c r="D216" s="409"/>
      <c r="E216" s="409"/>
      <c r="F216" s="409"/>
      <c r="G216" s="409"/>
      <c r="H216" s="409"/>
      <c r="I216" s="409"/>
      <c r="J216" s="409"/>
      <c r="K216" s="409"/>
      <c r="L216" s="409"/>
      <c r="M216" s="409"/>
      <c r="N216" s="409"/>
      <c r="O216" s="409"/>
      <c r="P216" s="409"/>
      <c r="Q216" s="409"/>
      <c r="R216" s="409"/>
      <c r="S216" s="409"/>
      <c r="T216" s="409"/>
      <c r="U216" s="409"/>
      <c r="V216" s="409"/>
      <c r="W216" s="289"/>
      <c r="X216" s="490" t="s">
        <v>481</v>
      </c>
      <c r="Y216" s="488"/>
      <c r="Z216" s="488"/>
      <c r="AA216" s="488"/>
      <c r="AB216" s="488"/>
      <c r="AC216" s="763"/>
      <c r="AE216" s="13"/>
      <c r="AH216" s="490" t="s">
        <v>482</v>
      </c>
      <c r="AI216" s="488"/>
      <c r="AJ216" s="488"/>
      <c r="AK216" s="488"/>
      <c r="AL216" s="763"/>
      <c r="AM216" s="289"/>
      <c r="AN216" s="289"/>
      <c r="AO216" s="289"/>
      <c r="AP216" s="409"/>
      <c r="AQ216" s="409"/>
      <c r="AR216" s="409"/>
      <c r="AS216" s="409"/>
      <c r="AT216" s="409"/>
      <c r="AU216" s="409"/>
      <c r="AV216" s="409"/>
      <c r="AW216" s="409"/>
      <c r="AX216" s="409"/>
      <c r="AY216" s="409"/>
      <c r="AZ216" s="409"/>
      <c r="BA216" s="409"/>
      <c r="BB216" s="409"/>
      <c r="BC216" s="409"/>
      <c r="BD216" s="409"/>
      <c r="BE216" s="409"/>
      <c r="BF216" s="409"/>
      <c r="BG216" s="409"/>
      <c r="BH216" s="409"/>
      <c r="BI216" s="266"/>
      <c r="BJ216" s="265"/>
    </row>
    <row r="217" spans="1:62">
      <c r="A217" s="265"/>
      <c r="B217" s="289"/>
      <c r="C217" s="289"/>
      <c r="D217" s="409"/>
      <c r="E217" s="409"/>
      <c r="F217" s="409"/>
      <c r="G217" s="409"/>
      <c r="H217" s="409"/>
      <c r="I217" s="409"/>
      <c r="J217" s="409"/>
      <c r="K217" s="409"/>
      <c r="L217" s="409"/>
      <c r="M217" s="409"/>
      <c r="N217" s="409"/>
      <c r="O217" s="409"/>
      <c r="P217" s="409"/>
      <c r="Q217" s="409"/>
      <c r="R217" s="409"/>
      <c r="S217" s="409"/>
      <c r="T217" s="409"/>
      <c r="U217" s="409"/>
      <c r="V217" s="409"/>
      <c r="W217" s="289"/>
      <c r="X217" s="334">
        <f>VLOOKUP(X215,rozdzial,3,0)</f>
        <v>7546072</v>
      </c>
      <c r="Y217" s="562">
        <f>VLOOKUP(X215,rozdzial,4,0)</f>
        <v>143</v>
      </c>
      <c r="Z217" s="13"/>
      <c r="AA217" s="486"/>
      <c r="AB217" s="487"/>
      <c r="AC217" s="13"/>
      <c r="AD217" s="342"/>
      <c r="AE217" s="13"/>
      <c r="AH217" s="334">
        <f>VLOOKUP(AH215,rozdzial,3,0)</f>
        <v>7775845</v>
      </c>
      <c r="AI217" s="562">
        <f>VLOOKUP(AH215,rozdzial,4,0)</f>
        <v>824</v>
      </c>
      <c r="AJ217" s="13"/>
      <c r="AK217" s="486"/>
      <c r="AL217" s="673">
        <f>IF(AC177&gt;2,INT(AC177/2),0)</f>
        <v>0</v>
      </c>
      <c r="AM217" s="289"/>
      <c r="AN217" s="289"/>
      <c r="AO217" s="289"/>
      <c r="AP217" s="409"/>
      <c r="AQ217" s="409"/>
      <c r="AR217" s="409"/>
      <c r="AS217" s="409"/>
      <c r="AT217" s="409"/>
      <c r="AU217" s="409"/>
      <c r="AV217" s="409"/>
      <c r="AW217" s="409"/>
      <c r="AX217" s="409"/>
      <c r="AY217" s="409"/>
      <c r="AZ217" s="409"/>
      <c r="BA217" s="409"/>
      <c r="BB217" s="409"/>
      <c r="BC217" s="409"/>
      <c r="BD217" s="409"/>
      <c r="BE217" s="409"/>
      <c r="BF217" s="409"/>
      <c r="BG217" s="409"/>
      <c r="BH217" s="409"/>
      <c r="BI217" s="266"/>
      <c r="BJ217" s="265"/>
    </row>
    <row r="218" spans="1:62">
      <c r="A218" s="265"/>
      <c r="B218" s="289"/>
      <c r="C218" s="289"/>
      <c r="D218" s="289"/>
      <c r="E218" s="289"/>
      <c r="F218" s="289"/>
      <c r="G218" s="289"/>
      <c r="H218" s="289"/>
      <c r="I218" s="289"/>
      <c r="J218" s="289"/>
      <c r="K218" s="289"/>
      <c r="L218" s="289"/>
      <c r="M218" s="289"/>
      <c r="N218" s="289"/>
      <c r="O218" s="289"/>
      <c r="P218" s="289"/>
      <c r="Q218" s="289"/>
      <c r="R218" s="289"/>
      <c r="S218" s="289"/>
      <c r="T218" s="289"/>
      <c r="U218" s="289"/>
      <c r="V218" s="289"/>
      <c r="W218" s="289"/>
      <c r="X218" s="13"/>
      <c r="Y218" s="13"/>
      <c r="Z218" s="13"/>
      <c r="AA218" s="13"/>
      <c r="AB218" s="13"/>
      <c r="AC218" s="13"/>
      <c r="AD218" s="13"/>
      <c r="AE218" s="13"/>
      <c r="AH218" s="289"/>
      <c r="AI218" s="289"/>
      <c r="AJ218" s="289"/>
      <c r="AK218" s="289"/>
      <c r="AL218" s="289"/>
      <c r="AM218" s="289"/>
      <c r="AN218" s="289"/>
      <c r="AO218" s="289"/>
      <c r="AP218" s="409"/>
      <c r="AQ218" s="409"/>
      <c r="AR218" s="409"/>
      <c r="AS218" s="409"/>
      <c r="AT218" s="409"/>
      <c r="AU218" s="409"/>
      <c r="AV218" s="409"/>
      <c r="AW218" s="409"/>
      <c r="AX218" s="409"/>
      <c r="AY218" s="409"/>
      <c r="AZ218" s="409"/>
      <c r="BA218" s="409"/>
      <c r="BB218" s="409"/>
      <c r="BC218" s="409"/>
      <c r="BD218" s="409"/>
      <c r="BE218" s="409"/>
      <c r="BF218" s="409"/>
      <c r="BG218" s="409"/>
      <c r="BH218" s="409"/>
      <c r="BI218" s="266"/>
      <c r="BJ218" s="265"/>
    </row>
    <row r="219" spans="1:62">
      <c r="A219" s="265"/>
      <c r="B219" s="289"/>
      <c r="C219" s="289"/>
      <c r="D219" s="409"/>
      <c r="E219" s="409"/>
      <c r="F219" s="409"/>
      <c r="G219" s="409"/>
      <c r="H219" s="409"/>
      <c r="I219" s="409"/>
      <c r="J219" s="409"/>
      <c r="K219" s="409"/>
      <c r="L219" s="409"/>
      <c r="M219" s="409"/>
      <c r="N219" s="409"/>
      <c r="O219" s="409"/>
      <c r="P219" s="409"/>
      <c r="Q219" s="409"/>
      <c r="R219" s="409"/>
      <c r="S219" s="409"/>
      <c r="T219" s="409"/>
      <c r="U219" s="409"/>
      <c r="V219" s="409"/>
      <c r="W219" s="289"/>
      <c r="X219" s="289"/>
      <c r="Y219" s="289"/>
      <c r="Z219" s="289"/>
      <c r="AA219" s="289"/>
      <c r="AC219" s="289"/>
      <c r="AD219" s="289"/>
      <c r="AE219" s="289"/>
      <c r="AF219" s="289"/>
      <c r="AG219" s="289"/>
      <c r="AH219" s="289"/>
      <c r="AI219" s="289"/>
      <c r="AJ219" s="289"/>
      <c r="AK219" s="289"/>
      <c r="AL219" s="289"/>
      <c r="AM219" s="289"/>
      <c r="AN219" s="289"/>
      <c r="AO219" s="289"/>
      <c r="AP219" s="409"/>
      <c r="AQ219" s="409"/>
      <c r="AR219" s="409"/>
      <c r="AS219" s="409"/>
      <c r="AT219" s="409"/>
      <c r="AU219" s="409"/>
      <c r="AV219" s="409"/>
      <c r="AW219" s="409"/>
      <c r="AX219" s="409"/>
      <c r="AY219" s="409"/>
      <c r="AZ219" s="409"/>
      <c r="BA219" s="409"/>
      <c r="BB219" s="409"/>
      <c r="BC219" s="409"/>
      <c r="BD219" s="409"/>
      <c r="BE219" s="409"/>
      <c r="BF219" s="409"/>
      <c r="BG219" s="409"/>
      <c r="BH219" s="409"/>
      <c r="BI219" s="266"/>
      <c r="BJ219" s="265"/>
    </row>
    <row r="220" spans="1:62">
      <c r="A220" s="265"/>
      <c r="B220" s="289"/>
      <c r="C220" s="289"/>
      <c r="D220" s="409"/>
      <c r="E220" s="409"/>
      <c r="F220" s="409"/>
      <c r="G220" s="409"/>
      <c r="H220" s="409"/>
      <c r="I220" s="409"/>
      <c r="J220" s="409"/>
      <c r="K220" s="409"/>
      <c r="L220" s="409"/>
      <c r="M220" s="409"/>
      <c r="N220" s="409"/>
      <c r="O220" s="409"/>
      <c r="P220" s="409"/>
      <c r="Q220" s="409"/>
      <c r="R220" s="409"/>
      <c r="S220" s="409"/>
      <c r="T220" s="409"/>
      <c r="U220" s="409"/>
      <c r="V220" s="409"/>
      <c r="W220" s="289"/>
      <c r="X220" s="496" t="s">
        <v>58</v>
      </c>
      <c r="Y220" s="13"/>
      <c r="Z220" s="13"/>
      <c r="AA220" s="13"/>
      <c r="AB220" s="13"/>
      <c r="AC220" s="763">
        <v>0</v>
      </c>
      <c r="AD220" s="762">
        <f>VLOOKUP(X220,rozdzial,4,0)*AC220*(1-$AM$236/100)</f>
        <v>0</v>
      </c>
      <c r="AE220" s="762"/>
      <c r="AF220" s="289"/>
      <c r="AH220" s="496" t="s">
        <v>265</v>
      </c>
      <c r="AI220" s="13"/>
      <c r="AJ220" s="13"/>
      <c r="AK220" s="13"/>
      <c r="AL220" s="763">
        <v>0</v>
      </c>
      <c r="AM220" s="762">
        <f>VLOOKUP(AH220,rozdzial,4,0)*AL220*(1-$AM$236/100)</f>
        <v>0</v>
      </c>
      <c r="AN220" s="762"/>
      <c r="AO220" s="289"/>
      <c r="AP220" s="409"/>
      <c r="AQ220" s="409"/>
      <c r="AR220" s="409"/>
      <c r="AS220" s="409"/>
      <c r="AT220" s="409"/>
      <c r="AU220" s="409"/>
      <c r="AV220" s="409"/>
      <c r="AW220" s="409"/>
      <c r="AX220" s="409"/>
      <c r="AY220" s="409"/>
      <c r="AZ220" s="409"/>
      <c r="BA220" s="409"/>
      <c r="BB220" s="409"/>
      <c r="BC220" s="409"/>
      <c r="BD220" s="409"/>
      <c r="BE220" s="409"/>
      <c r="BF220" s="409"/>
      <c r="BG220" s="409"/>
      <c r="BH220" s="409"/>
      <c r="BI220" s="266"/>
      <c r="BJ220" s="265"/>
    </row>
    <row r="221" spans="1:62" ht="14.4" customHeight="1">
      <c r="A221" s="265"/>
      <c r="B221" s="289"/>
      <c r="C221" s="289"/>
      <c r="D221" s="409"/>
      <c r="E221" s="409"/>
      <c r="F221" s="409"/>
      <c r="G221" s="409"/>
      <c r="H221" s="409"/>
      <c r="I221" s="409"/>
      <c r="J221" s="409"/>
      <c r="K221" s="409"/>
      <c r="L221" s="409"/>
      <c r="M221" s="409"/>
      <c r="N221" s="409"/>
      <c r="O221" s="409"/>
      <c r="P221" s="409"/>
      <c r="Q221" s="409"/>
      <c r="R221" s="409"/>
      <c r="S221" s="409"/>
      <c r="T221" s="409"/>
      <c r="U221" s="409"/>
      <c r="V221" s="409"/>
      <c r="W221" s="289"/>
      <c r="X221" s="490" t="s">
        <v>400</v>
      </c>
      <c r="Y221" s="488"/>
      <c r="Z221" s="488"/>
      <c r="AA221" s="488"/>
      <c r="AB221" s="488"/>
      <c r="AC221" s="763"/>
      <c r="AE221" s="13"/>
      <c r="AF221" s="289"/>
      <c r="AH221" s="490" t="s">
        <v>480</v>
      </c>
      <c r="AI221" s="488"/>
      <c r="AJ221" s="488"/>
      <c r="AK221" s="488"/>
      <c r="AL221" s="763"/>
      <c r="AM221" s="289"/>
      <c r="AN221" s="289"/>
      <c r="AO221" s="289"/>
      <c r="AP221" s="409"/>
      <c r="AQ221" s="409"/>
      <c r="AR221" s="409"/>
      <c r="AS221" s="409"/>
      <c r="AT221" s="409"/>
      <c r="AU221" s="409"/>
      <c r="AV221" s="409"/>
      <c r="AW221" s="409"/>
      <c r="AX221" s="409"/>
      <c r="AY221" s="409"/>
      <c r="AZ221" s="409"/>
      <c r="BA221" s="409"/>
      <c r="BB221" s="409"/>
      <c r="BC221" s="409"/>
      <c r="BD221" s="409"/>
      <c r="BE221" s="409"/>
      <c r="BF221" s="409"/>
      <c r="BG221" s="409"/>
      <c r="BH221" s="409"/>
      <c r="BI221" s="266"/>
      <c r="BJ221" s="265"/>
    </row>
    <row r="222" spans="1:62">
      <c r="A222" s="265"/>
      <c r="B222" s="289"/>
      <c r="C222" s="289"/>
      <c r="D222" s="409"/>
      <c r="E222" s="409"/>
      <c r="F222" s="409"/>
      <c r="G222" s="409"/>
      <c r="H222" s="409"/>
      <c r="I222" s="409"/>
      <c r="J222" s="409"/>
      <c r="K222" s="409"/>
      <c r="L222" s="409"/>
      <c r="M222" s="409"/>
      <c r="N222" s="409"/>
      <c r="O222" s="409"/>
      <c r="P222" s="409"/>
      <c r="Q222" s="409"/>
      <c r="R222" s="409"/>
      <c r="S222" s="409"/>
      <c r="T222" s="409"/>
      <c r="U222" s="409"/>
      <c r="V222" s="409"/>
      <c r="W222" s="13"/>
      <c r="X222" s="334">
        <f>VLOOKUP(X220,rozdzial,3,0)</f>
        <v>7546073</v>
      </c>
      <c r="Y222" s="562">
        <f>VLOOKUP(X220,rozdzial,4,0)</f>
        <v>68</v>
      </c>
      <c r="Z222" s="13"/>
      <c r="AA222" s="486"/>
      <c r="AB222" s="487"/>
      <c r="AC222" s="13"/>
      <c r="AD222" s="342"/>
      <c r="AE222" s="13"/>
      <c r="AF222" s="289"/>
      <c r="AH222" s="334">
        <f>VLOOKUP(AH220,rozdzial,3,0)</f>
        <v>7546058</v>
      </c>
      <c r="AI222" s="562">
        <f>VLOOKUP(AH220,rozdzial,4,0)</f>
        <v>35</v>
      </c>
      <c r="AJ222" s="13"/>
      <c r="AK222" s="486"/>
      <c r="AL222" s="13"/>
      <c r="AM222" s="289"/>
      <c r="AN222" s="289"/>
      <c r="AO222" s="289"/>
      <c r="AP222" s="409"/>
      <c r="AQ222" s="409"/>
      <c r="AR222" s="409"/>
      <c r="AS222" s="409"/>
      <c r="AT222" s="409"/>
      <c r="AU222" s="409"/>
      <c r="AV222" s="409"/>
      <c r="AW222" s="409"/>
      <c r="AX222" s="409"/>
      <c r="AY222" s="409"/>
      <c r="AZ222" s="409"/>
      <c r="BA222" s="409"/>
      <c r="BB222" s="409"/>
      <c r="BC222" s="409"/>
      <c r="BD222" s="409"/>
      <c r="BE222" s="409"/>
      <c r="BF222" s="409"/>
      <c r="BG222" s="409"/>
      <c r="BH222" s="409"/>
      <c r="BI222" s="266"/>
      <c r="BJ222" s="265"/>
    </row>
    <row r="223" spans="1:62">
      <c r="A223" s="265"/>
      <c r="B223" s="289"/>
      <c r="C223" s="289"/>
      <c r="D223" s="409"/>
      <c r="E223" s="409"/>
      <c r="F223" s="409"/>
      <c r="G223" s="409"/>
      <c r="H223" s="409"/>
      <c r="I223" s="409"/>
      <c r="J223" s="409"/>
      <c r="K223" s="409"/>
      <c r="L223" s="409"/>
      <c r="M223" s="409"/>
      <c r="N223" s="409"/>
      <c r="O223" s="409"/>
      <c r="P223" s="409"/>
      <c r="Q223" s="409"/>
      <c r="R223" s="409"/>
      <c r="S223" s="409"/>
      <c r="T223" s="409"/>
      <c r="U223" s="409"/>
      <c r="V223" s="409"/>
      <c r="W223" s="289"/>
      <c r="X223" s="13"/>
      <c r="Y223" s="13"/>
      <c r="Z223" s="13"/>
      <c r="AA223" s="13"/>
      <c r="AB223" s="13"/>
      <c r="AC223" s="13"/>
      <c r="AD223" s="13"/>
      <c r="AE223" s="13"/>
      <c r="AF223" s="289"/>
      <c r="AG223" s="289"/>
      <c r="AH223" s="289"/>
      <c r="AI223" s="289"/>
      <c r="AJ223" s="289"/>
      <c r="AK223" s="289"/>
      <c r="AL223" s="289"/>
      <c r="AM223" s="289"/>
      <c r="AN223" s="289"/>
      <c r="AO223" s="289"/>
      <c r="AP223" s="409"/>
      <c r="AQ223" s="409"/>
      <c r="AR223" s="409"/>
      <c r="AS223" s="409"/>
      <c r="AT223" s="409"/>
      <c r="AU223" s="409"/>
      <c r="AV223" s="409"/>
      <c r="AW223" s="409"/>
      <c r="AX223" s="409"/>
      <c r="AY223" s="409"/>
      <c r="AZ223" s="409"/>
      <c r="BA223" s="409"/>
      <c r="BB223" s="409"/>
      <c r="BC223" s="409"/>
      <c r="BD223" s="409"/>
      <c r="BE223" s="409"/>
      <c r="BF223" s="409"/>
      <c r="BG223" s="409"/>
      <c r="BH223" s="409"/>
      <c r="BI223" s="266"/>
      <c r="BJ223" s="265"/>
    </row>
    <row r="224" spans="1:62">
      <c r="A224" s="265"/>
      <c r="B224" s="289"/>
      <c r="C224" s="289"/>
      <c r="D224" s="409"/>
      <c r="E224" s="409"/>
      <c r="F224" s="409"/>
      <c r="G224" s="409"/>
      <c r="H224" s="409"/>
      <c r="I224" s="409"/>
      <c r="J224" s="409"/>
      <c r="K224" s="409"/>
      <c r="L224" s="409"/>
      <c r="M224" s="409"/>
      <c r="N224" s="409"/>
      <c r="O224" s="409"/>
      <c r="P224" s="409"/>
      <c r="Q224" s="409"/>
      <c r="R224" s="409"/>
      <c r="S224" s="409"/>
      <c r="T224" s="409"/>
      <c r="U224" s="409"/>
      <c r="V224" s="409"/>
      <c r="W224" s="289"/>
      <c r="X224" s="289"/>
      <c r="Y224" s="289"/>
      <c r="Z224" s="289"/>
      <c r="AA224" s="289"/>
      <c r="AB224" s="289"/>
      <c r="AC224" s="289"/>
      <c r="AD224" s="289"/>
      <c r="AE224" s="289"/>
      <c r="AF224" s="289"/>
      <c r="AG224" s="289"/>
      <c r="AH224" s="289"/>
      <c r="AI224" s="289"/>
      <c r="AJ224" s="289"/>
      <c r="AK224" s="289"/>
      <c r="AL224" s="289"/>
      <c r="AM224" s="289"/>
      <c r="AN224" s="289"/>
      <c r="AO224" s="289"/>
      <c r="AP224" s="409"/>
      <c r="AQ224" s="409"/>
      <c r="AR224" s="409"/>
      <c r="AS224" s="409"/>
      <c r="AT224" s="409"/>
      <c r="AU224" s="409"/>
      <c r="AV224" s="409"/>
      <c r="AW224" s="409"/>
      <c r="AX224" s="409"/>
      <c r="AY224" s="409"/>
      <c r="AZ224" s="409"/>
      <c r="BA224" s="409"/>
      <c r="BB224" s="409"/>
      <c r="BC224" s="409"/>
      <c r="BD224" s="409"/>
      <c r="BE224" s="409"/>
      <c r="BF224" s="409"/>
      <c r="BG224" s="409"/>
      <c r="BH224" s="409"/>
      <c r="BI224" s="266"/>
      <c r="BJ224" s="265"/>
    </row>
    <row r="225" spans="1:62">
      <c r="A225" s="265"/>
      <c r="B225" s="289"/>
      <c r="C225" s="289"/>
      <c r="D225" s="409"/>
      <c r="E225" s="409"/>
      <c r="F225" s="409"/>
      <c r="G225" s="409"/>
      <c r="H225" s="409"/>
      <c r="I225" s="409"/>
      <c r="J225" s="409"/>
      <c r="K225" s="409"/>
      <c r="L225" s="409"/>
      <c r="M225" s="409"/>
      <c r="N225" s="409"/>
      <c r="O225" s="409"/>
      <c r="P225" s="409"/>
      <c r="Q225" s="409"/>
      <c r="R225" s="409"/>
      <c r="S225" s="409"/>
      <c r="T225" s="409"/>
      <c r="U225" s="409"/>
      <c r="V225" s="409"/>
      <c r="W225" s="289"/>
      <c r="X225" s="496" t="s">
        <v>53</v>
      </c>
      <c r="Y225" s="13"/>
      <c r="Z225" s="13"/>
      <c r="AA225" s="13"/>
      <c r="AB225" s="13"/>
      <c r="AC225" s="763">
        <v>0</v>
      </c>
      <c r="AD225" s="762">
        <f>VLOOKUP(X225,rozdzial,4,0)*AC225*(1-$AM$236/100)</f>
        <v>0</v>
      </c>
      <c r="AE225" s="762"/>
      <c r="AF225" s="289"/>
      <c r="AG225" s="289"/>
      <c r="AH225" s="496" t="s">
        <v>262</v>
      </c>
      <c r="AI225" s="13"/>
      <c r="AJ225" s="13"/>
      <c r="AK225" s="13"/>
      <c r="AL225" s="763">
        <v>0</v>
      </c>
      <c r="AM225" s="762">
        <f>VLOOKUP(AH225,rozdzial,4,0)*AL225*(1-$AM$236/100)</f>
        <v>0</v>
      </c>
      <c r="AN225" s="762"/>
      <c r="AO225" s="289"/>
      <c r="AP225" s="409"/>
      <c r="AQ225" s="409"/>
      <c r="AR225" s="409"/>
      <c r="AS225" s="409"/>
      <c r="AT225" s="409"/>
      <c r="AU225" s="409"/>
      <c r="AV225" s="409"/>
      <c r="AW225" s="409"/>
      <c r="AX225" s="409"/>
      <c r="AY225" s="409"/>
      <c r="AZ225" s="409"/>
      <c r="BA225" s="409"/>
      <c r="BB225" s="409"/>
      <c r="BC225" s="409"/>
      <c r="BD225" s="409"/>
      <c r="BE225" s="409"/>
      <c r="BF225" s="409"/>
      <c r="BG225" s="409"/>
      <c r="BH225" s="409"/>
      <c r="BI225" s="266"/>
      <c r="BJ225" s="265"/>
    </row>
    <row r="226" spans="1:62" ht="14.4" customHeight="1">
      <c r="A226" s="265"/>
      <c r="B226" s="289"/>
      <c r="C226" s="289"/>
      <c r="D226" s="409"/>
      <c r="E226" s="409"/>
      <c r="F226" s="409"/>
      <c r="G226" s="409"/>
      <c r="H226" s="409"/>
      <c r="I226" s="409"/>
      <c r="J226" s="409"/>
      <c r="K226" s="409"/>
      <c r="L226" s="409"/>
      <c r="M226" s="409"/>
      <c r="N226" s="409"/>
      <c r="O226" s="409"/>
      <c r="P226" s="409"/>
      <c r="Q226" s="409"/>
      <c r="R226" s="409"/>
      <c r="S226" s="409"/>
      <c r="T226" s="409"/>
      <c r="U226" s="409"/>
      <c r="V226" s="409"/>
      <c r="W226" s="289"/>
      <c r="X226" s="490" t="s">
        <v>400</v>
      </c>
      <c r="Y226" s="488"/>
      <c r="Z226" s="488"/>
      <c r="AA226" s="488"/>
      <c r="AB226" s="488"/>
      <c r="AC226" s="763"/>
      <c r="AE226" s="13"/>
      <c r="AF226" s="289"/>
      <c r="AG226" s="289"/>
      <c r="AH226" s="490" t="s">
        <v>400</v>
      </c>
      <c r="AI226" s="488"/>
      <c r="AJ226" s="488"/>
      <c r="AK226" s="488"/>
      <c r="AL226" s="763"/>
      <c r="AM226" s="289"/>
      <c r="AN226" s="289"/>
      <c r="AO226" s="289"/>
      <c r="AP226" s="409"/>
      <c r="AQ226" s="409"/>
      <c r="AR226" s="409"/>
      <c r="AS226" s="409"/>
      <c r="AT226" s="409"/>
      <c r="AU226" s="409"/>
      <c r="AV226" s="409"/>
      <c r="AW226" s="409"/>
      <c r="AX226" s="409"/>
      <c r="AY226" s="409"/>
      <c r="AZ226" s="409"/>
      <c r="BA226" s="409"/>
      <c r="BB226" s="409"/>
      <c r="BC226" s="409"/>
      <c r="BD226" s="409"/>
      <c r="BE226" s="409"/>
      <c r="BF226" s="409"/>
      <c r="BG226" s="409"/>
      <c r="BH226" s="409"/>
      <c r="BI226" s="266"/>
      <c r="BJ226" s="265"/>
    </row>
    <row r="227" spans="1:62">
      <c r="A227" s="265"/>
      <c r="B227" s="289"/>
      <c r="C227" s="289"/>
      <c r="D227" s="409"/>
      <c r="E227" s="409"/>
      <c r="F227" s="409"/>
      <c r="G227" s="409"/>
      <c r="H227" s="409"/>
      <c r="I227" s="409"/>
      <c r="J227" s="409"/>
      <c r="K227" s="409"/>
      <c r="L227" s="409"/>
      <c r="M227" s="409"/>
      <c r="N227" s="409"/>
      <c r="O227" s="409"/>
      <c r="P227" s="409"/>
      <c r="Q227" s="409"/>
      <c r="R227" s="409"/>
      <c r="S227" s="409"/>
      <c r="T227" s="409"/>
      <c r="U227" s="409"/>
      <c r="V227" s="409"/>
      <c r="W227" s="289"/>
      <c r="X227" s="334">
        <f>VLOOKUP(X225,rozdzial,3,0)</f>
        <v>7546069</v>
      </c>
      <c r="Y227" s="562">
        <f>VLOOKUP(X225,rozdzial,4,0)</f>
        <v>9.5</v>
      </c>
      <c r="Z227" s="13"/>
      <c r="AA227" s="486"/>
      <c r="AB227" s="487"/>
      <c r="AC227" s="13"/>
      <c r="AD227" s="342"/>
      <c r="AE227" s="13"/>
      <c r="AF227" s="289"/>
      <c r="AG227" s="289"/>
      <c r="AH227" s="334" t="str">
        <f>VLOOKUP(AH225,rozdzial,3,0)</f>
        <v>ZK03037</v>
      </c>
      <c r="AI227" s="562">
        <f>VLOOKUP(AH225,rozdzial,4,0)</f>
        <v>684</v>
      </c>
      <c r="AJ227" s="13"/>
      <c r="AK227" s="486"/>
      <c r="AL227" s="13"/>
      <c r="AM227" s="289"/>
      <c r="AN227" s="289"/>
      <c r="AO227" s="289"/>
      <c r="AP227" s="409"/>
      <c r="AQ227" s="409"/>
      <c r="AR227" s="409"/>
      <c r="AS227" s="409"/>
      <c r="AT227" s="409"/>
      <c r="AU227" s="409"/>
      <c r="AV227" s="409"/>
      <c r="AW227" s="409"/>
      <c r="AX227" s="409"/>
      <c r="AY227" s="409"/>
      <c r="AZ227" s="409"/>
      <c r="BA227" s="409"/>
      <c r="BB227" s="409"/>
      <c r="BC227" s="409"/>
      <c r="BD227" s="409"/>
      <c r="BE227" s="409"/>
      <c r="BF227" s="409"/>
      <c r="BG227" s="409"/>
      <c r="BH227" s="409"/>
      <c r="BI227" s="266"/>
      <c r="BJ227" s="265"/>
    </row>
    <row r="228" spans="1:62">
      <c r="A228" s="265"/>
      <c r="B228" s="289"/>
      <c r="C228" s="289"/>
      <c r="D228" s="409"/>
      <c r="E228" s="409"/>
      <c r="F228" s="409"/>
      <c r="G228" s="409"/>
      <c r="H228" s="409"/>
      <c r="I228" s="409"/>
      <c r="J228" s="409"/>
      <c r="K228" s="409"/>
      <c r="L228" s="409"/>
      <c r="M228" s="409"/>
      <c r="N228" s="409"/>
      <c r="O228" s="409"/>
      <c r="P228" s="409"/>
      <c r="Q228" s="409"/>
      <c r="R228" s="409"/>
      <c r="S228" s="409"/>
      <c r="T228" s="409"/>
      <c r="U228" s="409"/>
      <c r="V228" s="409"/>
      <c r="W228" s="289"/>
      <c r="X228" s="289"/>
      <c r="Y228" s="289"/>
      <c r="Z228" s="289"/>
      <c r="AA228" s="289"/>
      <c r="AB228" s="289"/>
      <c r="AC228" s="289"/>
      <c r="AE228" s="289"/>
      <c r="AF228" s="289"/>
      <c r="AG228" s="289"/>
      <c r="AH228" s="289"/>
      <c r="AI228" s="289"/>
      <c r="AJ228" s="289"/>
      <c r="AK228" s="289"/>
      <c r="AL228" s="289"/>
      <c r="AM228" s="289"/>
      <c r="AN228" s="289"/>
      <c r="AO228" s="289"/>
      <c r="AP228" s="409"/>
      <c r="AQ228" s="409"/>
      <c r="AR228" s="409"/>
      <c r="AS228" s="409"/>
      <c r="AT228" s="409"/>
      <c r="AU228" s="409"/>
      <c r="AV228" s="409"/>
      <c r="AW228" s="409"/>
      <c r="AX228" s="409"/>
      <c r="AY228" s="409"/>
      <c r="AZ228" s="409"/>
      <c r="BA228" s="409"/>
      <c r="BB228" s="409"/>
      <c r="BC228" s="409"/>
      <c r="BD228" s="409"/>
      <c r="BE228" s="409"/>
      <c r="BF228" s="409"/>
      <c r="BG228" s="409"/>
      <c r="BH228" s="409"/>
      <c r="BI228" s="266"/>
      <c r="BJ228" s="265"/>
    </row>
    <row r="229" spans="1:62">
      <c r="A229" s="265"/>
      <c r="B229" s="289"/>
      <c r="C229" s="289"/>
      <c r="D229" s="409"/>
      <c r="E229" s="409"/>
      <c r="F229" s="409"/>
      <c r="G229" s="409"/>
      <c r="H229" s="409"/>
      <c r="I229" s="409"/>
      <c r="J229" s="409"/>
      <c r="K229" s="409"/>
      <c r="L229" s="409"/>
      <c r="M229" s="409"/>
      <c r="N229" s="409"/>
      <c r="O229" s="409"/>
      <c r="P229" s="409"/>
      <c r="Q229" s="409"/>
      <c r="R229" s="409"/>
      <c r="S229" s="409"/>
      <c r="T229" s="409"/>
      <c r="U229" s="409"/>
      <c r="V229" s="409"/>
      <c r="W229" s="289"/>
      <c r="X229" s="289"/>
      <c r="Y229" s="289"/>
      <c r="Z229" s="289"/>
      <c r="AA229" s="289"/>
      <c r="AB229" s="289"/>
      <c r="AC229" s="289"/>
      <c r="AE229" s="289"/>
      <c r="AF229" s="289"/>
      <c r="AG229" s="289"/>
      <c r="AH229" s="289"/>
      <c r="AI229" s="289"/>
      <c r="AJ229" s="289"/>
      <c r="AK229" s="289"/>
      <c r="AL229" s="289"/>
      <c r="AM229" s="289"/>
      <c r="AN229" s="289"/>
      <c r="AO229" s="289"/>
      <c r="AP229" s="409"/>
      <c r="AQ229" s="409"/>
      <c r="AR229" s="409"/>
      <c r="AS229" s="409"/>
      <c r="AT229" s="409"/>
      <c r="AU229" s="409"/>
      <c r="AV229" s="409"/>
      <c r="AW229" s="409"/>
      <c r="AX229" s="409"/>
      <c r="AY229" s="409"/>
      <c r="AZ229" s="409"/>
      <c r="BA229" s="409"/>
      <c r="BB229" s="409"/>
      <c r="BC229" s="409"/>
      <c r="BD229" s="409"/>
      <c r="BE229" s="409"/>
      <c r="BF229" s="409"/>
      <c r="BG229" s="409"/>
      <c r="BH229" s="409"/>
      <c r="BI229" s="266"/>
      <c r="BJ229" s="265"/>
    </row>
    <row r="230" spans="1:62" hidden="1">
      <c r="A230" s="265"/>
      <c r="B230" s="289"/>
      <c r="C230" s="289"/>
      <c r="D230" s="409"/>
      <c r="E230" s="409"/>
      <c r="F230" s="409"/>
      <c r="G230" s="409"/>
      <c r="H230" s="409"/>
      <c r="I230" s="409"/>
      <c r="J230" s="409"/>
      <c r="K230" s="409"/>
      <c r="L230" s="409"/>
      <c r="M230" s="409"/>
      <c r="N230" s="409"/>
      <c r="O230" s="409"/>
      <c r="P230" s="409"/>
      <c r="Q230" s="409"/>
      <c r="R230" s="409"/>
      <c r="S230" s="409"/>
      <c r="T230" s="409"/>
      <c r="U230" s="409"/>
      <c r="V230" s="409"/>
      <c r="W230" s="289"/>
      <c r="X230" s="289"/>
      <c r="Y230" s="289"/>
      <c r="Z230" s="289"/>
      <c r="AA230" s="289"/>
      <c r="AB230" s="289"/>
      <c r="AC230" s="289"/>
      <c r="AE230" s="289"/>
      <c r="AF230" s="289"/>
      <c r="AG230" s="289"/>
      <c r="AH230" s="289"/>
      <c r="AI230" s="289"/>
      <c r="AJ230" s="289"/>
      <c r="AK230" s="289"/>
      <c r="AL230" s="289"/>
      <c r="AM230" s="289"/>
      <c r="AN230" s="289"/>
      <c r="AO230" s="289"/>
      <c r="AP230" s="409"/>
      <c r="AQ230" s="409"/>
      <c r="AR230" s="409"/>
      <c r="AS230" s="409"/>
      <c r="AT230" s="409"/>
      <c r="AU230" s="409"/>
      <c r="AV230" s="409"/>
      <c r="AW230" s="409"/>
      <c r="AX230" s="409"/>
      <c r="AY230" s="409"/>
      <c r="AZ230" s="409"/>
      <c r="BA230" s="409"/>
      <c r="BB230" s="409"/>
      <c r="BC230" s="409"/>
      <c r="BD230" s="409"/>
      <c r="BE230" s="409"/>
      <c r="BF230" s="409"/>
      <c r="BG230" s="409"/>
      <c r="BH230" s="409"/>
      <c r="BI230" s="266"/>
      <c r="BJ230" s="265"/>
    </row>
    <row r="231" spans="1:62" hidden="1">
      <c r="A231" s="265"/>
      <c r="B231" s="289"/>
      <c r="C231" s="289"/>
      <c r="D231" s="409"/>
      <c r="E231" s="409"/>
      <c r="F231" s="409"/>
      <c r="G231" s="409"/>
      <c r="H231" s="409"/>
      <c r="I231" s="409"/>
      <c r="J231" s="409"/>
      <c r="K231" s="409"/>
      <c r="L231" s="409"/>
      <c r="M231" s="409"/>
      <c r="N231" s="409"/>
      <c r="O231" s="409"/>
      <c r="P231" s="409"/>
      <c r="Q231" s="409"/>
      <c r="R231" s="409"/>
      <c r="S231" s="409"/>
      <c r="T231" s="409"/>
      <c r="U231" s="409"/>
      <c r="V231" s="409"/>
      <c r="W231" s="289"/>
      <c r="X231" s="289"/>
      <c r="Y231" s="289"/>
      <c r="Z231" s="289"/>
      <c r="AA231" s="289"/>
      <c r="AB231" s="289"/>
      <c r="AC231" s="289"/>
      <c r="AE231" s="289"/>
      <c r="AF231" s="289"/>
      <c r="AG231" s="289"/>
      <c r="AH231" s="289"/>
      <c r="AI231" s="289"/>
      <c r="AJ231" s="289"/>
      <c r="AK231" s="289"/>
      <c r="AL231" s="289"/>
      <c r="AM231" s="289"/>
      <c r="AN231" s="289"/>
      <c r="AO231" s="289"/>
      <c r="AP231" s="409"/>
      <c r="AQ231" s="409"/>
      <c r="AR231" s="409"/>
      <c r="AS231" s="409"/>
      <c r="AT231" s="409"/>
      <c r="AU231" s="409"/>
      <c r="AV231" s="409"/>
      <c r="AW231" s="409"/>
      <c r="AX231" s="409"/>
      <c r="AY231" s="409"/>
      <c r="AZ231" s="409"/>
      <c r="BA231" s="409"/>
      <c r="BB231" s="409"/>
      <c r="BC231" s="409"/>
      <c r="BD231" s="409"/>
      <c r="BE231" s="409"/>
      <c r="BF231" s="409"/>
      <c r="BG231" s="409"/>
      <c r="BH231" s="409"/>
      <c r="BI231" s="266"/>
      <c r="BJ231" s="265"/>
    </row>
    <row r="232" spans="1:62" hidden="1">
      <c r="A232" s="265"/>
      <c r="B232" s="289"/>
      <c r="C232" s="289"/>
      <c r="D232" s="409"/>
      <c r="E232" s="409"/>
      <c r="F232" s="409"/>
      <c r="G232" s="409"/>
      <c r="H232" s="409"/>
      <c r="I232" s="409"/>
      <c r="J232" s="409"/>
      <c r="K232" s="409"/>
      <c r="L232" s="409"/>
      <c r="M232" s="409"/>
      <c r="N232" s="409"/>
      <c r="O232" s="409"/>
      <c r="P232" s="409"/>
      <c r="Q232" s="409"/>
      <c r="R232" s="409"/>
      <c r="S232" s="409"/>
      <c r="T232" s="409"/>
      <c r="U232" s="409"/>
      <c r="V232" s="409"/>
      <c r="W232" s="289"/>
      <c r="X232" s="289"/>
      <c r="Y232" s="289"/>
      <c r="Z232" s="289"/>
      <c r="AA232" s="289"/>
      <c r="AB232" s="289"/>
      <c r="AC232" s="289"/>
      <c r="AE232" s="289"/>
      <c r="AF232" s="289"/>
      <c r="AG232" s="289"/>
      <c r="AH232" s="289"/>
      <c r="AI232" s="289"/>
      <c r="AJ232" s="289"/>
      <c r="AK232" s="289"/>
      <c r="AL232" s="289"/>
      <c r="AM232" s="289"/>
      <c r="AN232" s="289"/>
      <c r="AO232" s="289"/>
      <c r="AP232" s="409"/>
      <c r="AQ232" s="409"/>
      <c r="AR232" s="409"/>
      <c r="AS232" s="409"/>
      <c r="AT232" s="409"/>
      <c r="AU232" s="409"/>
      <c r="AV232" s="409"/>
      <c r="AW232" s="409"/>
      <c r="AX232" s="409"/>
      <c r="AY232" s="409"/>
      <c r="AZ232" s="409"/>
      <c r="BA232" s="409"/>
      <c r="BB232" s="409"/>
      <c r="BC232" s="409"/>
      <c r="BD232" s="409"/>
      <c r="BE232" s="409"/>
      <c r="BF232" s="409"/>
      <c r="BG232" s="409"/>
      <c r="BH232" s="409"/>
      <c r="BI232" s="266"/>
      <c r="BJ232" s="265"/>
    </row>
    <row r="233" spans="1:62">
      <c r="A233" s="265"/>
      <c r="B233" s="289"/>
      <c r="C233" s="289"/>
      <c r="D233" s="409"/>
      <c r="E233" s="409"/>
      <c r="F233" s="409"/>
      <c r="G233" s="409"/>
      <c r="H233" s="409"/>
      <c r="I233" s="409"/>
      <c r="J233" s="409"/>
      <c r="K233" s="409"/>
      <c r="L233" s="409"/>
      <c r="M233" s="409"/>
      <c r="N233" s="409"/>
      <c r="O233" s="409"/>
      <c r="P233" s="409"/>
      <c r="Q233" s="409"/>
      <c r="R233" s="409"/>
      <c r="S233" s="409"/>
      <c r="T233" s="409"/>
      <c r="U233" s="409"/>
      <c r="V233" s="409"/>
      <c r="W233" s="289"/>
      <c r="X233" s="289"/>
      <c r="Y233" s="289"/>
      <c r="Z233" s="289"/>
      <c r="AA233" s="289"/>
      <c r="AB233" s="289"/>
      <c r="AC233" s="289"/>
      <c r="AE233" s="289"/>
      <c r="AF233" s="289"/>
      <c r="AG233" s="289"/>
      <c r="AH233" s="289"/>
      <c r="AI233" s="289"/>
      <c r="AJ233" s="289"/>
      <c r="AK233" s="289"/>
      <c r="AL233" s="289"/>
      <c r="AM233" s="289"/>
      <c r="AN233" s="289"/>
      <c r="AO233" s="289"/>
      <c r="AP233" s="409"/>
      <c r="AQ233" s="409"/>
      <c r="AR233" s="409"/>
      <c r="AS233" s="409"/>
      <c r="AT233" s="409"/>
      <c r="AU233" s="409"/>
      <c r="AV233" s="409"/>
      <c r="AW233" s="409"/>
      <c r="AX233" s="409"/>
      <c r="AY233" s="409"/>
      <c r="AZ233" s="409"/>
      <c r="BA233" s="409"/>
      <c r="BB233" s="409"/>
      <c r="BC233" s="409"/>
      <c r="BD233" s="409"/>
      <c r="BE233" s="409"/>
      <c r="BF233" s="409"/>
      <c r="BG233" s="409"/>
      <c r="BH233" s="409"/>
      <c r="BI233" s="266"/>
      <c r="BJ233" s="265"/>
    </row>
    <row r="234" spans="1:62" ht="14.4" customHeight="1">
      <c r="A234" s="261"/>
      <c r="B234" s="263"/>
      <c r="C234" s="263"/>
      <c r="D234" s="263"/>
      <c r="E234" s="263"/>
      <c r="F234" s="263"/>
      <c r="G234" s="263"/>
      <c r="H234" s="263"/>
      <c r="I234" s="263"/>
      <c r="J234" s="263"/>
      <c r="K234" s="263"/>
      <c r="L234" s="263"/>
      <c r="M234" s="263"/>
      <c r="N234" s="263"/>
      <c r="O234" s="263"/>
      <c r="P234" s="263"/>
      <c r="Q234" s="263"/>
      <c r="R234" s="263"/>
      <c r="S234" s="263"/>
      <c r="T234" s="263"/>
      <c r="U234" s="263"/>
      <c r="V234" s="263"/>
      <c r="W234" s="263"/>
      <c r="X234" s="263"/>
      <c r="Y234" s="263"/>
      <c r="Z234" s="263"/>
      <c r="AA234" s="263"/>
      <c r="AB234" s="263"/>
      <c r="AC234" s="263"/>
      <c r="AD234" s="263"/>
      <c r="AE234" s="263"/>
      <c r="AF234" s="263"/>
      <c r="AG234" s="263"/>
      <c r="AH234" s="566"/>
      <c r="AI234" s="263"/>
      <c r="AJ234" s="263"/>
      <c r="AK234" s="263"/>
      <c r="AL234" s="263"/>
      <c r="AM234" s="263"/>
      <c r="AN234" s="263"/>
      <c r="AO234" s="263"/>
      <c r="AP234" s="263"/>
      <c r="AQ234" s="263"/>
      <c r="AR234" s="263"/>
      <c r="AS234" s="263"/>
      <c r="AT234" s="263"/>
      <c r="AU234" s="263"/>
      <c r="AV234" s="263"/>
      <c r="AW234" s="263"/>
      <c r="AX234" s="263"/>
      <c r="AY234" s="263"/>
      <c r="AZ234" s="263"/>
      <c r="BA234" s="263"/>
      <c r="BB234" s="263"/>
      <c r="BC234" s="263"/>
      <c r="BD234" s="263"/>
      <c r="BE234" s="263"/>
      <c r="BF234" s="263"/>
      <c r="BG234" s="263"/>
      <c r="BH234" s="263"/>
      <c r="BI234" s="263"/>
      <c r="BJ234" s="265"/>
    </row>
    <row r="235" spans="1:62" ht="21">
      <c r="A235" s="261"/>
      <c r="B235" s="263"/>
      <c r="C235" s="567" t="str">
        <f>Dane!S241</f>
        <v>Autor:</v>
      </c>
      <c r="D235" s="264"/>
      <c r="E235" s="264"/>
      <c r="F235" s="264"/>
      <c r="G235" s="264"/>
      <c r="H235" s="567" t="str">
        <f>Dane!T241</f>
        <v>PanD, 2023</v>
      </c>
      <c r="I235" s="264"/>
      <c r="J235" s="264"/>
      <c r="K235" s="264"/>
      <c r="L235" s="264"/>
      <c r="M235" s="264"/>
      <c r="N235" s="264"/>
      <c r="O235" s="264"/>
      <c r="P235" s="264"/>
      <c r="Q235" s="264"/>
      <c r="R235" s="264"/>
      <c r="S235" s="264"/>
      <c r="T235" s="264"/>
      <c r="U235" s="264"/>
      <c r="V235" s="264"/>
      <c r="W235" s="264"/>
      <c r="X235" s="264"/>
      <c r="Y235" s="264"/>
      <c r="Z235" s="264"/>
      <c r="AA235" s="264"/>
      <c r="AB235" s="264"/>
      <c r="AC235" s="264"/>
      <c r="AD235" s="264"/>
      <c r="AE235" s="264"/>
      <c r="AF235" s="264"/>
      <c r="AG235" s="264"/>
      <c r="AH235" s="566"/>
      <c r="AI235" s="264"/>
      <c r="AJ235" s="264" t="s">
        <v>468</v>
      </c>
      <c r="AK235" s="775">
        <f>AD137+IFERROR(VLOOKUP(X145,rozdzial,4,0),0)+AD154+IFERROR(VLOOKUP(X158,rozdzial,4,0),0)+AD167+AM167+AM172+AD172+AD177+AM177+AD182+AD191+AD196+AM191+AM196+AD210+AM210+AD215+AM215+AM220+AD220+AD225+AM225</f>
        <v>30899</v>
      </c>
      <c r="AL235" s="776"/>
      <c r="AM235" s="712" t="str">
        <f>"R "&amp;AM236&amp;" %"</f>
        <v>R 0 %</v>
      </c>
      <c r="AN235" s="604" t="s">
        <v>536</v>
      </c>
      <c r="AO235" s="263"/>
      <c r="AP235" s="263"/>
      <c r="AQ235" s="263"/>
      <c r="AR235" s="263"/>
      <c r="AS235" s="263"/>
      <c r="AT235" s="263"/>
      <c r="AU235" s="263"/>
      <c r="AV235" s="263"/>
      <c r="AW235" s="263"/>
      <c r="AX235" s="263"/>
      <c r="AY235" s="263"/>
      <c r="AZ235" s="263"/>
      <c r="BA235" s="263"/>
      <c r="BB235" s="263"/>
      <c r="BC235" s="263"/>
      <c r="BD235" s="263"/>
      <c r="BE235" s="263"/>
      <c r="BF235" s="263"/>
      <c r="BG235" s="263"/>
      <c r="BH235" s="263"/>
      <c r="BI235" s="263"/>
      <c r="BJ235" s="265"/>
    </row>
    <row r="236" spans="1:62" ht="11.4" customHeight="1">
      <c r="A236" s="261"/>
      <c r="B236" s="263"/>
      <c r="C236" s="566"/>
      <c r="D236" s="263"/>
      <c r="E236" s="263"/>
      <c r="F236" s="263"/>
      <c r="G236" s="263"/>
      <c r="H236" s="263"/>
      <c r="I236" s="263"/>
      <c r="J236" s="263"/>
      <c r="K236" s="263"/>
      <c r="L236" s="263"/>
      <c r="M236" s="263"/>
      <c r="N236" s="263"/>
      <c r="O236" s="263"/>
      <c r="P236" s="263"/>
      <c r="Q236" s="263"/>
      <c r="R236" s="263"/>
      <c r="S236" s="263"/>
      <c r="T236" s="263"/>
      <c r="U236" s="263"/>
      <c r="V236" s="263"/>
      <c r="W236" s="263"/>
      <c r="X236" s="263"/>
      <c r="Y236" s="263"/>
      <c r="Z236" s="263"/>
      <c r="AA236" s="263"/>
      <c r="AB236" s="263"/>
      <c r="AC236" s="263"/>
      <c r="AD236" s="263"/>
      <c r="AE236" s="263"/>
      <c r="AF236" s="263"/>
      <c r="AG236" s="263"/>
      <c r="AH236" s="566"/>
      <c r="AI236" s="263"/>
      <c r="AJ236" s="263"/>
      <c r="AK236" s="263"/>
      <c r="AL236" s="263"/>
      <c r="AM236" s="569">
        <v>0</v>
      </c>
      <c r="AN236" s="263"/>
      <c r="AO236" s="263"/>
      <c r="AP236" s="263"/>
      <c r="AQ236" s="263"/>
      <c r="AR236" s="263"/>
      <c r="AS236" s="263"/>
      <c r="AT236" s="263"/>
      <c r="AU236" s="263"/>
      <c r="AV236" s="263"/>
      <c r="AW236" s="263"/>
      <c r="AX236" s="263"/>
      <c r="AY236" s="263"/>
      <c r="AZ236" s="263"/>
      <c r="BA236" s="263"/>
      <c r="BB236" s="263"/>
      <c r="BC236" s="263"/>
      <c r="BD236" s="263"/>
      <c r="BE236" s="263"/>
      <c r="BF236" s="263"/>
      <c r="BG236" s="263"/>
      <c r="BH236" s="263"/>
      <c r="BI236" s="263"/>
      <c r="BJ236" s="265"/>
    </row>
    <row r="237" spans="1:62" ht="6.6" customHeight="1">
      <c r="A237" s="265"/>
      <c r="B237" s="265"/>
      <c r="C237" s="265"/>
      <c r="D237" s="265"/>
      <c r="E237" s="265"/>
      <c r="F237" s="265"/>
      <c r="G237" s="265"/>
      <c r="H237" s="265"/>
      <c r="I237" s="265"/>
      <c r="J237" s="265"/>
      <c r="K237" s="265"/>
      <c r="L237" s="265"/>
      <c r="M237" s="265"/>
      <c r="N237" s="265"/>
      <c r="O237" s="265"/>
      <c r="P237" s="265"/>
      <c r="Q237" s="265"/>
      <c r="R237" s="265"/>
      <c r="S237" s="265"/>
      <c r="T237" s="265"/>
      <c r="U237" s="265"/>
      <c r="V237" s="265"/>
      <c r="W237" s="265"/>
      <c r="X237" s="265"/>
      <c r="Y237" s="265"/>
      <c r="Z237" s="265"/>
      <c r="AA237" s="265"/>
      <c r="AB237" s="265"/>
      <c r="AC237" s="265"/>
      <c r="AD237" s="265"/>
      <c r="AE237" s="265"/>
      <c r="AF237" s="265"/>
      <c r="AG237" s="265"/>
      <c r="AH237" s="265"/>
      <c r="AI237" s="265"/>
      <c r="AJ237" s="265"/>
      <c r="AK237" s="265"/>
      <c r="AL237" s="265"/>
      <c r="AM237" s="265"/>
      <c r="AN237" s="265"/>
      <c r="AO237" s="265"/>
      <c r="AP237" s="265"/>
      <c r="AQ237" s="265"/>
      <c r="AR237" s="265"/>
      <c r="AS237" s="265"/>
      <c r="AT237" s="265"/>
      <c r="AU237" s="265"/>
      <c r="AV237" s="265"/>
      <c r="AW237" s="265"/>
      <c r="AX237" s="265"/>
      <c r="AY237" s="265"/>
      <c r="AZ237" s="265"/>
      <c r="BA237" s="265"/>
      <c r="BB237" s="265"/>
      <c r="BC237" s="265"/>
      <c r="BD237" s="265"/>
      <c r="BE237" s="265"/>
      <c r="BF237" s="265"/>
      <c r="BG237" s="265"/>
      <c r="BH237" s="265"/>
      <c r="BI237" s="265"/>
      <c r="BJ237" s="265"/>
    </row>
    <row r="238" spans="1:62" ht="14.4" customHeight="1">
      <c r="A238" s="265"/>
      <c r="B238" s="266"/>
      <c r="C238" s="366"/>
      <c r="D238" s="410"/>
      <c r="E238" s="410"/>
      <c r="F238" s="410"/>
      <c r="G238" s="410"/>
      <c r="H238" s="410"/>
      <c r="I238" s="410"/>
      <c r="J238" s="410"/>
      <c r="K238" s="410"/>
      <c r="L238" s="410"/>
      <c r="M238" s="410"/>
      <c r="N238" s="410"/>
      <c r="O238" s="410"/>
      <c r="P238" s="410"/>
      <c r="Q238" s="410"/>
      <c r="R238" s="410"/>
      <c r="S238" s="410"/>
      <c r="T238" s="410"/>
      <c r="U238" s="410"/>
      <c r="V238" s="410"/>
      <c r="W238" s="290"/>
      <c r="X238" s="290"/>
      <c r="Y238" s="290"/>
      <c r="Z238" s="290"/>
      <c r="AA238" s="383"/>
      <c r="AB238" s="385"/>
      <c r="AC238" s="13"/>
      <c r="AD238" s="390"/>
      <c r="AE238" s="388"/>
      <c r="AF238" s="388"/>
      <c r="AG238" s="386"/>
      <c r="AH238" s="389"/>
      <c r="AI238" s="386"/>
      <c r="AJ238" s="13"/>
      <c r="AK238" s="387"/>
      <c r="AL238" s="387"/>
      <c r="AM238" s="386"/>
      <c r="AN238" s="266"/>
      <c r="AO238" s="366" t="str">
        <f>IF(Obliczenia!AP10&lt;&gt;0,Obliczenia!AP10,"")</f>
        <v/>
      </c>
      <c r="AP238" s="410"/>
      <c r="AQ238" s="410"/>
      <c r="AR238" s="410"/>
      <c r="AS238" s="410"/>
      <c r="AT238" s="410"/>
      <c r="AU238" s="410"/>
      <c r="AV238" s="410"/>
      <c r="AW238" s="410"/>
      <c r="AX238" s="410"/>
      <c r="AY238" s="410"/>
      <c r="AZ238" s="410"/>
      <c r="BA238" s="410"/>
      <c r="BB238" s="410"/>
      <c r="BC238" s="410"/>
      <c r="BD238" s="410"/>
      <c r="BE238" s="410"/>
      <c r="BF238" s="410"/>
      <c r="BG238" s="410"/>
      <c r="BH238" s="410"/>
      <c r="BI238" s="266"/>
      <c r="BJ238" s="423"/>
    </row>
    <row r="239" spans="1:62" ht="14.4" customHeight="1">
      <c r="A239" s="265"/>
      <c r="B239" s="266"/>
      <c r="C239" s="366"/>
      <c r="D239" s="410"/>
      <c r="E239" s="410"/>
      <c r="F239" s="410"/>
      <c r="G239" s="410"/>
      <c r="H239" s="410"/>
      <c r="I239" s="410"/>
      <c r="J239" s="410"/>
      <c r="K239" s="410"/>
      <c r="L239" s="410"/>
      <c r="M239" s="410"/>
      <c r="N239" s="410"/>
      <c r="O239" s="410"/>
      <c r="P239" s="410"/>
      <c r="Q239" s="410"/>
      <c r="R239" s="410"/>
      <c r="S239" s="410"/>
      <c r="T239" s="410"/>
      <c r="U239" s="410"/>
      <c r="V239" s="410"/>
      <c r="W239" s="290"/>
      <c r="X239" s="290"/>
      <c r="Y239" s="290"/>
      <c r="Z239" s="290"/>
      <c r="AA239" s="383"/>
      <c r="AB239" s="385"/>
      <c r="AC239" s="13"/>
      <c r="AD239" s="390"/>
      <c r="AE239" s="388"/>
      <c r="AF239" s="388"/>
      <c r="AG239" s="386"/>
      <c r="AH239" s="389"/>
      <c r="AI239" s="386"/>
      <c r="AJ239" s="13"/>
      <c r="AK239" s="387"/>
      <c r="AL239" s="387"/>
      <c r="AM239" s="386"/>
      <c r="AN239" s="266"/>
      <c r="AO239" s="366"/>
      <c r="AP239" s="410"/>
      <c r="AQ239" s="410"/>
      <c r="AR239" s="410"/>
      <c r="AS239" s="410"/>
      <c r="AT239" s="410"/>
      <c r="AU239" s="410"/>
      <c r="AV239" s="410"/>
      <c r="AW239" s="410"/>
      <c r="AX239" s="410"/>
      <c r="AY239" s="410"/>
      <c r="AZ239" s="410"/>
      <c r="BA239" s="410"/>
      <c r="BB239" s="410"/>
      <c r="BC239" s="410"/>
      <c r="BD239" s="410"/>
      <c r="BE239" s="410"/>
      <c r="BF239" s="410"/>
      <c r="BG239" s="410"/>
      <c r="BH239" s="410"/>
      <c r="BI239" s="266"/>
      <c r="BJ239" s="423"/>
    </row>
    <row r="240" spans="1:62" ht="14.4" customHeight="1">
      <c r="A240" s="265"/>
      <c r="B240" s="266"/>
      <c r="C240" s="366"/>
      <c r="D240" s="410"/>
      <c r="E240" s="410"/>
      <c r="F240" s="410"/>
      <c r="G240" s="410"/>
      <c r="H240" s="410"/>
      <c r="I240" s="410"/>
      <c r="J240" s="410"/>
      <c r="K240" s="410"/>
      <c r="L240" s="410"/>
      <c r="M240" s="410"/>
      <c r="N240" s="410"/>
      <c r="O240" s="410"/>
      <c r="P240" s="410"/>
      <c r="Q240" s="410"/>
      <c r="R240" s="410"/>
      <c r="S240" s="410"/>
      <c r="T240" s="410"/>
      <c r="U240" s="410"/>
      <c r="V240" s="410"/>
      <c r="W240" s="290"/>
      <c r="X240" s="290"/>
      <c r="Y240" s="290"/>
      <c r="Z240" s="290"/>
      <c r="AA240" s="384"/>
      <c r="AB240" s="385"/>
      <c r="AC240" s="13"/>
      <c r="AD240" s="390"/>
      <c r="AE240" s="388"/>
      <c r="AF240" s="388"/>
      <c r="AG240" s="386"/>
      <c r="AH240" s="389"/>
      <c r="AI240" s="386"/>
      <c r="AJ240" s="13"/>
      <c r="AK240" s="386"/>
      <c r="AL240" s="386"/>
      <c r="AM240" s="386"/>
      <c r="AN240" s="266"/>
      <c r="AO240" s="366">
        <f>IF(Obliczenia!AP11&lt;&gt;0,Obliczenia!AP11,"")</f>
        <v>3</v>
      </c>
      <c r="AP240" s="410"/>
      <c r="AQ240" s="410"/>
      <c r="AR240" s="410"/>
      <c r="AS240" s="410"/>
      <c r="AT240" s="410"/>
      <c r="AU240" s="410"/>
      <c r="AV240" s="410"/>
      <c r="AW240" s="410"/>
      <c r="AX240" s="410"/>
      <c r="AY240" s="410"/>
      <c r="AZ240" s="410"/>
      <c r="BA240" s="410"/>
      <c r="BB240" s="410"/>
      <c r="BC240" s="410"/>
      <c r="BD240" s="410"/>
      <c r="BE240" s="410"/>
      <c r="BF240" s="410"/>
      <c r="BG240" s="410"/>
      <c r="BH240" s="410"/>
      <c r="BI240" s="266"/>
      <c r="BJ240" s="423"/>
    </row>
    <row r="241" spans="1:62" ht="14.4" customHeight="1">
      <c r="A241" s="265"/>
      <c r="B241" s="266"/>
      <c r="C241" s="366"/>
      <c r="D241" s="410"/>
      <c r="E241" s="410"/>
      <c r="F241" s="410"/>
      <c r="G241" s="410"/>
      <c r="H241" s="410"/>
      <c r="I241" s="410"/>
      <c r="J241" s="410"/>
      <c r="K241" s="410"/>
      <c r="L241" s="410"/>
      <c r="M241" s="410"/>
      <c r="N241" s="410"/>
      <c r="O241" s="410"/>
      <c r="P241" s="410"/>
      <c r="Q241" s="410"/>
      <c r="R241" s="410"/>
      <c r="S241" s="410"/>
      <c r="T241" s="410"/>
      <c r="U241" s="410"/>
      <c r="V241" s="410"/>
      <c r="W241" s="290"/>
      <c r="X241" s="290"/>
      <c r="Y241" s="290"/>
      <c r="Z241" s="290"/>
      <c r="AA241" s="384"/>
      <c r="AB241" s="385"/>
      <c r="AC241" s="13"/>
      <c r="AD241" s="390"/>
      <c r="AE241" s="388"/>
      <c r="AF241" s="388"/>
      <c r="AG241" s="386"/>
      <c r="AH241" s="389"/>
      <c r="AI241" s="386"/>
      <c r="AJ241" s="13"/>
      <c r="AK241" s="386"/>
      <c r="AL241" s="386"/>
      <c r="AM241" s="386"/>
      <c r="AN241" s="266"/>
      <c r="AO241" s="366"/>
      <c r="AP241" s="410"/>
      <c r="AQ241" s="410"/>
      <c r="AR241" s="410"/>
      <c r="AS241" s="410"/>
      <c r="AT241" s="410"/>
      <c r="AU241" s="410"/>
      <c r="AV241" s="410"/>
      <c r="AW241" s="410"/>
      <c r="AX241" s="410"/>
      <c r="AY241" s="410"/>
      <c r="AZ241" s="410"/>
      <c r="BA241" s="410"/>
      <c r="BB241" s="410"/>
      <c r="BC241" s="410"/>
      <c r="BD241" s="410"/>
      <c r="BE241" s="410"/>
      <c r="BF241" s="410"/>
      <c r="BG241" s="410"/>
      <c r="BH241" s="410"/>
      <c r="BI241" s="266"/>
      <c r="BJ241" s="423"/>
    </row>
    <row r="242" spans="1:62" ht="14.4" customHeight="1">
      <c r="A242" s="265"/>
      <c r="B242" s="266"/>
      <c r="C242" s="366"/>
      <c r="D242" s="410"/>
      <c r="E242" s="410"/>
      <c r="F242" s="410"/>
      <c r="G242" s="410"/>
      <c r="H242" s="410"/>
      <c r="I242" s="410"/>
      <c r="J242" s="410"/>
      <c r="K242" s="410"/>
      <c r="L242" s="410"/>
      <c r="M242" s="410"/>
      <c r="N242" s="410"/>
      <c r="O242" s="410"/>
      <c r="P242" s="410"/>
      <c r="Q242" s="410"/>
      <c r="R242" s="410"/>
      <c r="S242" s="410"/>
      <c r="T242" s="410"/>
      <c r="U242" s="410"/>
      <c r="V242" s="410"/>
      <c r="W242" s="290"/>
      <c r="X242" s="290"/>
      <c r="Y242" s="290"/>
      <c r="Z242" s="290"/>
      <c r="AA242" s="290"/>
      <c r="AB242" s="385"/>
      <c r="AC242" s="13"/>
      <c r="AD242" s="390"/>
      <c r="AE242" s="388"/>
      <c r="AF242" s="388"/>
      <c r="AG242" s="386"/>
      <c r="AH242" s="389"/>
      <c r="AI242" s="386"/>
      <c r="AJ242" s="13"/>
      <c r="AK242" s="266"/>
      <c r="AL242" s="266"/>
      <c r="AM242" s="266"/>
      <c r="AN242" s="266"/>
      <c r="AO242" s="366" t="str">
        <f>IF(Obliczenia!AP12&lt;&gt;0,Obliczenia!AP12,"")</f>
        <v/>
      </c>
      <c r="AP242" s="410"/>
      <c r="AQ242" s="410"/>
      <c r="AR242" s="410"/>
      <c r="AS242" s="410"/>
      <c r="AT242" s="410"/>
      <c r="AU242" s="410"/>
      <c r="AV242" s="410"/>
      <c r="AW242" s="410"/>
      <c r="AX242" s="410"/>
      <c r="AY242" s="410"/>
      <c r="AZ242" s="410"/>
      <c r="BA242" s="410"/>
      <c r="BB242" s="410"/>
      <c r="BC242" s="410"/>
      <c r="BD242" s="410"/>
      <c r="BE242" s="410"/>
      <c r="BF242" s="410"/>
      <c r="BG242" s="410"/>
      <c r="BH242" s="410"/>
      <c r="BI242" s="266"/>
      <c r="BJ242" s="423"/>
    </row>
    <row r="243" spans="1:62" ht="14.4" customHeight="1">
      <c r="A243" s="265"/>
      <c r="B243" s="266"/>
      <c r="C243" s="366"/>
      <c r="D243" s="410"/>
      <c r="E243" s="410"/>
      <c r="F243" s="410"/>
      <c r="G243" s="410"/>
      <c r="H243" s="410"/>
      <c r="I243" s="410"/>
      <c r="J243" s="410"/>
      <c r="K243" s="410"/>
      <c r="L243" s="410"/>
      <c r="M243" s="410"/>
      <c r="N243" s="410"/>
      <c r="O243" s="410"/>
      <c r="P243" s="410"/>
      <c r="Q243" s="410"/>
      <c r="R243" s="410"/>
      <c r="S243" s="410"/>
      <c r="T243" s="410"/>
      <c r="U243" s="410"/>
      <c r="V243" s="410"/>
      <c r="W243" s="290"/>
      <c r="X243" s="290"/>
      <c r="Y243" s="290"/>
      <c r="Z243" s="290"/>
      <c r="AA243" s="290"/>
      <c r="AB243" s="385"/>
      <c r="AC243" s="13"/>
      <c r="AD243" s="390"/>
      <c r="AE243" s="388"/>
      <c r="AF243" s="388"/>
      <c r="AG243" s="386"/>
      <c r="AH243" s="389"/>
      <c r="AI243" s="386"/>
      <c r="AJ243" s="13"/>
      <c r="AK243" s="266"/>
      <c r="AL243" s="266"/>
      <c r="AM243" s="266"/>
      <c r="AN243" s="266"/>
      <c r="AO243" s="366"/>
      <c r="AP243" s="410"/>
      <c r="AQ243" s="410"/>
      <c r="AR243" s="410"/>
      <c r="AS243" s="410"/>
      <c r="AT243" s="410"/>
      <c r="AU243" s="410"/>
      <c r="AV243" s="410"/>
      <c r="AW243" s="410"/>
      <c r="AX243" s="410"/>
      <c r="AY243" s="410"/>
      <c r="AZ243" s="410"/>
      <c r="BA243" s="410"/>
      <c r="BB243" s="410"/>
      <c r="BC243" s="410"/>
      <c r="BD243" s="410"/>
      <c r="BE243" s="410"/>
      <c r="BF243" s="410"/>
      <c r="BG243" s="410"/>
      <c r="BH243" s="410"/>
      <c r="BI243" s="266"/>
      <c r="BJ243" s="423"/>
    </row>
    <row r="244" spans="1:62" ht="14.4" customHeight="1">
      <c r="A244" s="265"/>
      <c r="B244" s="266"/>
      <c r="C244" s="366"/>
      <c r="D244" s="410"/>
      <c r="E244" s="410"/>
      <c r="F244" s="410"/>
      <c r="G244" s="410"/>
      <c r="H244" s="410"/>
      <c r="I244" s="410"/>
      <c r="J244" s="410"/>
      <c r="K244" s="410"/>
      <c r="L244" s="410"/>
      <c r="M244" s="410"/>
      <c r="N244" s="410"/>
      <c r="O244" s="410"/>
      <c r="P244" s="410"/>
      <c r="Q244" s="410"/>
      <c r="R244" s="410"/>
      <c r="S244" s="410"/>
      <c r="T244" s="410"/>
      <c r="U244" s="410"/>
      <c r="V244" s="410"/>
      <c r="W244" s="290"/>
      <c r="X244" s="290"/>
      <c r="Y244" s="290"/>
      <c r="Z244" s="290"/>
      <c r="AA244" s="290"/>
      <c r="AB244" s="385"/>
      <c r="AC244" s="13"/>
      <c r="AD244" s="390"/>
      <c r="AE244" s="388"/>
      <c r="AF244" s="388"/>
      <c r="AG244" s="386"/>
      <c r="AH244" s="389"/>
      <c r="AI244" s="386"/>
      <c r="AJ244" s="13"/>
      <c r="AK244" s="266"/>
      <c r="AL244" s="266"/>
      <c r="AM244" s="266"/>
      <c r="AN244" s="266"/>
      <c r="AO244" s="366">
        <f>IF(Obliczenia!AP13&lt;&gt;0,Obliczenia!AP13,"")</f>
        <v>1</v>
      </c>
      <c r="AP244" s="410"/>
      <c r="AQ244" s="410"/>
      <c r="AR244" s="410"/>
      <c r="AS244" s="410"/>
      <c r="AT244" s="410"/>
      <c r="AU244" s="410"/>
      <c r="AV244" s="410"/>
      <c r="AW244" s="410"/>
      <c r="AX244" s="410"/>
      <c r="AY244" s="410"/>
      <c r="AZ244" s="410"/>
      <c r="BA244" s="410"/>
      <c r="BB244" s="410"/>
      <c r="BC244" s="410"/>
      <c r="BD244" s="410"/>
      <c r="BE244" s="410"/>
      <c r="BF244" s="410"/>
      <c r="BG244" s="410"/>
      <c r="BH244" s="410"/>
      <c r="BI244" s="266"/>
      <c r="BJ244" s="423"/>
    </row>
    <row r="245" spans="1:62" ht="14.4" customHeight="1">
      <c r="A245" s="265"/>
      <c r="B245" s="266"/>
      <c r="C245" s="366"/>
      <c r="D245" s="410"/>
      <c r="E245" s="410"/>
      <c r="F245" s="410"/>
      <c r="G245" s="410"/>
      <c r="H245" s="410"/>
      <c r="I245" s="410"/>
      <c r="J245" s="410"/>
      <c r="K245" s="410"/>
      <c r="L245" s="410"/>
      <c r="M245" s="410"/>
      <c r="N245" s="410"/>
      <c r="O245" s="410"/>
      <c r="P245" s="410"/>
      <c r="Q245" s="410"/>
      <c r="R245" s="410"/>
      <c r="S245" s="410"/>
      <c r="T245" s="410"/>
      <c r="U245" s="410"/>
      <c r="V245" s="410"/>
      <c r="W245" s="290"/>
      <c r="X245" s="290"/>
      <c r="Y245" s="290"/>
      <c r="Z245" s="290"/>
      <c r="AA245" s="290"/>
      <c r="AB245" s="385"/>
      <c r="AC245" s="13"/>
      <c r="AD245" s="390"/>
      <c r="AE245" s="388"/>
      <c r="AF245" s="388"/>
      <c r="AG245" s="386"/>
      <c r="AH245" s="389"/>
      <c r="AI245" s="386"/>
      <c r="AJ245" s="13"/>
      <c r="AK245" s="266"/>
      <c r="AL245" s="266"/>
      <c r="AM245" s="266"/>
      <c r="AN245" s="266"/>
      <c r="AO245" s="366"/>
      <c r="AP245" s="410"/>
      <c r="AQ245" s="410"/>
      <c r="AR245" s="410"/>
      <c r="AS245" s="410"/>
      <c r="AT245" s="410"/>
      <c r="AU245" s="410"/>
      <c r="AV245" s="410"/>
      <c r="AW245" s="410"/>
      <c r="AX245" s="410"/>
      <c r="AY245" s="410"/>
      <c r="AZ245" s="410"/>
      <c r="BA245" s="410"/>
      <c r="BB245" s="410"/>
      <c r="BC245" s="410"/>
      <c r="BD245" s="410"/>
      <c r="BE245" s="410"/>
      <c r="BF245" s="410"/>
      <c r="BG245" s="410"/>
      <c r="BH245" s="410"/>
      <c r="BI245" s="266"/>
      <c r="BJ245" s="423"/>
    </row>
    <row r="246" spans="1:62" ht="14.4" customHeight="1">
      <c r="A246" s="265"/>
      <c r="B246" s="266"/>
      <c r="C246" s="366"/>
      <c r="D246" s="410"/>
      <c r="E246" s="410"/>
      <c r="F246" s="410"/>
      <c r="G246" s="410"/>
      <c r="H246" s="410"/>
      <c r="I246" s="410"/>
      <c r="J246" s="410"/>
      <c r="K246" s="410"/>
      <c r="L246" s="410"/>
      <c r="M246" s="410"/>
      <c r="N246" s="410"/>
      <c r="O246" s="410"/>
      <c r="P246" s="410"/>
      <c r="Q246" s="410"/>
      <c r="R246" s="410"/>
      <c r="S246" s="410"/>
      <c r="T246" s="410"/>
      <c r="U246" s="410"/>
      <c r="V246" s="410"/>
      <c r="W246" s="290"/>
      <c r="X246" s="290"/>
      <c r="Y246" s="290"/>
      <c r="Z246" s="290"/>
      <c r="AA246" s="290"/>
      <c r="AB246" s="385"/>
      <c r="AC246" s="13"/>
      <c r="AD246" s="390"/>
      <c r="AE246" s="388"/>
      <c r="AF246" s="388"/>
      <c r="AG246" s="386"/>
      <c r="AH246" s="389"/>
      <c r="AI246" s="386"/>
      <c r="AJ246" s="13"/>
      <c r="AK246" s="266"/>
      <c r="AL246" s="266"/>
      <c r="AM246" s="266"/>
      <c r="AN246" s="266"/>
      <c r="AO246" s="366"/>
      <c r="AP246" s="410"/>
      <c r="AQ246" s="410"/>
      <c r="AR246" s="410"/>
      <c r="AS246" s="410"/>
      <c r="AT246" s="410"/>
      <c r="AU246" s="410"/>
      <c r="AV246" s="410"/>
      <c r="AW246" s="410"/>
      <c r="AX246" s="410"/>
      <c r="AY246" s="410"/>
      <c r="AZ246" s="410"/>
      <c r="BA246" s="410"/>
      <c r="BB246" s="410"/>
      <c r="BC246" s="410"/>
      <c r="BD246" s="410"/>
      <c r="BE246" s="410"/>
      <c r="BF246" s="410"/>
      <c r="BG246" s="410"/>
      <c r="BH246" s="410"/>
      <c r="BI246" s="266"/>
      <c r="BJ246" s="423"/>
    </row>
    <row r="247" spans="1:62" ht="14.4" customHeight="1">
      <c r="A247" s="265"/>
      <c r="B247" s="266"/>
      <c r="C247" s="366"/>
      <c r="D247" s="410"/>
      <c r="E247" s="410"/>
      <c r="F247" s="410"/>
      <c r="G247" s="410"/>
      <c r="H247" s="410"/>
      <c r="I247" s="410"/>
      <c r="J247" s="410"/>
      <c r="K247" s="410"/>
      <c r="L247" s="410"/>
      <c r="M247" s="410"/>
      <c r="N247" s="410"/>
      <c r="O247" s="410"/>
      <c r="P247" s="410"/>
      <c r="Q247" s="410"/>
      <c r="R247" s="410"/>
      <c r="S247" s="410"/>
      <c r="T247" s="410"/>
      <c r="U247" s="410"/>
      <c r="V247" s="410"/>
      <c r="W247" s="290"/>
      <c r="X247" s="290"/>
      <c r="Y247" s="290"/>
      <c r="Z247" s="290"/>
      <c r="AA247" s="290"/>
      <c r="AB247" s="385"/>
      <c r="AC247" s="13"/>
      <c r="AD247" s="390"/>
      <c r="AE247" s="388"/>
      <c r="AF247" s="388"/>
      <c r="AG247" s="386"/>
      <c r="AH247" s="389"/>
      <c r="AI247" s="386"/>
      <c r="AJ247" s="13"/>
      <c r="AK247" s="266"/>
      <c r="AL247" s="266"/>
      <c r="AM247" s="266"/>
      <c r="AN247" s="266"/>
      <c r="AO247" s="366"/>
      <c r="AP247" s="410"/>
      <c r="AQ247" s="410"/>
      <c r="AR247" s="410"/>
      <c r="AS247" s="410"/>
      <c r="AT247" s="410"/>
      <c r="AU247" s="410"/>
      <c r="AV247" s="410"/>
      <c r="AW247" s="410"/>
      <c r="AX247" s="410"/>
      <c r="AY247" s="410"/>
      <c r="AZ247" s="410"/>
      <c r="BA247" s="410"/>
      <c r="BB247" s="410"/>
      <c r="BC247" s="410"/>
      <c r="BD247" s="410"/>
      <c r="BE247" s="410"/>
      <c r="BF247" s="410"/>
      <c r="BG247" s="410"/>
      <c r="BH247" s="410"/>
      <c r="BI247" s="266"/>
      <c r="BJ247" s="423"/>
    </row>
    <row r="248" spans="1:62" ht="14.4" customHeight="1">
      <c r="A248" s="265"/>
      <c r="B248" s="266"/>
      <c r="C248" s="366"/>
      <c r="D248" s="410"/>
      <c r="E248" s="410"/>
      <c r="F248" s="410"/>
      <c r="G248" s="410"/>
      <c r="H248" s="410"/>
      <c r="I248" s="410"/>
      <c r="J248" s="410"/>
      <c r="K248" s="410"/>
      <c r="L248" s="410"/>
      <c r="M248" s="410"/>
      <c r="N248" s="410"/>
      <c r="O248" s="410"/>
      <c r="P248" s="410"/>
      <c r="Q248" s="410"/>
      <c r="R248" s="410"/>
      <c r="S248" s="410"/>
      <c r="T248" s="410"/>
      <c r="U248" s="410"/>
      <c r="V248" s="410"/>
      <c r="W248" s="290"/>
      <c r="X248" s="290"/>
      <c r="Y248" s="290"/>
      <c r="Z248" s="290"/>
      <c r="AA248" s="290"/>
      <c r="AB248" s="385"/>
      <c r="AC248" s="13"/>
      <c r="AD248" s="390"/>
      <c r="AE248" s="388"/>
      <c r="AF248" s="388"/>
      <c r="AG248" s="386"/>
      <c r="AH248" s="389"/>
      <c r="AI248" s="386"/>
      <c r="AJ248" s="13"/>
      <c r="AK248" s="266"/>
      <c r="AL248" s="266"/>
      <c r="AM248" s="266"/>
      <c r="AN248" s="266"/>
      <c r="AO248" s="366"/>
      <c r="AP248" s="410"/>
      <c r="AQ248" s="410"/>
      <c r="AR248" s="410"/>
      <c r="AS248" s="410"/>
      <c r="AT248" s="410"/>
      <c r="AU248" s="410"/>
      <c r="AV248" s="410"/>
      <c r="AW248" s="410"/>
      <c r="AX248" s="410"/>
      <c r="AY248" s="410"/>
      <c r="AZ248" s="410"/>
      <c r="BA248" s="410"/>
      <c r="BB248" s="410"/>
      <c r="BC248" s="410"/>
      <c r="BD248" s="410"/>
      <c r="BE248" s="410"/>
      <c r="BF248" s="410"/>
      <c r="BG248" s="410"/>
      <c r="BH248" s="410"/>
      <c r="BI248" s="266"/>
      <c r="BJ248" s="423"/>
    </row>
    <row r="249" spans="1:62" ht="14.4" customHeight="1">
      <c r="A249" s="265"/>
      <c r="B249" s="266"/>
      <c r="C249" s="366"/>
      <c r="D249" s="410"/>
      <c r="E249" s="410"/>
      <c r="F249" s="410"/>
      <c r="G249" s="410"/>
      <c r="H249" s="410"/>
      <c r="I249" s="410"/>
      <c r="J249" s="410"/>
      <c r="K249" s="410"/>
      <c r="L249" s="410"/>
      <c r="M249" s="410"/>
      <c r="N249" s="410"/>
      <c r="O249" s="410"/>
      <c r="P249" s="410"/>
      <c r="Q249" s="410"/>
      <c r="R249" s="410"/>
      <c r="S249" s="410"/>
      <c r="T249" s="410"/>
      <c r="U249" s="410"/>
      <c r="V249" s="410"/>
      <c r="W249" s="290"/>
      <c r="X249" s="290"/>
      <c r="Y249" s="290"/>
      <c r="Z249" s="290"/>
      <c r="AA249" s="290"/>
      <c r="AB249" s="385"/>
      <c r="AC249" s="13"/>
      <c r="AD249" s="390"/>
      <c r="AE249" s="388"/>
      <c r="AF249" s="388"/>
      <c r="AG249" s="386"/>
      <c r="AH249" s="389"/>
      <c r="AI249" s="386"/>
      <c r="AJ249" s="13"/>
      <c r="AK249" s="266"/>
      <c r="AL249" s="266"/>
      <c r="AM249" s="266"/>
      <c r="AN249" s="266"/>
      <c r="AO249" s="366"/>
      <c r="AP249" s="410"/>
      <c r="AQ249" s="410"/>
      <c r="AR249" s="410"/>
      <c r="AS249" s="410"/>
      <c r="AT249" s="410"/>
      <c r="AU249" s="410"/>
      <c r="AV249" s="410"/>
      <c r="AW249" s="410"/>
      <c r="AX249" s="410"/>
      <c r="AY249" s="410"/>
      <c r="AZ249" s="410"/>
      <c r="BA249" s="410"/>
      <c r="BB249" s="410"/>
      <c r="BC249" s="410"/>
      <c r="BD249" s="410"/>
      <c r="BE249" s="410"/>
      <c r="BF249" s="410"/>
      <c r="BG249" s="410"/>
      <c r="BH249" s="410"/>
      <c r="BI249" s="266"/>
      <c r="BJ249" s="423"/>
    </row>
    <row r="250" spans="1:62" ht="14.4" customHeight="1">
      <c r="A250" s="265"/>
      <c r="B250" s="266"/>
      <c r="C250" s="366"/>
      <c r="D250" s="410"/>
      <c r="E250" s="410"/>
      <c r="F250" s="410"/>
      <c r="G250" s="410"/>
      <c r="H250" s="410"/>
      <c r="I250" s="410"/>
      <c r="J250" s="410"/>
      <c r="K250" s="410"/>
      <c r="L250" s="410"/>
      <c r="M250" s="410"/>
      <c r="N250" s="410"/>
      <c r="O250" s="410"/>
      <c r="P250" s="410"/>
      <c r="Q250" s="410"/>
      <c r="R250" s="410"/>
      <c r="S250" s="410"/>
      <c r="T250" s="410"/>
      <c r="U250" s="410"/>
      <c r="V250" s="410"/>
      <c r="W250" s="290"/>
      <c r="X250" s="290"/>
      <c r="Y250" s="290"/>
      <c r="Z250" s="290"/>
      <c r="AA250" s="290"/>
      <c r="AB250" s="385"/>
      <c r="AC250" s="13"/>
      <c r="AD250" s="390"/>
      <c r="AE250" s="388"/>
      <c r="AF250" s="388"/>
      <c r="AG250" s="386"/>
      <c r="AH250" s="389"/>
      <c r="AI250" s="386"/>
      <c r="AJ250" s="13"/>
      <c r="AK250" s="266"/>
      <c r="AL250" s="266"/>
      <c r="AM250" s="266"/>
      <c r="AN250" s="266"/>
      <c r="AO250" s="366"/>
      <c r="AP250" s="410"/>
      <c r="AQ250" s="410"/>
      <c r="AR250" s="410"/>
      <c r="AS250" s="410"/>
      <c r="AT250" s="410"/>
      <c r="AU250" s="410"/>
      <c r="AV250" s="410"/>
      <c r="AW250" s="410"/>
      <c r="AX250" s="410"/>
      <c r="AY250" s="410"/>
      <c r="AZ250" s="410"/>
      <c r="BA250" s="410"/>
      <c r="BB250" s="410"/>
      <c r="BC250" s="410"/>
      <c r="BD250" s="410"/>
      <c r="BE250" s="410"/>
      <c r="BF250" s="410"/>
      <c r="BG250" s="410"/>
      <c r="BH250" s="410"/>
      <c r="BI250" s="266"/>
      <c r="BJ250" s="423"/>
    </row>
    <row r="251" spans="1:62" ht="14.4" customHeight="1">
      <c r="A251" s="265"/>
      <c r="B251" s="266"/>
      <c r="C251" s="366"/>
      <c r="D251" s="410"/>
      <c r="E251" s="410"/>
      <c r="F251" s="410"/>
      <c r="G251" s="410"/>
      <c r="H251" s="410"/>
      <c r="I251" s="410"/>
      <c r="J251" s="410"/>
      <c r="K251" s="410"/>
      <c r="L251" s="410"/>
      <c r="M251" s="410"/>
      <c r="N251" s="410"/>
      <c r="O251" s="410"/>
      <c r="P251" s="410"/>
      <c r="Q251" s="410"/>
      <c r="R251" s="410"/>
      <c r="S251" s="410"/>
      <c r="T251" s="410"/>
      <c r="U251" s="410"/>
      <c r="V251" s="410"/>
      <c r="W251" s="290"/>
      <c r="X251" s="290"/>
      <c r="Y251" s="290"/>
      <c r="Z251" s="290"/>
      <c r="AA251" s="290"/>
      <c r="AB251" s="290"/>
      <c r="AC251" s="290"/>
      <c r="AD251" s="266"/>
      <c r="AE251" s="266"/>
      <c r="AF251" s="266"/>
      <c r="AG251" s="266"/>
      <c r="AH251" s="386"/>
      <c r="AI251" s="266"/>
      <c r="AJ251" s="13"/>
      <c r="AK251" s="266"/>
      <c r="AL251" s="266"/>
      <c r="AM251" s="266"/>
      <c r="AN251" s="266"/>
      <c r="AO251" s="366" t="str">
        <f>IF(Obliczenia!AP14&lt;&gt;0,Obliczenia!AP14,"")</f>
        <v/>
      </c>
      <c r="AP251" s="410"/>
      <c r="AQ251" s="410"/>
      <c r="AR251" s="410"/>
      <c r="AS251" s="410"/>
      <c r="AT251" s="410"/>
      <c r="AU251" s="410"/>
      <c r="AV251" s="410"/>
      <c r="AW251" s="410"/>
      <c r="AX251" s="410"/>
      <c r="AY251" s="410"/>
      <c r="AZ251" s="410"/>
      <c r="BA251" s="410"/>
      <c r="BB251" s="410"/>
      <c r="BC251" s="410"/>
      <c r="BD251" s="410"/>
      <c r="BE251" s="410"/>
      <c r="BF251" s="410"/>
      <c r="BG251" s="410"/>
      <c r="BH251" s="410"/>
      <c r="BI251" s="266"/>
      <c r="BJ251" s="423"/>
    </row>
    <row r="252" spans="1:62" ht="14.4" customHeight="1">
      <c r="A252" s="265"/>
      <c r="B252" s="266"/>
      <c r="C252" s="366"/>
      <c r="D252" s="410"/>
      <c r="E252" s="410"/>
      <c r="F252" s="410"/>
      <c r="G252" s="410"/>
      <c r="H252" s="410"/>
      <c r="I252" s="410"/>
      <c r="J252" s="410"/>
      <c r="K252" s="410"/>
      <c r="L252" s="410"/>
      <c r="M252" s="410"/>
      <c r="N252" s="410"/>
      <c r="O252" s="410"/>
      <c r="P252" s="410"/>
      <c r="Q252" s="410"/>
      <c r="R252" s="410"/>
      <c r="S252" s="410"/>
      <c r="T252" s="410"/>
      <c r="U252" s="410"/>
      <c r="V252" s="410"/>
      <c r="W252" s="290"/>
      <c r="X252" s="290"/>
      <c r="Y252" s="290"/>
      <c r="Z252" s="290"/>
      <c r="AA252" s="290"/>
      <c r="AB252" s="290"/>
      <c r="AC252" s="290"/>
      <c r="AD252" s="266"/>
      <c r="AE252" s="266"/>
      <c r="AF252" s="266"/>
      <c r="AG252" s="266"/>
      <c r="AH252" s="386"/>
      <c r="AI252" s="266"/>
      <c r="AJ252" s="13"/>
      <c r="AK252" s="266"/>
      <c r="AL252" s="266"/>
      <c r="AM252" s="266"/>
      <c r="AN252" s="266"/>
      <c r="AO252" s="366">
        <f>IF(Obliczenia!AP15&lt;&gt;0,Obliczenia!AP15,"")</f>
        <v>1</v>
      </c>
      <c r="AP252" s="410"/>
      <c r="AQ252" s="410"/>
      <c r="AR252" s="410"/>
      <c r="AS252" s="410"/>
      <c r="AT252" s="410"/>
      <c r="AU252" s="410"/>
      <c r="AV252" s="410"/>
      <c r="AW252" s="410"/>
      <c r="AX252" s="410"/>
      <c r="AY252" s="410"/>
      <c r="AZ252" s="410"/>
      <c r="BA252" s="410"/>
      <c r="BB252" s="410"/>
      <c r="BC252" s="410"/>
      <c r="BD252" s="410"/>
      <c r="BE252" s="410"/>
      <c r="BF252" s="410"/>
      <c r="BG252" s="410"/>
      <c r="BH252" s="410"/>
      <c r="BI252" s="266"/>
      <c r="BJ252" s="423"/>
    </row>
    <row r="253" spans="1:62" ht="14.4" customHeight="1">
      <c r="A253" s="265"/>
      <c r="B253" s="266"/>
      <c r="C253" s="366"/>
      <c r="D253" s="410"/>
      <c r="E253" s="410"/>
      <c r="F253" s="410"/>
      <c r="G253" s="410"/>
      <c r="H253" s="410"/>
      <c r="I253" s="410"/>
      <c r="J253" s="410"/>
      <c r="K253" s="410"/>
      <c r="L253" s="410"/>
      <c r="M253" s="410"/>
      <c r="N253" s="410"/>
      <c r="O253" s="410"/>
      <c r="P253" s="410"/>
      <c r="Q253" s="410"/>
      <c r="R253" s="410"/>
      <c r="S253" s="410"/>
      <c r="T253" s="410"/>
      <c r="U253" s="410"/>
      <c r="V253" s="410"/>
      <c r="W253" s="290"/>
      <c r="X253" s="290"/>
      <c r="Y253" s="290"/>
      <c r="Z253" s="290"/>
      <c r="AA253" s="290"/>
      <c r="AB253" s="290"/>
      <c r="AC253" s="290"/>
      <c r="AD253" s="266"/>
      <c r="AE253" s="266"/>
      <c r="AF253" s="266"/>
      <c r="AG253" s="266"/>
      <c r="AH253" s="386"/>
      <c r="AI253" s="266"/>
      <c r="AJ253" s="13"/>
      <c r="AK253" s="266"/>
      <c r="AL253" s="386"/>
      <c r="AM253" s="386"/>
      <c r="AN253" s="266"/>
      <c r="AO253" s="366">
        <f>IF(Obliczenia!AP16&lt;&gt;0,Obliczenia!AP16,"")</f>
        <v>2</v>
      </c>
      <c r="AP253" s="410"/>
      <c r="AQ253" s="410"/>
      <c r="AR253" s="410"/>
      <c r="AS253" s="410"/>
      <c r="AT253" s="410"/>
      <c r="AU253" s="410"/>
      <c r="AV253" s="410"/>
      <c r="AW253" s="410"/>
      <c r="AX253" s="410"/>
      <c r="AY253" s="410"/>
      <c r="AZ253" s="410"/>
      <c r="BA253" s="410"/>
      <c r="BB253" s="410"/>
      <c r="BC253" s="410"/>
      <c r="BD253" s="410"/>
      <c r="BE253" s="410"/>
      <c r="BF253" s="410"/>
      <c r="BG253" s="410"/>
      <c r="BH253" s="410"/>
      <c r="BI253" s="266"/>
      <c r="BJ253" s="423"/>
    </row>
    <row r="254" spans="1:62" ht="14.4" customHeight="1">
      <c r="A254" s="265"/>
      <c r="B254" s="266"/>
      <c r="C254" s="366"/>
      <c r="D254" s="410"/>
      <c r="E254" s="410"/>
      <c r="F254" s="410"/>
      <c r="G254" s="410"/>
      <c r="H254" s="410"/>
      <c r="I254" s="410"/>
      <c r="J254" s="410"/>
      <c r="K254" s="410"/>
      <c r="L254" s="410"/>
      <c r="M254" s="410"/>
      <c r="N254" s="410"/>
      <c r="O254" s="410"/>
      <c r="P254" s="410"/>
      <c r="Q254" s="410"/>
      <c r="R254" s="410"/>
      <c r="S254" s="410"/>
      <c r="T254" s="410"/>
      <c r="U254" s="410"/>
      <c r="V254" s="410"/>
      <c r="W254" s="290"/>
      <c r="X254" s="290"/>
      <c r="Y254" s="290"/>
      <c r="Z254" s="290"/>
      <c r="AA254" s="290"/>
      <c r="AB254" s="290"/>
      <c r="AC254" s="290"/>
      <c r="AD254" s="266"/>
      <c r="AE254" s="266"/>
      <c r="AF254" s="266"/>
      <c r="AG254" s="266"/>
      <c r="AH254" s="386"/>
      <c r="AI254" s="386"/>
      <c r="AJ254" s="13"/>
      <c r="AK254" s="266"/>
      <c r="AL254" s="266"/>
      <c r="AM254" s="386"/>
      <c r="AN254" s="266"/>
      <c r="AO254" s="366" t="str">
        <f>IF(Obliczenia!AP17&lt;&gt;0,Obliczenia!AP17,"")</f>
        <v/>
      </c>
      <c r="AP254" s="410"/>
      <c r="AQ254" s="410"/>
      <c r="AR254" s="410"/>
      <c r="AS254" s="410"/>
      <c r="AT254" s="410"/>
      <c r="AU254" s="410"/>
      <c r="AV254" s="410"/>
      <c r="AW254" s="410"/>
      <c r="AX254" s="410"/>
      <c r="AY254" s="410"/>
      <c r="AZ254" s="410"/>
      <c r="BA254" s="410"/>
      <c r="BB254" s="410"/>
      <c r="BC254" s="410"/>
      <c r="BD254" s="410"/>
      <c r="BE254" s="410"/>
      <c r="BF254" s="410"/>
      <c r="BG254" s="410"/>
      <c r="BH254" s="410"/>
      <c r="BI254" s="266"/>
      <c r="BJ254" s="423"/>
    </row>
    <row r="255" spans="1:62" ht="14.4" customHeight="1">
      <c r="A255" s="265"/>
      <c r="B255" s="266"/>
      <c r="C255" s="366"/>
      <c r="D255" s="410"/>
      <c r="E255" s="410"/>
      <c r="F255" s="410"/>
      <c r="G255" s="410"/>
      <c r="H255" s="410"/>
      <c r="I255" s="410"/>
      <c r="J255" s="410"/>
      <c r="K255" s="410"/>
      <c r="L255" s="410"/>
      <c r="M255" s="410"/>
      <c r="N255" s="410"/>
      <c r="O255" s="410"/>
      <c r="P255" s="410"/>
      <c r="Q255" s="410"/>
      <c r="R255" s="410"/>
      <c r="S255" s="410"/>
      <c r="T255" s="410"/>
      <c r="U255" s="410"/>
      <c r="V255" s="410"/>
      <c r="W255" s="290"/>
      <c r="X255" s="290"/>
      <c r="Y255" s="290"/>
      <c r="Z255" s="290"/>
      <c r="AA255" s="290"/>
      <c r="AB255" s="290"/>
      <c r="AC255" s="290"/>
      <c r="AD255" s="266"/>
      <c r="AE255" s="266"/>
      <c r="AF255" s="266"/>
      <c r="AG255" s="266"/>
      <c r="AH255" s="386"/>
      <c r="AI255" s="386"/>
      <c r="AJ255" s="13"/>
      <c r="AK255" s="266"/>
      <c r="AL255" s="266"/>
      <c r="AM255" s="386"/>
      <c r="AN255" s="266"/>
      <c r="AO255" s="366" t="str">
        <f>IF(Obliczenia!AP18&lt;&gt;0,Obliczenia!AP18,"")</f>
        <v/>
      </c>
      <c r="AP255" s="410"/>
      <c r="AQ255" s="410"/>
      <c r="AR255" s="410"/>
      <c r="AS255" s="410"/>
      <c r="AT255" s="410"/>
      <c r="AU255" s="410"/>
      <c r="AV255" s="410"/>
      <c r="AW255" s="410"/>
      <c r="AX255" s="410"/>
      <c r="AY255" s="410"/>
      <c r="AZ255" s="410"/>
      <c r="BA255" s="410"/>
      <c r="BB255" s="410"/>
      <c r="BC255" s="410"/>
      <c r="BD255" s="410"/>
      <c r="BE255" s="410"/>
      <c r="BF255" s="410"/>
      <c r="BG255" s="410"/>
      <c r="BH255" s="410"/>
      <c r="BI255" s="266"/>
      <c r="BJ255" s="423"/>
    </row>
    <row r="256" spans="1:62" ht="14.4" customHeight="1">
      <c r="A256" s="265"/>
      <c r="B256" s="266"/>
      <c r="C256" s="366"/>
      <c r="D256" s="410"/>
      <c r="E256" s="410"/>
      <c r="F256" s="410"/>
      <c r="G256" s="410"/>
      <c r="H256" s="410"/>
      <c r="I256" s="410"/>
      <c r="J256" s="410"/>
      <c r="K256" s="410"/>
      <c r="L256" s="410"/>
      <c r="M256" s="410"/>
      <c r="N256" s="410"/>
      <c r="O256" s="410"/>
      <c r="P256" s="410"/>
      <c r="Q256" s="410"/>
      <c r="R256" s="410"/>
      <c r="S256" s="410"/>
      <c r="T256" s="410"/>
      <c r="U256" s="410"/>
      <c r="V256" s="410"/>
      <c r="W256" s="290"/>
      <c r="X256" s="290"/>
      <c r="Y256" s="290"/>
      <c r="Z256" s="290"/>
      <c r="AA256" s="290"/>
      <c r="AB256" s="290"/>
      <c r="AC256" s="290"/>
      <c r="AD256" s="266"/>
      <c r="AE256" s="266"/>
      <c r="AF256" s="266"/>
      <c r="AG256" s="266"/>
      <c r="AH256" s="386"/>
      <c r="AI256" s="386"/>
      <c r="AJ256" s="13"/>
      <c r="AK256" s="266"/>
      <c r="AL256" s="266"/>
      <c r="AM256" s="266"/>
      <c r="AN256" s="266"/>
      <c r="AO256" s="366"/>
      <c r="AP256" s="410"/>
      <c r="AQ256" s="410"/>
      <c r="AR256" s="410"/>
      <c r="AS256" s="410"/>
      <c r="AT256" s="410"/>
      <c r="AU256" s="410"/>
      <c r="AV256" s="410"/>
      <c r="AW256" s="410"/>
      <c r="AX256" s="410"/>
      <c r="AY256" s="410"/>
      <c r="AZ256" s="410"/>
      <c r="BA256" s="410"/>
      <c r="BB256" s="410"/>
      <c r="BC256" s="410"/>
      <c r="BD256" s="410"/>
      <c r="BE256" s="410"/>
      <c r="BF256" s="410"/>
      <c r="BG256" s="410"/>
      <c r="BH256" s="410"/>
      <c r="BI256" s="266"/>
      <c r="BJ256" s="423"/>
    </row>
  </sheetData>
  <sheetProtection algorithmName="SHA-512" hashValue="QnWPQwHr75LaHFPawj1Pm6fC0mv/pMCcCVbSV2T3fIvlePqCbktmw2eJ8nAQ4nLNvBcoUQtk4v4gkgoe9PSGdQ==" saltValue="tsJv2tU9gN4rXmh89TaxoA==" spinCount="100000" sheet="1" objects="1" scenarios="1"/>
  <protectedRanges>
    <protectedRange sqref="C11:AD12 AO11:BH12" name="Symulacjaprzygotowanadla"/>
  </protectedRanges>
  <mergeCells count="193">
    <mergeCell ref="AJ162:AK162"/>
    <mergeCell ref="AJ161:AK161"/>
    <mergeCell ref="AK75:AK76"/>
    <mergeCell ref="AJ62:AJ63"/>
    <mergeCell ref="AI20:AI21"/>
    <mergeCell ref="AA34:AB35"/>
    <mergeCell ref="AQ89:BG89"/>
    <mergeCell ref="AM89:AO89"/>
    <mergeCell ref="AI69:AI70"/>
    <mergeCell ref="AJ69:AJ70"/>
    <mergeCell ref="AA62:AB63"/>
    <mergeCell ref="AC62:AC63"/>
    <mergeCell ref="AI76:AI77"/>
    <mergeCell ref="AJ76:AJ77"/>
    <mergeCell ref="AD62:AD63"/>
    <mergeCell ref="AG62:AH63"/>
    <mergeCell ref="AI62:AI63"/>
    <mergeCell ref="W162:AC164"/>
    <mergeCell ref="Y26:Y27"/>
    <mergeCell ref="Y33:Y34"/>
    <mergeCell ref="AD83:AD84"/>
    <mergeCell ref="AI83:AI84"/>
    <mergeCell ref="AJ83:AJ84"/>
    <mergeCell ref="AG83:AH84"/>
    <mergeCell ref="AL1:AM1"/>
    <mergeCell ref="AG34:AH35"/>
    <mergeCell ref="AI34:AI35"/>
    <mergeCell ref="AJ34:AJ35"/>
    <mergeCell ref="AA27:AB28"/>
    <mergeCell ref="AC27:AC28"/>
    <mergeCell ref="AD27:AD28"/>
    <mergeCell ref="AG27:AH28"/>
    <mergeCell ref="AI27:AI28"/>
    <mergeCell ref="AF17:AJ17"/>
    <mergeCell ref="AJ20:AJ21"/>
    <mergeCell ref="AA20:AB21"/>
    <mergeCell ref="AG20:AH21"/>
    <mergeCell ref="AC20:AC21"/>
    <mergeCell ref="AD20:AD21"/>
    <mergeCell ref="AJ27:AJ28"/>
    <mergeCell ref="AC34:AC35"/>
    <mergeCell ref="W187:AC188"/>
    <mergeCell ref="AM3:AU4"/>
    <mergeCell ref="AC119:AH119"/>
    <mergeCell ref="AK82:AK83"/>
    <mergeCell ref="AK91:AK92"/>
    <mergeCell ref="AK98:AK99"/>
    <mergeCell ref="AK105:AK106"/>
    <mergeCell ref="AK112:AK113"/>
    <mergeCell ref="AK19:AK20"/>
    <mergeCell ref="AK26:AK27"/>
    <mergeCell ref="AK33:AK34"/>
    <mergeCell ref="AK40:AK41"/>
    <mergeCell ref="AK47:AK48"/>
    <mergeCell ref="AK54:AK55"/>
    <mergeCell ref="AK61:AK62"/>
    <mergeCell ref="AK68:AK69"/>
    <mergeCell ref="AG41:AH42"/>
    <mergeCell ref="AI41:AI42"/>
    <mergeCell ref="AJ3:AJ4"/>
    <mergeCell ref="AK3:AL4"/>
    <mergeCell ref="C8:AJ9"/>
    <mergeCell ref="C11:AC12"/>
    <mergeCell ref="AD34:AD35"/>
    <mergeCell ref="Y19:Y20"/>
    <mergeCell ref="AI55:AI56"/>
    <mergeCell ref="AA83:AB84"/>
    <mergeCell ref="AC83:AC84"/>
    <mergeCell ref="AJ48:AJ49"/>
    <mergeCell ref="AC76:AC77"/>
    <mergeCell ref="AD76:AD77"/>
    <mergeCell ref="AG76:AH77"/>
    <mergeCell ref="AJ41:AJ42"/>
    <mergeCell ref="AJ55:AJ56"/>
    <mergeCell ref="AG55:AH56"/>
    <mergeCell ref="AA69:AB70"/>
    <mergeCell ref="AC69:AC70"/>
    <mergeCell ref="AD69:AD70"/>
    <mergeCell ref="AG69:AH70"/>
    <mergeCell ref="AA48:AB49"/>
    <mergeCell ref="AC48:AC49"/>
    <mergeCell ref="AD48:AD49"/>
    <mergeCell ref="AG48:AH49"/>
    <mergeCell ref="AI48:AI49"/>
    <mergeCell ref="AA41:AB42"/>
    <mergeCell ref="AC41:AC42"/>
    <mergeCell ref="AD41:AD42"/>
    <mergeCell ref="AG99:AH100"/>
    <mergeCell ref="AI99:AI100"/>
    <mergeCell ref="AJ99:AJ100"/>
    <mergeCell ref="AA106:AB107"/>
    <mergeCell ref="AC106:AC107"/>
    <mergeCell ref="AD106:AD107"/>
    <mergeCell ref="AG106:AH107"/>
    <mergeCell ref="AI106:AI107"/>
    <mergeCell ref="AG92:AH93"/>
    <mergeCell ref="AI92:AI93"/>
    <mergeCell ref="AD113:AD114"/>
    <mergeCell ref="C215:F215"/>
    <mergeCell ref="Z17:AD17"/>
    <mergeCell ref="AA55:AB56"/>
    <mergeCell ref="AC55:AC56"/>
    <mergeCell ref="AD55:AD56"/>
    <mergeCell ref="Y61:Y62"/>
    <mergeCell ref="Y68:Y69"/>
    <mergeCell ref="Y75:Y76"/>
    <mergeCell ref="Y82:Y83"/>
    <mergeCell ref="Y91:Y92"/>
    <mergeCell ref="Y98:Y99"/>
    <mergeCell ref="Y105:Y106"/>
    <mergeCell ref="Y112:Y113"/>
    <mergeCell ref="Y40:Y41"/>
    <mergeCell ref="Y47:Y48"/>
    <mergeCell ref="Y54:Y55"/>
    <mergeCell ref="X137:AB137"/>
    <mergeCell ref="AA99:AB100"/>
    <mergeCell ref="AC99:AC100"/>
    <mergeCell ref="AD99:AD100"/>
    <mergeCell ref="E89:T89"/>
    <mergeCell ref="K154:W159"/>
    <mergeCell ref="AA76:AB77"/>
    <mergeCell ref="AD154:AE154"/>
    <mergeCell ref="AC210:AC211"/>
    <mergeCell ref="AM172:AN172"/>
    <mergeCell ref="W206:AA207"/>
    <mergeCell ref="X158:AB158"/>
    <mergeCell ref="AG113:AH114"/>
    <mergeCell ref="AI113:AI114"/>
    <mergeCell ref="AJ113:AJ114"/>
    <mergeCell ref="AD196:AE196"/>
    <mergeCell ref="AD201:AE201"/>
    <mergeCell ref="AM210:AN210"/>
    <mergeCell ref="AC196:AC197"/>
    <mergeCell ref="AC201:AC202"/>
    <mergeCell ref="AL191:AL192"/>
    <mergeCell ref="AC172:AC173"/>
    <mergeCell ref="AC191:AC192"/>
    <mergeCell ref="AC182:AC183"/>
    <mergeCell ref="AC177:AC178"/>
    <mergeCell ref="AM191:AN191"/>
    <mergeCell ref="AD191:AE191"/>
    <mergeCell ref="AD210:AE210"/>
    <mergeCell ref="AL196:AL197"/>
    <mergeCell ref="AM167:AN167"/>
    <mergeCell ref="AC113:AC114"/>
    <mergeCell ref="AK235:AL235"/>
    <mergeCell ref="AM215:AN215"/>
    <mergeCell ref="AM220:AN220"/>
    <mergeCell ref="AM225:AN225"/>
    <mergeCell ref="AM196:AN196"/>
    <mergeCell ref="C128:AN129"/>
    <mergeCell ref="AC215:AC216"/>
    <mergeCell ref="AC220:AC221"/>
    <mergeCell ref="AC225:AC226"/>
    <mergeCell ref="AL210:AL211"/>
    <mergeCell ref="AL215:AL216"/>
    <mergeCell ref="AL220:AL221"/>
    <mergeCell ref="AL225:AL226"/>
    <mergeCell ref="AD215:AE215"/>
    <mergeCell ref="AD220:AE220"/>
    <mergeCell ref="AD225:AE225"/>
    <mergeCell ref="AD145:AE145"/>
    <mergeCell ref="AD158:AE158"/>
    <mergeCell ref="AJ160:AK160"/>
    <mergeCell ref="AJ155:AK155"/>
    <mergeCell ref="X154:AB154"/>
    <mergeCell ref="AG155:AG156"/>
    <mergeCell ref="W149:AB150"/>
    <mergeCell ref="AD182:AE182"/>
    <mergeCell ref="E88:U88"/>
    <mergeCell ref="E90:U90"/>
    <mergeCell ref="AQ88:BG88"/>
    <mergeCell ref="AQ90:BG90"/>
    <mergeCell ref="AM177:AN177"/>
    <mergeCell ref="AL172:AL173"/>
    <mergeCell ref="AL167:AL168"/>
    <mergeCell ref="AL177:AL178"/>
    <mergeCell ref="AI157:AJ157"/>
    <mergeCell ref="AI90:AO90"/>
    <mergeCell ref="AJ92:AJ93"/>
    <mergeCell ref="AJ106:AJ107"/>
    <mergeCell ref="AC167:AC168"/>
    <mergeCell ref="X145:AB145"/>
    <mergeCell ref="AD137:AE137"/>
    <mergeCell ref="K137:W139"/>
    <mergeCell ref="W133:Z134"/>
    <mergeCell ref="AA92:AB93"/>
    <mergeCell ref="AC92:AC93"/>
    <mergeCell ref="AD92:AD93"/>
    <mergeCell ref="AA113:AB114"/>
    <mergeCell ref="AD167:AE167"/>
    <mergeCell ref="AD172:AE172"/>
    <mergeCell ref="AD177:AE177"/>
  </mergeCells>
  <conditionalFormatting sqref="D22:Y22">
    <cfRule type="containsText" dxfId="201" priority="70" operator="containsText" text="1">
      <formula>NOT(ISERROR(SEARCH("1",D22)))</formula>
    </cfRule>
  </conditionalFormatting>
  <conditionalFormatting sqref="D23:D87">
    <cfRule type="containsText" dxfId="200" priority="69" operator="containsText" text="1">
      <formula>NOT(ISERROR(SEARCH("1",D23)))</formula>
    </cfRule>
  </conditionalFormatting>
  <conditionalFormatting sqref="Y29">
    <cfRule type="containsText" dxfId="199" priority="68" operator="containsText" text="1">
      <formula>NOT(ISERROR(SEARCH("1",Y29)))</formula>
    </cfRule>
  </conditionalFormatting>
  <conditionalFormatting sqref="F29:X29">
    <cfRule type="containsText" dxfId="198" priority="67" operator="containsText" text="1">
      <formula>NOT(ISERROR(SEARCH("1",F29)))</formula>
    </cfRule>
  </conditionalFormatting>
  <conditionalFormatting sqref="F30:F87">
    <cfRule type="containsText" dxfId="197" priority="66" operator="containsText" text="1">
      <formula>NOT(ISERROR(SEARCH("1",F30)))</formula>
    </cfRule>
  </conditionalFormatting>
  <conditionalFormatting sqref="F30:F87 F29:Y29">
    <cfRule type="containsText" dxfId="196" priority="65" operator="containsText" text="1">
      <formula>NOT(ISERROR(SEARCH("1",F29)))</formula>
    </cfRule>
  </conditionalFormatting>
  <conditionalFormatting sqref="P64:P87 Q64:Y64">
    <cfRule type="containsText" dxfId="195" priority="64" operator="containsText" text="1">
      <formula>NOT(ISERROR(SEARCH("1",P64)))</formula>
    </cfRule>
  </conditionalFormatting>
  <conditionalFormatting sqref="H36:H87 I36:Y36">
    <cfRule type="containsText" dxfId="194" priority="63" operator="containsText" text="1">
      <formula>NOT(ISERROR(SEARCH("1",H36)))</formula>
    </cfRule>
  </conditionalFormatting>
  <conditionalFormatting sqref="J43:Y43 J43:J87">
    <cfRule type="containsText" dxfId="193" priority="62" operator="containsText" text="1">
      <formula>NOT(ISERROR(SEARCH("1",J43)))</formula>
    </cfRule>
  </conditionalFormatting>
  <conditionalFormatting sqref="M50:Y50">
    <cfRule type="containsText" dxfId="192" priority="61" operator="containsText" text="1">
      <formula>NOT(ISERROR(SEARCH("1",M50)))</formula>
    </cfRule>
  </conditionalFormatting>
  <conditionalFormatting sqref="L50:L87">
    <cfRule type="containsText" dxfId="191" priority="60" operator="containsText" text="1">
      <formula>NOT(ISERROR(SEARCH("1",L50)))</formula>
    </cfRule>
  </conditionalFormatting>
  <conditionalFormatting sqref="O57:Y57">
    <cfRule type="containsText" dxfId="190" priority="59" operator="containsText" text="1">
      <formula>NOT(ISERROR(SEARCH("1",O57)))</formula>
    </cfRule>
  </conditionalFormatting>
  <conditionalFormatting sqref="N57:N87">
    <cfRule type="containsText" dxfId="189" priority="58" operator="containsText" text="1">
      <formula>NOT(ISERROR(SEARCH("1",N57)))</formula>
    </cfRule>
  </conditionalFormatting>
  <conditionalFormatting sqref="S71:Y71">
    <cfRule type="containsText" dxfId="188" priority="57" operator="containsText" text="1">
      <formula>NOT(ISERROR(SEARCH("1",S71)))</formula>
    </cfRule>
  </conditionalFormatting>
  <conditionalFormatting sqref="R71:R87">
    <cfRule type="containsText" dxfId="187" priority="56" operator="containsText" text="1">
      <formula>NOT(ISERROR(SEARCH("1",R71)))</formula>
    </cfRule>
  </conditionalFormatting>
  <conditionalFormatting sqref="U78:Y78">
    <cfRule type="containsText" dxfId="186" priority="55" operator="containsText" text="1">
      <formula>NOT(ISERROR(SEARCH("1",U78)))</formula>
    </cfRule>
  </conditionalFormatting>
  <conditionalFormatting sqref="T78:T87">
    <cfRule type="containsText" dxfId="185" priority="54" operator="containsText" text="1">
      <formula>NOT(ISERROR(SEARCH("1",T78)))</formula>
    </cfRule>
  </conditionalFormatting>
  <conditionalFormatting sqref="W85:Y85">
    <cfRule type="containsText" dxfId="184" priority="53" operator="containsText" text="1">
      <formula>NOT(ISERROR(SEARCH("1",W85)))</formula>
    </cfRule>
  </conditionalFormatting>
  <conditionalFormatting sqref="V85:V87">
    <cfRule type="containsText" dxfId="183" priority="52" operator="containsText" text="1">
      <formula>NOT(ISERROR(SEARCH("1",V85)))</formula>
    </cfRule>
  </conditionalFormatting>
  <conditionalFormatting sqref="Y94">
    <cfRule type="containsText" dxfId="182" priority="51" operator="containsText" text="1">
      <formula>NOT(ISERROR(SEARCH("1",Y94)))</formula>
    </cfRule>
  </conditionalFormatting>
  <conditionalFormatting sqref="W94:X94">
    <cfRule type="containsText" dxfId="181" priority="50" operator="containsText" text="1">
      <formula>NOT(ISERROR(SEARCH("1",W94)))</formula>
    </cfRule>
  </conditionalFormatting>
  <conditionalFormatting sqref="V91:V94">
    <cfRule type="containsText" dxfId="180" priority="49" operator="containsText" text="1">
      <formula>NOT(ISERROR(SEARCH("1",V91)))</formula>
    </cfRule>
  </conditionalFormatting>
  <conditionalFormatting sqref="U101:Y101">
    <cfRule type="containsText" dxfId="179" priority="47" operator="containsText" text="1">
      <formula>NOT(ISERROR(SEARCH("1",U101)))</formula>
    </cfRule>
  </conditionalFormatting>
  <conditionalFormatting sqref="T91:T101">
    <cfRule type="containsText" dxfId="178" priority="46" operator="containsText" text="1">
      <formula>NOT(ISERROR(SEARCH("1",T91)))</formula>
    </cfRule>
  </conditionalFormatting>
  <conditionalFormatting sqref="S108:Y108">
    <cfRule type="containsText" dxfId="177" priority="45" operator="containsText" text="1">
      <formula>NOT(ISERROR(SEARCH("1",S108)))</formula>
    </cfRule>
  </conditionalFormatting>
  <conditionalFormatting sqref="R91:R108">
    <cfRule type="containsText" dxfId="176" priority="44" operator="containsText" text="1">
      <formula>NOT(ISERROR(SEARCH("1",R91)))</formula>
    </cfRule>
  </conditionalFormatting>
  <conditionalFormatting sqref="Q115:Y115">
    <cfRule type="containsText" dxfId="175" priority="43" operator="containsText" text="1">
      <formula>NOT(ISERROR(SEARCH("1",Q115)))</formula>
    </cfRule>
  </conditionalFormatting>
  <conditionalFormatting sqref="P91:P115">
    <cfRule type="containsText" dxfId="174" priority="42" operator="containsText" text="1">
      <formula>NOT(ISERROR(SEARCH("1",P91)))</formula>
    </cfRule>
  </conditionalFormatting>
  <conditionalFormatting sqref="AK22:BG22">
    <cfRule type="containsText" dxfId="173" priority="41" operator="containsText" text="1">
      <formula>NOT(ISERROR(SEARCH("1",AK22)))</formula>
    </cfRule>
  </conditionalFormatting>
  <conditionalFormatting sqref="BH22:BH87">
    <cfRule type="containsText" dxfId="172" priority="40" operator="containsText" text="1">
      <formula>NOT(ISERROR(SEARCH("1",BH22)))</formula>
    </cfRule>
  </conditionalFormatting>
  <conditionalFormatting sqref="AK29">
    <cfRule type="containsText" dxfId="171" priority="39" operator="containsText" text="1">
      <formula>NOT(ISERROR(SEARCH("1",AK29)))</formula>
    </cfRule>
  </conditionalFormatting>
  <conditionalFormatting sqref="AL29:BE29">
    <cfRule type="containsText" dxfId="170" priority="38" operator="containsText" text="1">
      <formula>NOT(ISERROR(SEARCH("1",AL29)))</formula>
    </cfRule>
  </conditionalFormatting>
  <conditionalFormatting sqref="BF29:BF87">
    <cfRule type="containsText" dxfId="169" priority="37" operator="containsText" text="1">
      <formula>NOT(ISERROR(SEARCH("1",BF29)))</formula>
    </cfRule>
  </conditionalFormatting>
  <conditionalFormatting sqref="AK36:BC36">
    <cfRule type="containsText" dxfId="168" priority="36" operator="containsText" text="1">
      <formula>NOT(ISERROR(SEARCH("1",AK36)))</formula>
    </cfRule>
  </conditionalFormatting>
  <conditionalFormatting sqref="BD36:BD87">
    <cfRule type="containsText" dxfId="167" priority="35" operator="containsText" text="1">
      <formula>NOT(ISERROR(SEARCH("1",BD36)))</formula>
    </cfRule>
  </conditionalFormatting>
  <conditionalFormatting sqref="AK43:BA43">
    <cfRule type="containsText" dxfId="166" priority="34" operator="containsText" text="1">
      <formula>NOT(ISERROR(SEARCH("1",AK43)))</formula>
    </cfRule>
  </conditionalFormatting>
  <conditionalFormatting sqref="BB43:BB87">
    <cfRule type="containsText" dxfId="165" priority="33" operator="containsText" text="1">
      <formula>NOT(ISERROR(SEARCH("1",BB43)))</formula>
    </cfRule>
  </conditionalFormatting>
  <conditionalFormatting sqref="AK50:AY50">
    <cfRule type="containsText" dxfId="164" priority="32" operator="containsText" text="1">
      <formula>NOT(ISERROR(SEARCH("1",AK50)))</formula>
    </cfRule>
  </conditionalFormatting>
  <conditionalFormatting sqref="AL115:AU115">
    <cfRule type="containsText" dxfId="163" priority="10" operator="containsText" text="1">
      <formula>NOT(ISERROR(SEARCH("1",AL115)))</formula>
    </cfRule>
  </conditionalFormatting>
  <conditionalFormatting sqref="AZ50:AZ87">
    <cfRule type="containsText" dxfId="162" priority="29" operator="containsText" text="1">
      <formula>NOT(ISERROR(SEARCH("1",AZ50)))</formula>
    </cfRule>
  </conditionalFormatting>
  <conditionalFormatting sqref="AK57:AW57">
    <cfRule type="containsText" dxfId="161" priority="28" operator="containsText" text="1">
      <formula>NOT(ISERROR(SEARCH("1",AK57)))</formula>
    </cfRule>
  </conditionalFormatting>
  <conditionalFormatting sqref="AX57:AX87">
    <cfRule type="containsText" dxfId="160" priority="27" operator="containsText" text="1">
      <formula>NOT(ISERROR(SEARCH("1",AX57)))</formula>
    </cfRule>
  </conditionalFormatting>
  <conditionalFormatting sqref="AK64:AU64">
    <cfRule type="containsText" dxfId="159" priority="26" operator="containsText" text="1">
      <formula>NOT(ISERROR(SEARCH("1",AK64)))</formula>
    </cfRule>
  </conditionalFormatting>
  <conditionalFormatting sqref="AV64:AV87">
    <cfRule type="containsText" dxfId="158" priority="25" operator="containsText" text="1">
      <formula>NOT(ISERROR(SEARCH("1",AV64)))</formula>
    </cfRule>
  </conditionalFormatting>
  <conditionalFormatting sqref="AK71:AS71">
    <cfRule type="containsText" dxfId="157" priority="24" operator="containsText" text="1">
      <formula>NOT(ISERROR(SEARCH("1",AK71)))</formula>
    </cfRule>
  </conditionalFormatting>
  <conditionalFormatting sqref="AT71:AT87">
    <cfRule type="containsText" dxfId="156" priority="23" operator="containsText" text="1">
      <formula>NOT(ISERROR(SEARCH("1",AT71)))</formula>
    </cfRule>
  </conditionalFormatting>
  <conditionalFormatting sqref="AK78:AR78">
    <cfRule type="containsText" dxfId="155" priority="22" operator="containsText" text="1">
      <formula>NOT(ISERROR(SEARCH("1",AK78)))</formula>
    </cfRule>
  </conditionalFormatting>
  <conditionalFormatting sqref="AR79:AR87">
    <cfRule type="containsText" dxfId="154" priority="21" operator="containsText" text="1">
      <formula>NOT(ISERROR(SEARCH("1",AR79)))</formula>
    </cfRule>
  </conditionalFormatting>
  <conditionalFormatting sqref="AK85:AO85">
    <cfRule type="containsText" dxfId="153" priority="20" operator="containsText" text="1">
      <formula>NOT(ISERROR(SEARCH("1",AK85)))</formula>
    </cfRule>
  </conditionalFormatting>
  <conditionalFormatting sqref="AP85:AP87">
    <cfRule type="containsText" dxfId="152" priority="19" operator="containsText" text="1">
      <formula>NOT(ISERROR(SEARCH("1",AP85)))</formula>
    </cfRule>
  </conditionalFormatting>
  <conditionalFormatting sqref="AK94:AO94">
    <cfRule type="containsText" dxfId="151" priority="18" operator="containsText" text="1">
      <formula>NOT(ISERROR(SEARCH("1",AK94)))</formula>
    </cfRule>
  </conditionalFormatting>
  <conditionalFormatting sqref="AP91:AP94">
    <cfRule type="containsText" dxfId="150" priority="17" operator="containsText" text="1">
      <formula>NOT(ISERROR(SEARCH("1",AP91)))</formula>
    </cfRule>
  </conditionalFormatting>
  <conditionalFormatting sqref="AK101:AQ101">
    <cfRule type="containsText" dxfId="149" priority="16" operator="containsText" text="1">
      <formula>NOT(ISERROR(SEARCH("1",AK101)))</formula>
    </cfRule>
  </conditionalFormatting>
  <conditionalFormatting sqref="AR91:AR101">
    <cfRule type="containsText" dxfId="148" priority="15" operator="containsText" text="1">
      <formula>NOT(ISERROR(SEARCH("1",AR91)))</formula>
    </cfRule>
  </conditionalFormatting>
  <conditionalFormatting sqref="AK108">
    <cfRule type="containsText" dxfId="147" priority="14" operator="containsText" text="1">
      <formula>NOT(ISERROR(SEARCH("1",AK108)))</formula>
    </cfRule>
  </conditionalFormatting>
  <conditionalFormatting sqref="AL108:AS108">
    <cfRule type="containsText" dxfId="146" priority="13" operator="containsText" text="1">
      <formula>NOT(ISERROR(SEARCH("1",AL108)))</formula>
    </cfRule>
  </conditionalFormatting>
  <conditionalFormatting sqref="AT91:AT108">
    <cfRule type="containsText" dxfId="145" priority="12" operator="containsText" text="1">
      <formula>NOT(ISERROR(SEARCH("1",AT91)))</formula>
    </cfRule>
  </conditionalFormatting>
  <conditionalFormatting sqref="AK115">
    <cfRule type="containsText" dxfId="144" priority="11" operator="containsText" text="1">
      <formula>NOT(ISERROR(SEARCH("1",AK115)))</formula>
    </cfRule>
  </conditionalFormatting>
  <conditionalFormatting sqref="AV91:AV115">
    <cfRule type="containsText" dxfId="143" priority="9" operator="containsText" text="1">
      <formula>NOT(ISERROR(SEARCH("1",AV91)))</formula>
    </cfRule>
  </conditionalFormatting>
  <conditionalFormatting sqref="AB141:AB143">
    <cfRule type="cellIs" dxfId="142" priority="7" operator="equal">
      <formula>"A"</formula>
    </cfRule>
    <cfRule type="cellIs" dxfId="141" priority="8" operator="equal">
      <formula>"A+"</formula>
    </cfRule>
  </conditionalFormatting>
  <conditionalFormatting sqref="X147">
    <cfRule type="containsBlanks" dxfId="140" priority="5">
      <formula>LEN(TRIM(X147))=0</formula>
    </cfRule>
  </conditionalFormatting>
  <conditionalFormatting sqref="X145:AB145">
    <cfRule type="containsBlanks" dxfId="139" priority="4">
      <formula>LEN(TRIM(X145))=0</formula>
    </cfRule>
  </conditionalFormatting>
  <conditionalFormatting sqref="X160">
    <cfRule type="containsBlanks" dxfId="138" priority="3">
      <formula>LEN(TRIM(X160))=0</formula>
    </cfRule>
  </conditionalFormatting>
  <conditionalFormatting sqref="X158:AB158">
    <cfRule type="containsBlanks" dxfId="137" priority="2">
      <formula>LEN(TRIM(X158))=0</formula>
    </cfRule>
  </conditionalFormatting>
  <conditionalFormatting sqref="X159">
    <cfRule type="containsText" dxfId="136" priority="1" operator="containsText" text="Uwaga! Nie ma zastosowanie w tym rozwiązaniu">
      <formula>NOT(ISERROR(SEARCH("Uwaga! Nie ma zastosowanie w tym rozwiązaniu",X159)))</formula>
    </cfRule>
  </conditionalFormatting>
  <dataValidations count="4">
    <dataValidation type="list" allowBlank="1" showInputMessage="1" showErrorMessage="1" sqref="X137:AB137" xr:uid="{BD5551E7-903F-44C5-B446-B028FC366EC3}">
      <formula1>wybor_centrali</formula1>
    </dataValidation>
    <dataValidation type="list" allowBlank="1" showInputMessage="1" showErrorMessage="1" sqref="X154" xr:uid="{20D70548-B5DA-4BFF-847E-2F62E4429E1B}">
      <formula1>wybor_sterowanie</formula1>
    </dataValidation>
    <dataValidation type="list" allowBlank="1" showInputMessage="1" showErrorMessage="1" sqref="X158:AB158" xr:uid="{3BE8BC71-0A4A-4062-9159-D80E1D61CF3A}">
      <formula1>wybor_E3</formula1>
    </dataValidation>
    <dataValidation type="whole" allowBlank="1" showInputMessage="1" showErrorMessage="1" sqref="AC138 AM236" xr:uid="{1355D73B-1F12-4195-A3DE-64BB1CCA0B3F}">
      <formula1>0</formula1>
      <formula2>99</formula2>
    </dataValidation>
  </dataValidations>
  <pageMargins left="0.70866141732283472" right="0.70866141732283472" top="0.74803149606299213" bottom="0.74803149606299213" header="0.31496062992125984" footer="0.31496062992125984"/>
  <pageSetup paperSize="9" scale="5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79CBB-3423-428C-A0AB-0DA13BD58424}">
  <sheetPr codeName="Arkusz12">
    <tabColor theme="9"/>
  </sheetPr>
  <dimension ref="A1:DA441"/>
  <sheetViews>
    <sheetView showGridLines="0" zoomScaleNormal="100" workbookViewId="0">
      <pane ySplit="1" topLeftCell="A2" activePane="bottomLeft" state="frozen"/>
      <selection pane="bottomLeft" activeCell="C11" sqref="C11:AC12"/>
    </sheetView>
  </sheetViews>
  <sheetFormatPr defaultRowHeight="14.4"/>
  <cols>
    <col min="1" max="1" width="1" customWidth="1"/>
    <col min="2" max="2" width="2.6640625" customWidth="1"/>
    <col min="3" max="3" width="1" customWidth="1"/>
    <col min="4" max="22" width="0.5546875" style="408" customWidth="1"/>
    <col min="25" max="25" width="9.6640625" customWidth="1"/>
    <col min="26" max="26" width="1.5546875" customWidth="1"/>
    <col min="28" max="28" width="11.109375" customWidth="1"/>
    <col min="31" max="31" width="5.5546875" customWidth="1"/>
    <col min="32" max="32" width="1.6640625" customWidth="1"/>
    <col min="34" max="34" width="11.109375" customWidth="1"/>
    <col min="37" max="39" width="9.6640625" customWidth="1"/>
    <col min="40" max="40" width="1.6640625" customWidth="1"/>
    <col min="41" max="41" width="1" customWidth="1"/>
    <col min="42" max="60" width="0.5546875" style="408" customWidth="1"/>
    <col min="61" max="61" width="2.44140625" customWidth="1"/>
    <col min="62" max="62" width="0.6640625" customWidth="1"/>
    <col min="63" max="105" width="8.88671875" style="13"/>
  </cols>
  <sheetData>
    <row r="1" spans="1:62" ht="22.95" customHeight="1">
      <c r="A1" s="626"/>
      <c r="B1" s="626"/>
      <c r="C1" s="626"/>
      <c r="D1" s="627"/>
      <c r="E1" s="627"/>
      <c r="F1" s="627"/>
      <c r="G1" s="627"/>
      <c r="H1" s="627"/>
      <c r="I1" s="627"/>
      <c r="J1" s="627"/>
      <c r="K1" s="627"/>
      <c r="L1" s="627"/>
      <c r="M1" s="627"/>
      <c r="N1" s="627"/>
      <c r="O1" s="627"/>
      <c r="P1" s="627"/>
      <c r="Q1" s="627"/>
      <c r="R1" s="627"/>
      <c r="S1" s="627"/>
      <c r="T1" s="627"/>
      <c r="U1" s="627"/>
      <c r="V1" s="627"/>
      <c r="W1" s="626"/>
      <c r="X1" s="626"/>
      <c r="Y1" s="626"/>
      <c r="Z1" s="626"/>
      <c r="AA1" s="626"/>
      <c r="AB1" s="626"/>
      <c r="AC1" s="626"/>
      <c r="AD1" s="628" t="s">
        <v>558</v>
      </c>
      <c r="AE1" s="633">
        <f>AM236/100</f>
        <v>0</v>
      </c>
      <c r="AF1" s="626"/>
      <c r="AG1" s="628" t="s">
        <v>559</v>
      </c>
      <c r="AH1" s="633">
        <f>AC138/100</f>
        <v>0</v>
      </c>
      <c r="AI1" s="626"/>
      <c r="AJ1" s="626"/>
      <c r="AK1" s="628" t="s">
        <v>193</v>
      </c>
      <c r="AL1" s="793">
        <f>AK235</f>
        <v>28207</v>
      </c>
      <c r="AM1" s="793"/>
      <c r="AN1" s="626"/>
      <c r="AO1" s="626"/>
      <c r="AP1" s="627"/>
      <c r="AQ1" s="627"/>
      <c r="AR1" s="627"/>
      <c r="AS1" s="627"/>
      <c r="AT1" s="627"/>
      <c r="AU1" s="627"/>
      <c r="AV1" s="627"/>
      <c r="AW1" s="627"/>
      <c r="AX1" s="627"/>
      <c r="AY1" s="627"/>
      <c r="AZ1" s="627"/>
      <c r="BA1" s="627"/>
      <c r="BB1" s="627"/>
      <c r="BC1" s="627"/>
      <c r="BD1" s="627"/>
      <c r="BE1" s="627"/>
      <c r="BF1" s="627"/>
      <c r="BG1" s="627"/>
      <c r="BH1" s="627"/>
      <c r="BI1" s="626"/>
      <c r="BJ1" s="626"/>
    </row>
    <row r="2" spans="1:62">
      <c r="A2" s="261"/>
      <c r="B2" s="267"/>
      <c r="C2" s="267"/>
      <c r="D2" s="405"/>
      <c r="E2" s="405"/>
      <c r="F2" s="405"/>
      <c r="G2" s="405"/>
      <c r="H2" s="405"/>
      <c r="I2" s="405"/>
      <c r="J2" s="405"/>
      <c r="K2" s="405"/>
      <c r="L2" s="405"/>
      <c r="M2" s="405"/>
      <c r="N2" s="405"/>
      <c r="O2" s="405"/>
      <c r="P2" s="405"/>
      <c r="Q2" s="405"/>
      <c r="R2" s="405"/>
      <c r="S2" s="405"/>
      <c r="T2" s="405"/>
      <c r="U2" s="405"/>
      <c r="V2" s="405"/>
      <c r="W2" s="267"/>
      <c r="X2" s="267"/>
      <c r="Y2" s="267"/>
      <c r="Z2" s="267"/>
      <c r="AA2" s="267"/>
      <c r="AB2" s="267"/>
      <c r="AC2" s="267"/>
      <c r="AD2" s="267"/>
      <c r="AE2" s="267"/>
      <c r="AF2" s="267"/>
      <c r="AG2" s="267"/>
      <c r="AH2" s="267"/>
      <c r="AI2" s="267"/>
      <c r="AJ2" s="267"/>
      <c r="AK2" s="262"/>
      <c r="AL2" s="268"/>
      <c r="AM2" s="267"/>
      <c r="AN2" s="267"/>
      <c r="AO2" s="267"/>
      <c r="AP2" s="405"/>
      <c r="AQ2" s="405"/>
      <c r="AR2" s="405"/>
      <c r="AS2" s="405"/>
      <c r="AT2" s="405"/>
      <c r="AU2" s="405"/>
      <c r="AV2" s="405"/>
      <c r="AW2" s="405"/>
      <c r="AX2" s="405"/>
      <c r="AY2" s="405"/>
      <c r="AZ2" s="405"/>
      <c r="BA2" s="405"/>
      <c r="BB2" s="405"/>
      <c r="BC2" s="405"/>
      <c r="BD2" s="405"/>
      <c r="BE2" s="405"/>
      <c r="BF2" s="405"/>
      <c r="BG2" s="405"/>
      <c r="BH2" s="405"/>
      <c r="BI2" s="262"/>
      <c r="BJ2" s="261"/>
    </row>
    <row r="3" spans="1:62">
      <c r="A3" s="261"/>
      <c r="B3" s="267"/>
      <c r="C3" s="267"/>
      <c r="D3" s="405"/>
      <c r="E3" s="405"/>
      <c r="F3" s="405"/>
      <c r="G3" s="405"/>
      <c r="H3" s="405"/>
      <c r="I3" s="405"/>
      <c r="J3" s="405"/>
      <c r="K3" s="405"/>
      <c r="L3" s="405"/>
      <c r="M3" s="405"/>
      <c r="N3" s="405"/>
      <c r="O3" s="405"/>
      <c r="P3" s="405"/>
      <c r="Q3" s="405"/>
      <c r="R3" s="405"/>
      <c r="S3" s="405"/>
      <c r="T3" s="405"/>
      <c r="U3" s="405"/>
      <c r="V3" s="405"/>
      <c r="W3" s="267"/>
      <c r="X3" s="267"/>
      <c r="Y3" s="267"/>
      <c r="Z3" s="267"/>
      <c r="AA3" s="267"/>
      <c r="AB3" s="267"/>
      <c r="AC3" s="267"/>
      <c r="AD3" s="267"/>
      <c r="AE3" s="267"/>
      <c r="AF3" s="267"/>
      <c r="AG3" s="13"/>
      <c r="AH3" s="13"/>
      <c r="AI3" s="267"/>
      <c r="AJ3" s="720" t="s">
        <v>294</v>
      </c>
      <c r="AK3" s="729">
        <f ca="1">TODAY()</f>
        <v>45546</v>
      </c>
      <c r="AL3" s="729"/>
      <c r="AM3" s="722" t="str">
        <f>Dane!S3</f>
        <v>wersja 17/09/2024</v>
      </c>
      <c r="AN3" s="722"/>
      <c r="AO3" s="722"/>
      <c r="AP3" s="722"/>
      <c r="AQ3" s="722"/>
      <c r="AR3" s="722"/>
      <c r="AS3" s="722"/>
      <c r="AT3" s="722"/>
      <c r="AU3" s="722"/>
      <c r="AV3" s="405"/>
      <c r="AW3" s="405"/>
      <c r="AX3" s="405"/>
      <c r="AY3" s="405"/>
      <c r="AZ3" s="405"/>
      <c r="BA3" s="405"/>
      <c r="BB3" s="405"/>
      <c r="BC3" s="405"/>
      <c r="BD3" s="405"/>
      <c r="BE3" s="405"/>
      <c r="BF3" s="405"/>
      <c r="BG3" s="405"/>
      <c r="BH3" s="405"/>
      <c r="BI3" s="262"/>
      <c r="BJ3" s="261"/>
    </row>
    <row r="4" spans="1:62">
      <c r="A4" s="261"/>
      <c r="B4" s="267"/>
      <c r="C4" s="267"/>
      <c r="D4" s="405"/>
      <c r="E4" s="405"/>
      <c r="F4" s="405"/>
      <c r="G4" s="405"/>
      <c r="H4" s="405"/>
      <c r="I4" s="405"/>
      <c r="J4" s="405"/>
      <c r="K4" s="405"/>
      <c r="L4" s="405"/>
      <c r="M4" s="405"/>
      <c r="N4" s="405"/>
      <c r="O4" s="405"/>
      <c r="P4" s="405"/>
      <c r="Q4" s="405"/>
      <c r="R4" s="405"/>
      <c r="S4" s="405"/>
      <c r="T4" s="405"/>
      <c r="U4" s="405"/>
      <c r="V4" s="405"/>
      <c r="W4" s="267"/>
      <c r="X4" s="267"/>
      <c r="Y4" s="267"/>
      <c r="Z4" s="267"/>
      <c r="AA4" s="267"/>
      <c r="AB4" s="267"/>
      <c r="AC4" s="267"/>
      <c r="AD4" s="267"/>
      <c r="AE4" s="267"/>
      <c r="AF4" s="267"/>
      <c r="AG4" s="13"/>
      <c r="AH4" s="13"/>
      <c r="AI4" s="267"/>
      <c r="AJ4" s="720"/>
      <c r="AK4" s="729"/>
      <c r="AL4" s="729"/>
      <c r="AM4" s="722"/>
      <c r="AN4" s="722"/>
      <c r="AO4" s="722"/>
      <c r="AP4" s="722"/>
      <c r="AQ4" s="722"/>
      <c r="AR4" s="722"/>
      <c r="AS4" s="722"/>
      <c r="AT4" s="722"/>
      <c r="AU4" s="722"/>
      <c r="AV4" s="405"/>
      <c r="AW4" s="405"/>
      <c r="AX4" s="405"/>
      <c r="AY4" s="405"/>
      <c r="AZ4" s="405"/>
      <c r="BA4" s="405"/>
      <c r="BB4" s="405"/>
      <c r="BC4" s="405"/>
      <c r="BD4" s="405"/>
      <c r="BE4" s="405"/>
      <c r="BF4" s="405"/>
      <c r="BG4" s="405"/>
      <c r="BH4" s="405"/>
      <c r="BI4" s="262"/>
      <c r="BJ4" s="261"/>
    </row>
    <row r="5" spans="1:62">
      <c r="A5" s="261"/>
      <c r="B5" s="262"/>
      <c r="C5" s="262"/>
      <c r="D5" s="406"/>
      <c r="E5" s="406"/>
      <c r="F5" s="406"/>
      <c r="G5" s="406"/>
      <c r="H5" s="406"/>
      <c r="I5" s="406"/>
      <c r="J5" s="406"/>
      <c r="K5" s="406"/>
      <c r="L5" s="406"/>
      <c r="M5" s="406"/>
      <c r="N5" s="406"/>
      <c r="O5" s="406"/>
      <c r="P5" s="406"/>
      <c r="Q5" s="406"/>
      <c r="R5" s="406"/>
      <c r="S5" s="406"/>
      <c r="T5" s="406"/>
      <c r="U5" s="406"/>
      <c r="V5" s="406"/>
      <c r="W5" s="262"/>
      <c r="X5" s="262"/>
      <c r="Y5" s="262"/>
      <c r="Z5" s="262"/>
      <c r="AA5" s="262"/>
      <c r="AB5" s="262"/>
      <c r="AC5" s="262"/>
      <c r="AD5" s="262"/>
      <c r="AE5" s="262"/>
      <c r="AF5" s="262"/>
      <c r="AG5" s="262"/>
      <c r="AH5" s="262"/>
      <c r="AI5" s="262"/>
      <c r="AJ5" s="262"/>
      <c r="AK5" s="262"/>
      <c r="AL5" s="262"/>
      <c r="AM5" s="262"/>
      <c r="AN5" s="262"/>
      <c r="AO5" s="262"/>
      <c r="AP5" s="406"/>
      <c r="AQ5" s="406"/>
      <c r="AR5" s="406"/>
      <c r="AS5" s="406"/>
      <c r="AT5" s="406"/>
      <c r="AU5" s="406"/>
      <c r="AV5" s="406"/>
      <c r="AW5" s="406"/>
      <c r="AX5" s="406"/>
      <c r="AY5" s="406"/>
      <c r="AZ5" s="406"/>
      <c r="BA5" s="406"/>
      <c r="BB5" s="406"/>
      <c r="BC5" s="406"/>
      <c r="BD5" s="406"/>
      <c r="BE5" s="406"/>
      <c r="BF5" s="406"/>
      <c r="BG5" s="406"/>
      <c r="BH5" s="406"/>
      <c r="BI5" s="262"/>
      <c r="BJ5" s="261"/>
    </row>
    <row r="6" spans="1:62">
      <c r="A6" s="261"/>
      <c r="B6" s="263"/>
      <c r="C6" s="263"/>
      <c r="D6" s="407"/>
      <c r="E6" s="407"/>
      <c r="F6" s="407"/>
      <c r="G6" s="407"/>
      <c r="H6" s="407"/>
      <c r="I6" s="407"/>
      <c r="J6" s="407"/>
      <c r="K6" s="407"/>
      <c r="L6" s="407"/>
      <c r="M6" s="407"/>
      <c r="N6" s="407"/>
      <c r="O6" s="407"/>
      <c r="P6" s="407"/>
      <c r="Q6" s="407"/>
      <c r="R6" s="407"/>
      <c r="S6" s="407"/>
      <c r="T6" s="407"/>
      <c r="U6" s="407"/>
      <c r="V6" s="407"/>
      <c r="W6" s="263"/>
      <c r="X6" s="263"/>
      <c r="Y6" s="263"/>
      <c r="Z6" s="263"/>
      <c r="AA6" s="263"/>
      <c r="AB6" s="263"/>
      <c r="AC6" s="263"/>
      <c r="AD6" s="263"/>
      <c r="AE6" s="263"/>
      <c r="AF6" s="263"/>
      <c r="AG6" s="263"/>
      <c r="AH6" s="263"/>
      <c r="AI6" s="263"/>
      <c r="AJ6" s="263"/>
      <c r="AK6" s="263"/>
      <c r="AL6" s="263"/>
      <c r="AM6" s="263"/>
      <c r="AN6" s="263"/>
      <c r="AO6" s="263"/>
      <c r="AP6" s="407"/>
      <c r="AQ6" s="407"/>
      <c r="AR6" s="407"/>
      <c r="AS6" s="407"/>
      <c r="AT6" s="407"/>
      <c r="AU6" s="407"/>
      <c r="AV6" s="407"/>
      <c r="AW6" s="407"/>
      <c r="AX6" s="407"/>
      <c r="AY6" s="407"/>
      <c r="AZ6" s="407"/>
      <c r="BA6" s="407"/>
      <c r="BB6" s="407"/>
      <c r="BC6" s="407"/>
      <c r="BD6" s="407"/>
      <c r="BE6" s="407"/>
      <c r="BF6" s="407"/>
      <c r="BG6" s="407"/>
      <c r="BH6" s="407"/>
      <c r="BI6" s="263"/>
      <c r="BJ6" s="261"/>
    </row>
    <row r="7" spans="1:62">
      <c r="A7" s="261"/>
      <c r="B7" s="263"/>
      <c r="C7" s="263"/>
      <c r="D7" s="407"/>
      <c r="E7" s="407"/>
      <c r="F7" s="407"/>
      <c r="G7" s="407"/>
      <c r="H7" s="407"/>
      <c r="I7" s="407"/>
      <c r="J7" s="407"/>
      <c r="K7" s="407"/>
      <c r="L7" s="407"/>
      <c r="M7" s="407"/>
      <c r="N7" s="407"/>
      <c r="O7" s="407"/>
      <c r="P7" s="407"/>
      <c r="Q7" s="407"/>
      <c r="R7" s="407"/>
      <c r="S7" s="407"/>
      <c r="T7" s="407"/>
      <c r="U7" s="407"/>
      <c r="V7" s="407"/>
      <c r="W7" s="263"/>
      <c r="X7" s="263"/>
      <c r="Y7" s="263"/>
      <c r="Z7" s="263"/>
      <c r="AA7" s="263"/>
      <c r="AB7" s="263"/>
      <c r="AC7" s="263"/>
      <c r="AD7" s="263"/>
      <c r="AE7" s="263"/>
      <c r="AF7" s="263"/>
      <c r="AG7" s="263"/>
      <c r="AH7" s="263"/>
      <c r="AI7" s="263"/>
      <c r="AJ7" s="263"/>
      <c r="AK7" s="263"/>
      <c r="AL7" s="263"/>
      <c r="AM7" s="263"/>
      <c r="AN7" s="263"/>
      <c r="AO7" s="263"/>
      <c r="AP7" s="407"/>
      <c r="AQ7" s="407"/>
      <c r="AR7" s="407"/>
      <c r="AS7" s="407"/>
      <c r="AT7" s="407"/>
      <c r="AU7" s="407"/>
      <c r="AV7" s="407"/>
      <c r="AW7" s="407"/>
      <c r="AX7" s="407"/>
      <c r="AY7" s="407"/>
      <c r="AZ7" s="407"/>
      <c r="BA7" s="407"/>
      <c r="BB7" s="407"/>
      <c r="BC7" s="407"/>
      <c r="BD7" s="407"/>
      <c r="BE7" s="407"/>
      <c r="BF7" s="407"/>
      <c r="BG7" s="407"/>
      <c r="BH7" s="407"/>
      <c r="BI7" s="263"/>
      <c r="BJ7" s="261"/>
    </row>
    <row r="8" spans="1:62">
      <c r="A8" s="261"/>
      <c r="B8" s="263"/>
      <c r="C8" s="723" t="s">
        <v>519</v>
      </c>
      <c r="D8" s="723"/>
      <c r="E8" s="723"/>
      <c r="F8" s="723"/>
      <c r="G8" s="723"/>
      <c r="H8" s="723"/>
      <c r="I8" s="723"/>
      <c r="J8" s="723"/>
      <c r="K8" s="723"/>
      <c r="L8" s="723"/>
      <c r="M8" s="723"/>
      <c r="N8" s="723"/>
      <c r="O8" s="723"/>
      <c r="P8" s="723"/>
      <c r="Q8" s="723"/>
      <c r="R8" s="723"/>
      <c r="S8" s="723"/>
      <c r="T8" s="723"/>
      <c r="U8" s="723"/>
      <c r="V8" s="723"/>
      <c r="W8" s="723"/>
      <c r="X8" s="723"/>
      <c r="Y8" s="723"/>
      <c r="Z8" s="723"/>
      <c r="AA8" s="723"/>
      <c r="AB8" s="723"/>
      <c r="AC8" s="723"/>
      <c r="AD8" s="723"/>
      <c r="AE8" s="723"/>
      <c r="AF8" s="723"/>
      <c r="AG8" s="723"/>
      <c r="AH8" s="723"/>
      <c r="AI8" s="723"/>
      <c r="AJ8" s="723"/>
      <c r="AK8" s="263"/>
      <c r="AL8" s="263"/>
      <c r="AM8" s="263"/>
      <c r="AN8" s="263"/>
      <c r="AO8" s="263"/>
      <c r="AP8" s="263"/>
      <c r="AQ8" s="263"/>
      <c r="AR8" s="263"/>
      <c r="AS8" s="263"/>
      <c r="AT8" s="263"/>
      <c r="AU8" s="263"/>
      <c r="AV8" s="263"/>
      <c r="AW8" s="263"/>
      <c r="AX8" s="263"/>
      <c r="AY8" s="263"/>
      <c r="AZ8" s="263"/>
      <c r="BA8" s="263"/>
      <c r="BB8" s="263"/>
      <c r="BC8" s="263"/>
      <c r="BD8" s="263"/>
      <c r="BE8" s="263"/>
      <c r="BF8" s="263"/>
      <c r="BG8" s="263"/>
      <c r="BH8" s="263"/>
      <c r="BI8" s="263"/>
      <c r="BJ8" s="261"/>
    </row>
    <row r="9" spans="1:62">
      <c r="A9" s="261"/>
      <c r="B9" s="263"/>
      <c r="C9" s="723"/>
      <c r="D9" s="723"/>
      <c r="E9" s="723"/>
      <c r="F9" s="723"/>
      <c r="G9" s="723"/>
      <c r="H9" s="723"/>
      <c r="I9" s="723"/>
      <c r="J9" s="723"/>
      <c r="K9" s="723"/>
      <c r="L9" s="723"/>
      <c r="M9" s="723"/>
      <c r="N9" s="723"/>
      <c r="O9" s="723"/>
      <c r="P9" s="723"/>
      <c r="Q9" s="723"/>
      <c r="R9" s="723"/>
      <c r="S9" s="723"/>
      <c r="T9" s="723"/>
      <c r="U9" s="723"/>
      <c r="V9" s="723"/>
      <c r="W9" s="723"/>
      <c r="X9" s="723"/>
      <c r="Y9" s="723"/>
      <c r="Z9" s="723"/>
      <c r="AA9" s="723"/>
      <c r="AB9" s="723"/>
      <c r="AC9" s="723"/>
      <c r="AD9" s="723"/>
      <c r="AE9" s="723"/>
      <c r="AF9" s="723"/>
      <c r="AG9" s="723"/>
      <c r="AH9" s="723"/>
      <c r="AI9" s="723"/>
      <c r="AJ9" s="723"/>
      <c r="AK9" s="263"/>
      <c r="AL9" s="263"/>
      <c r="AM9" s="263"/>
      <c r="AN9" s="263"/>
      <c r="AO9" s="263"/>
      <c r="AP9" s="263"/>
      <c r="AQ9" s="263"/>
      <c r="AR9" s="263"/>
      <c r="AS9" s="263"/>
      <c r="AT9" s="263"/>
      <c r="AU9" s="263"/>
      <c r="AV9" s="263"/>
      <c r="AW9" s="263"/>
      <c r="AX9" s="263"/>
      <c r="AY9" s="263"/>
      <c r="AZ9" s="263"/>
      <c r="BA9" s="263"/>
      <c r="BB9" s="263"/>
      <c r="BC9" s="263"/>
      <c r="BD9" s="263"/>
      <c r="BE9" s="263"/>
      <c r="BF9" s="263"/>
      <c r="BG9" s="263"/>
      <c r="BH9" s="263"/>
      <c r="BI9" s="263"/>
      <c r="BJ9" s="261"/>
    </row>
    <row r="10" spans="1:62">
      <c r="A10" s="261"/>
      <c r="B10" s="263"/>
      <c r="C10" s="263"/>
      <c r="D10" s="407"/>
      <c r="E10" s="407"/>
      <c r="F10" s="407"/>
      <c r="G10" s="407"/>
      <c r="H10" s="407"/>
      <c r="I10" s="407"/>
      <c r="J10" s="407"/>
      <c r="K10" s="407"/>
      <c r="L10" s="407"/>
      <c r="M10" s="407"/>
      <c r="N10" s="407"/>
      <c r="O10" s="407"/>
      <c r="P10" s="407"/>
      <c r="Q10" s="407"/>
      <c r="R10" s="407"/>
      <c r="S10" s="407"/>
      <c r="T10" s="407"/>
      <c r="U10" s="407"/>
      <c r="V10" s="407"/>
      <c r="W10" s="263"/>
      <c r="X10" s="263"/>
      <c r="Y10" s="263"/>
      <c r="Z10" s="263"/>
      <c r="AA10" s="263"/>
      <c r="AB10" s="263"/>
      <c r="AC10" s="263"/>
      <c r="AD10" s="263"/>
      <c r="AE10" s="263"/>
      <c r="AF10" s="263"/>
      <c r="AG10" s="263"/>
      <c r="AH10" s="263"/>
      <c r="AI10" s="263"/>
      <c r="AJ10" s="263"/>
      <c r="AK10" s="263"/>
      <c r="AL10" s="263"/>
      <c r="AM10" s="263"/>
      <c r="AN10" s="263"/>
      <c r="AO10" s="263"/>
      <c r="AP10" s="407"/>
      <c r="AQ10" s="407"/>
      <c r="AR10" s="407"/>
      <c r="AS10" s="407"/>
      <c r="AT10" s="407"/>
      <c r="AU10" s="407"/>
      <c r="AV10" s="407"/>
      <c r="AW10" s="407"/>
      <c r="AX10" s="407"/>
      <c r="AY10" s="407"/>
      <c r="AZ10" s="407"/>
      <c r="BA10" s="407"/>
      <c r="BB10" s="407"/>
      <c r="BC10" s="407"/>
      <c r="BD10" s="407"/>
      <c r="BE10" s="407"/>
      <c r="BF10" s="407"/>
      <c r="BG10" s="407"/>
      <c r="BH10" s="407"/>
      <c r="BI10" s="263"/>
      <c r="BJ10" s="261"/>
    </row>
    <row r="11" spans="1:62">
      <c r="A11" s="261"/>
      <c r="B11" s="263"/>
      <c r="C11" s="724" t="s">
        <v>374</v>
      </c>
      <c r="D11" s="724"/>
      <c r="E11" s="724"/>
      <c r="F11" s="724"/>
      <c r="G11" s="724"/>
      <c r="H11" s="724"/>
      <c r="I11" s="724"/>
      <c r="J11" s="724"/>
      <c r="K11" s="724"/>
      <c r="L11" s="724"/>
      <c r="M11" s="724"/>
      <c r="N11" s="724"/>
      <c r="O11" s="724"/>
      <c r="P11" s="724"/>
      <c r="Q11" s="724"/>
      <c r="R11" s="724"/>
      <c r="S11" s="724"/>
      <c r="T11" s="724"/>
      <c r="U11" s="724"/>
      <c r="V11" s="724"/>
      <c r="W11" s="724"/>
      <c r="X11" s="724"/>
      <c r="Y11" s="724"/>
      <c r="Z11" s="724"/>
      <c r="AA11" s="724"/>
      <c r="AB11" s="724"/>
      <c r="AC11" s="724"/>
      <c r="AD11" s="396"/>
      <c r="AE11" s="263"/>
      <c r="AF11" s="263"/>
      <c r="AG11" s="263"/>
      <c r="AH11" s="263"/>
      <c r="AI11" s="263"/>
      <c r="AJ11" s="263"/>
      <c r="AK11" s="263"/>
      <c r="AL11" s="263"/>
      <c r="AM11" s="263"/>
      <c r="AN11" s="263"/>
      <c r="AO11" s="263"/>
      <c r="AP11" s="263"/>
      <c r="AQ11" s="263"/>
      <c r="AR11" s="263"/>
      <c r="AS11" s="263"/>
      <c r="AT11" s="263"/>
      <c r="AU11" s="263"/>
      <c r="AV11" s="263"/>
      <c r="AW11" s="263"/>
      <c r="AX11" s="263"/>
      <c r="AY11" s="263"/>
      <c r="AZ11" s="263"/>
      <c r="BA11" s="263"/>
      <c r="BB11" s="263"/>
      <c r="BC11" s="263"/>
      <c r="BD11" s="263"/>
      <c r="BE11" s="263"/>
      <c r="BF11" s="263"/>
      <c r="BG11" s="263"/>
      <c r="BH11" s="263"/>
      <c r="BI11" s="263"/>
      <c r="BJ11" s="261"/>
    </row>
    <row r="12" spans="1:62">
      <c r="A12" s="261"/>
      <c r="B12" s="263"/>
      <c r="C12" s="725"/>
      <c r="D12" s="725"/>
      <c r="E12" s="725"/>
      <c r="F12" s="725"/>
      <c r="G12" s="725"/>
      <c r="H12" s="725"/>
      <c r="I12" s="725"/>
      <c r="J12" s="725"/>
      <c r="K12" s="725"/>
      <c r="L12" s="725"/>
      <c r="M12" s="725"/>
      <c r="N12" s="725"/>
      <c r="O12" s="725"/>
      <c r="P12" s="725"/>
      <c r="Q12" s="725"/>
      <c r="R12" s="725"/>
      <c r="S12" s="725"/>
      <c r="T12" s="725"/>
      <c r="U12" s="725"/>
      <c r="V12" s="725"/>
      <c r="W12" s="725"/>
      <c r="X12" s="725"/>
      <c r="Y12" s="725"/>
      <c r="Z12" s="725"/>
      <c r="AA12" s="725"/>
      <c r="AB12" s="725"/>
      <c r="AC12" s="725"/>
      <c r="AD12" s="396"/>
      <c r="AE12" s="263"/>
      <c r="AF12" s="263"/>
      <c r="AG12" s="263"/>
      <c r="AH12" s="263"/>
      <c r="AI12" s="263"/>
      <c r="AJ12" s="263"/>
      <c r="AK12" s="263"/>
      <c r="AL12" s="263"/>
      <c r="AM12" s="263"/>
      <c r="AN12" s="263"/>
      <c r="AO12" s="263"/>
      <c r="AP12" s="263"/>
      <c r="AQ12" s="263"/>
      <c r="AR12" s="263"/>
      <c r="AS12" s="263"/>
      <c r="AT12" s="263"/>
      <c r="AU12" s="263"/>
      <c r="AV12" s="263"/>
      <c r="AW12" s="263"/>
      <c r="AX12" s="263"/>
      <c r="AY12" s="263"/>
      <c r="AZ12" s="263"/>
      <c r="BA12" s="263"/>
      <c r="BB12" s="263"/>
      <c r="BC12" s="263"/>
      <c r="BD12" s="263"/>
      <c r="BE12" s="263"/>
      <c r="BF12" s="263"/>
      <c r="BG12" s="263"/>
      <c r="BH12" s="263"/>
      <c r="BI12" s="263"/>
      <c r="BJ12" s="261"/>
    </row>
    <row r="13" spans="1:62">
      <c r="A13" s="261"/>
      <c r="B13" s="263"/>
      <c r="C13" s="263"/>
      <c r="D13" s="407"/>
      <c r="E13" s="407"/>
      <c r="F13" s="407"/>
      <c r="G13" s="407"/>
      <c r="H13" s="407"/>
      <c r="I13" s="407"/>
      <c r="J13" s="407"/>
      <c r="K13" s="407"/>
      <c r="L13" s="407"/>
      <c r="M13" s="407"/>
      <c r="N13" s="407"/>
      <c r="O13" s="407"/>
      <c r="P13" s="407"/>
      <c r="Q13" s="407"/>
      <c r="R13" s="407"/>
      <c r="S13" s="407"/>
      <c r="T13" s="407"/>
      <c r="U13" s="407"/>
      <c r="V13" s="407"/>
      <c r="W13" s="263"/>
      <c r="X13" s="263"/>
      <c r="Y13" s="263"/>
      <c r="Z13" s="263"/>
      <c r="AA13" s="263"/>
      <c r="AB13" s="263"/>
      <c r="AC13" s="263"/>
      <c r="AD13" s="263"/>
      <c r="AE13" s="263"/>
      <c r="AF13" s="263"/>
      <c r="AG13" s="263"/>
      <c r="AH13" s="263"/>
      <c r="AI13" s="263"/>
      <c r="AJ13" s="263"/>
      <c r="AK13" s="263"/>
      <c r="AL13" s="263"/>
      <c r="AM13" s="263"/>
      <c r="AN13" s="263"/>
      <c r="AO13" s="263"/>
      <c r="AP13" s="407"/>
      <c r="AQ13" s="407"/>
      <c r="AR13" s="407"/>
      <c r="AS13" s="407"/>
      <c r="AT13" s="407"/>
      <c r="AU13" s="407"/>
      <c r="AV13" s="407"/>
      <c r="AW13" s="407"/>
      <c r="AX13" s="407"/>
      <c r="AY13" s="407"/>
      <c r="AZ13" s="407"/>
      <c r="BA13" s="407"/>
      <c r="BB13" s="407"/>
      <c r="BC13" s="407"/>
      <c r="BD13" s="407"/>
      <c r="BE13" s="407"/>
      <c r="BF13" s="407"/>
      <c r="BG13" s="407"/>
      <c r="BH13" s="407"/>
      <c r="BI13" s="263"/>
      <c r="BJ13" s="261"/>
    </row>
    <row r="14" spans="1:62">
      <c r="A14" s="261"/>
      <c r="B14" s="263"/>
      <c r="C14" s="263"/>
      <c r="D14" s="407"/>
      <c r="E14" s="407"/>
      <c r="F14" s="407"/>
      <c r="G14" s="407"/>
      <c r="H14" s="407"/>
      <c r="I14" s="407"/>
      <c r="J14" s="407"/>
      <c r="K14" s="407"/>
      <c r="L14" s="407"/>
      <c r="M14" s="407"/>
      <c r="N14" s="407"/>
      <c r="O14" s="407"/>
      <c r="P14" s="407"/>
      <c r="Q14" s="407"/>
      <c r="R14" s="407"/>
      <c r="S14" s="407"/>
      <c r="T14" s="407"/>
      <c r="U14" s="407"/>
      <c r="V14" s="407"/>
      <c r="W14" s="263"/>
      <c r="X14" s="263"/>
      <c r="Y14" s="263"/>
      <c r="Z14" s="263"/>
      <c r="AA14" s="263"/>
      <c r="AB14" s="263"/>
      <c r="AC14" s="263"/>
      <c r="AD14" s="263"/>
      <c r="AE14" s="263"/>
      <c r="AF14" s="263"/>
      <c r="AG14" s="263"/>
      <c r="AH14" s="263"/>
      <c r="AI14" s="263"/>
      <c r="AJ14" s="263"/>
      <c r="AK14" s="263"/>
      <c r="AL14" s="263"/>
      <c r="AM14" s="263"/>
      <c r="AN14" s="263"/>
      <c r="AO14" s="263"/>
      <c r="AP14" s="407"/>
      <c r="AQ14" s="407"/>
      <c r="AR14" s="407"/>
      <c r="AS14" s="407"/>
      <c r="AT14" s="407"/>
      <c r="AU14" s="407"/>
      <c r="AV14" s="407"/>
      <c r="AW14" s="407"/>
      <c r="AX14" s="407"/>
      <c r="AY14" s="407"/>
      <c r="AZ14" s="407"/>
      <c r="BA14" s="407"/>
      <c r="BB14" s="407"/>
      <c r="BC14" s="407"/>
      <c r="BD14" s="407"/>
      <c r="BE14" s="407"/>
      <c r="BF14" s="407"/>
      <c r="BG14" s="407"/>
      <c r="BH14" s="407"/>
      <c r="BI14" s="263"/>
      <c r="BJ14" s="261"/>
    </row>
    <row r="15" spans="1:62">
      <c r="A15" s="261"/>
      <c r="B15" s="262"/>
      <c r="C15" s="262"/>
      <c r="D15" s="406"/>
      <c r="E15" s="406"/>
      <c r="F15" s="406"/>
      <c r="G15" s="406"/>
      <c r="H15" s="406"/>
      <c r="I15" s="406"/>
      <c r="J15" s="406"/>
      <c r="K15" s="406"/>
      <c r="L15" s="406"/>
      <c r="M15" s="406"/>
      <c r="N15" s="406"/>
      <c r="O15" s="406"/>
      <c r="P15" s="406"/>
      <c r="Q15" s="406"/>
      <c r="R15" s="406"/>
      <c r="S15" s="406"/>
      <c r="T15" s="406"/>
      <c r="U15" s="406"/>
      <c r="V15" s="406"/>
      <c r="W15" s="262"/>
      <c r="X15" s="262"/>
      <c r="Y15" s="262"/>
      <c r="Z15" s="262"/>
      <c r="AA15" s="262"/>
      <c r="AB15" s="262"/>
      <c r="AC15" s="262"/>
      <c r="AD15" s="262"/>
      <c r="AE15" s="262"/>
      <c r="AF15" s="262"/>
      <c r="AG15" s="262"/>
      <c r="AH15" s="262"/>
      <c r="AI15" s="262"/>
      <c r="AJ15" s="262"/>
      <c r="AK15" s="262"/>
      <c r="AL15" s="262"/>
      <c r="AM15" s="262"/>
      <c r="AN15" s="262"/>
      <c r="AO15" s="262"/>
      <c r="AP15" s="406"/>
      <c r="AQ15" s="406"/>
      <c r="AR15" s="406"/>
      <c r="AS15" s="406"/>
      <c r="AT15" s="406"/>
      <c r="AU15" s="406"/>
      <c r="AV15" s="406"/>
      <c r="AW15" s="406"/>
      <c r="AX15" s="406"/>
      <c r="AY15" s="406"/>
      <c r="AZ15" s="406"/>
      <c r="BA15" s="406"/>
      <c r="BB15" s="406"/>
      <c r="BC15" s="406"/>
      <c r="BD15" s="406"/>
      <c r="BE15" s="406"/>
      <c r="BF15" s="406"/>
      <c r="BG15" s="406"/>
      <c r="BH15" s="406"/>
      <c r="BI15" s="262"/>
      <c r="BJ15" s="261"/>
    </row>
    <row r="16" spans="1:62">
      <c r="A16" s="261"/>
      <c r="B16" s="262"/>
      <c r="C16" s="262"/>
      <c r="D16" s="406"/>
      <c r="E16" s="406"/>
      <c r="F16" s="406"/>
      <c r="G16" s="406"/>
      <c r="H16" s="406"/>
      <c r="I16" s="406"/>
      <c r="J16" s="406"/>
      <c r="K16" s="406"/>
      <c r="L16" s="406"/>
      <c r="M16" s="406"/>
      <c r="N16" s="406"/>
      <c r="O16" s="406"/>
      <c r="P16" s="406"/>
      <c r="Q16" s="406"/>
      <c r="R16" s="406"/>
      <c r="S16" s="406"/>
      <c r="T16" s="406"/>
      <c r="U16" s="406"/>
      <c r="V16" s="406"/>
      <c r="W16" s="262"/>
      <c r="X16" s="262"/>
      <c r="Y16" s="262"/>
      <c r="Z16" s="262"/>
      <c r="AA16" s="262"/>
      <c r="AB16" s="262"/>
      <c r="AC16" s="262"/>
      <c r="AD16" s="262"/>
      <c r="AE16" s="262"/>
      <c r="AF16" s="262"/>
      <c r="AG16" s="262"/>
      <c r="AH16" s="262"/>
      <c r="AI16" s="262"/>
      <c r="AJ16" s="262"/>
      <c r="AK16" s="262"/>
      <c r="AL16" s="262"/>
      <c r="AM16" s="262"/>
      <c r="AN16" s="262"/>
      <c r="AO16" s="262"/>
      <c r="AP16" s="406"/>
      <c r="AQ16" s="406"/>
      <c r="AR16" s="406"/>
      <c r="AS16" s="406"/>
      <c r="AT16" s="406"/>
      <c r="AU16" s="406"/>
      <c r="AV16" s="406"/>
      <c r="AW16" s="406"/>
      <c r="AX16" s="406"/>
      <c r="AY16" s="406"/>
      <c r="AZ16" s="406"/>
      <c r="BA16" s="406"/>
      <c r="BB16" s="406"/>
      <c r="BC16" s="406"/>
      <c r="BD16" s="406"/>
      <c r="BE16" s="406"/>
      <c r="BF16" s="406"/>
      <c r="BG16" s="406"/>
      <c r="BH16" s="406"/>
      <c r="BI16" s="262"/>
      <c r="BJ16" s="261"/>
    </row>
    <row r="17" spans="1:62">
      <c r="A17" s="261"/>
      <c r="B17" s="262"/>
      <c r="C17" s="262"/>
      <c r="D17" s="406"/>
      <c r="E17" s="406"/>
      <c r="F17" s="406"/>
      <c r="G17" s="406"/>
      <c r="H17" s="406"/>
      <c r="I17" s="406"/>
      <c r="J17" s="406"/>
      <c r="K17" s="406"/>
      <c r="L17" s="406"/>
      <c r="M17" s="406"/>
      <c r="N17" s="406"/>
      <c r="O17" s="406"/>
      <c r="P17" s="406"/>
      <c r="Q17" s="406"/>
      <c r="R17" s="406"/>
      <c r="S17" s="406"/>
      <c r="T17" s="406"/>
      <c r="U17" s="406"/>
      <c r="V17" s="406"/>
      <c r="W17" s="262"/>
      <c r="X17" s="262"/>
      <c r="Y17" s="262"/>
      <c r="Z17" s="788" t="s">
        <v>398</v>
      </c>
      <c r="AA17" s="788"/>
      <c r="AB17" s="788"/>
      <c r="AC17" s="788"/>
      <c r="AD17" s="788"/>
      <c r="AE17" s="262"/>
      <c r="AF17" s="788" t="s">
        <v>397</v>
      </c>
      <c r="AG17" s="788"/>
      <c r="AH17" s="788"/>
      <c r="AI17" s="788"/>
      <c r="AJ17" s="788"/>
      <c r="AK17" s="262"/>
      <c r="AL17" s="262"/>
      <c r="AM17" s="262"/>
      <c r="AN17" s="262"/>
      <c r="AO17" s="262"/>
      <c r="AP17" s="406"/>
      <c r="AQ17" s="406"/>
      <c r="AR17" s="406"/>
      <c r="AS17" s="406"/>
      <c r="AT17" s="406"/>
      <c r="AU17" s="406"/>
      <c r="AV17" s="406"/>
      <c r="AW17" s="406"/>
      <c r="AX17" s="406"/>
      <c r="AY17" s="406"/>
      <c r="AZ17" s="406"/>
      <c r="BA17" s="406"/>
      <c r="BB17" s="406"/>
      <c r="BC17" s="406"/>
      <c r="BD17" s="406"/>
      <c r="BE17" s="406"/>
      <c r="BF17" s="406"/>
      <c r="BG17" s="406"/>
      <c r="BH17" s="406"/>
      <c r="BI17" s="262"/>
      <c r="BJ17" s="261"/>
    </row>
    <row r="18" spans="1:62">
      <c r="A18" s="265"/>
      <c r="B18" s="289"/>
      <c r="C18" s="289"/>
      <c r="D18" s="409"/>
      <c r="E18" s="409"/>
      <c r="F18" s="409"/>
      <c r="G18" s="409"/>
      <c r="H18" s="409"/>
      <c r="I18" s="409"/>
      <c r="J18" s="409"/>
      <c r="K18" s="409"/>
      <c r="L18" s="409"/>
      <c r="M18" s="409"/>
      <c r="N18" s="409"/>
      <c r="O18" s="409"/>
      <c r="P18" s="409"/>
      <c r="Q18" s="409"/>
      <c r="R18" s="409"/>
      <c r="S18" s="409"/>
      <c r="T18" s="409"/>
      <c r="U18" s="409"/>
      <c r="V18" s="409"/>
      <c r="W18" s="289"/>
      <c r="X18" s="289"/>
      <c r="Y18" s="289"/>
      <c r="Z18" s="289"/>
      <c r="AA18" s="289"/>
      <c r="AB18" s="289"/>
      <c r="AC18" s="289"/>
      <c r="AD18" s="289"/>
      <c r="AE18" s="289"/>
      <c r="AF18" s="289"/>
      <c r="AG18" s="289"/>
      <c r="AH18" s="289"/>
      <c r="AI18" s="289"/>
      <c r="AJ18" s="289"/>
      <c r="AK18" s="289"/>
      <c r="AL18" s="289"/>
      <c r="AM18" s="289"/>
      <c r="AN18" s="289"/>
      <c r="AO18" s="289"/>
      <c r="AP18" s="409"/>
      <c r="AQ18" s="409"/>
      <c r="AR18" s="409"/>
      <c r="AS18" s="409"/>
      <c r="AT18" s="409"/>
      <c r="AU18" s="409"/>
      <c r="AV18" s="409"/>
      <c r="AW18" s="409"/>
      <c r="AX18" s="409"/>
      <c r="AY18" s="409"/>
      <c r="AZ18" s="409"/>
      <c r="BA18" s="409"/>
      <c r="BB18" s="409"/>
      <c r="BC18" s="409"/>
      <c r="BD18" s="409"/>
      <c r="BE18" s="409"/>
      <c r="BF18" s="409"/>
      <c r="BG18" s="409"/>
      <c r="BH18" s="409"/>
      <c r="BI18" s="266"/>
      <c r="BJ18" s="265"/>
    </row>
    <row r="19" spans="1:62" ht="6" customHeight="1">
      <c r="A19" s="265"/>
      <c r="B19" s="289"/>
      <c r="C19" s="289"/>
      <c r="D19" s="409"/>
      <c r="E19" s="409"/>
      <c r="F19" s="409"/>
      <c r="G19" s="409"/>
      <c r="H19" s="409"/>
      <c r="I19" s="409"/>
      <c r="J19" s="409"/>
      <c r="K19" s="409"/>
      <c r="L19" s="409"/>
      <c r="M19" s="409"/>
      <c r="N19" s="409"/>
      <c r="O19" s="409"/>
      <c r="P19" s="409"/>
      <c r="Q19" s="409"/>
      <c r="R19" s="409"/>
      <c r="S19" s="409"/>
      <c r="T19" s="409"/>
      <c r="U19" s="409"/>
      <c r="V19" s="409"/>
      <c r="W19" s="289"/>
      <c r="X19" s="289"/>
      <c r="Y19" s="789" t="str">
        <f>IF(Obliczenia!E61="10","",Obliczenia!E61)</f>
        <v>0.1</v>
      </c>
      <c r="Z19" s="397"/>
      <c r="AA19" s="397"/>
      <c r="AB19" s="397"/>
      <c r="AC19" s="397"/>
      <c r="AD19" s="397"/>
      <c r="AE19" s="289"/>
      <c r="AF19" s="395"/>
      <c r="AG19" s="395"/>
      <c r="AH19" s="395"/>
      <c r="AI19" s="395"/>
      <c r="AJ19" s="395"/>
      <c r="AK19" s="789" t="str">
        <f>IF(Obliczenia!E37="10","",Obliczenia!E37)</f>
        <v>0.9</v>
      </c>
      <c r="AL19" s="289"/>
      <c r="AM19" s="289"/>
      <c r="AN19" s="289"/>
      <c r="AO19" s="289"/>
      <c r="AP19" s="409"/>
      <c r="AQ19" s="409"/>
      <c r="AR19" s="409"/>
      <c r="AS19" s="409"/>
      <c r="AT19" s="409"/>
      <c r="AU19" s="409"/>
      <c r="AV19" s="409"/>
      <c r="AW19" s="409"/>
      <c r="AX19" s="409"/>
      <c r="AY19" s="409"/>
      <c r="AZ19" s="409"/>
      <c r="BA19" s="409"/>
      <c r="BB19" s="409"/>
      <c r="BC19" s="409"/>
      <c r="BD19" s="409"/>
      <c r="BE19" s="409"/>
      <c r="BF19" s="409"/>
      <c r="BG19" s="409"/>
      <c r="BH19" s="409"/>
      <c r="BI19" s="266"/>
      <c r="BJ19" s="265"/>
    </row>
    <row r="20" spans="1:62" ht="14.4" customHeight="1">
      <c r="A20" s="265"/>
      <c r="B20" s="289"/>
      <c r="C20" s="289"/>
      <c r="D20" s="409"/>
      <c r="E20" s="409"/>
      <c r="F20" s="409"/>
      <c r="G20" s="409"/>
      <c r="H20" s="409"/>
      <c r="I20" s="409"/>
      <c r="J20" s="409"/>
      <c r="K20" s="409"/>
      <c r="L20" s="409"/>
      <c r="M20" s="409"/>
      <c r="N20" s="409"/>
      <c r="O20" s="409"/>
      <c r="P20" s="409"/>
      <c r="Q20" s="409"/>
      <c r="R20" s="409"/>
      <c r="S20" s="409"/>
      <c r="T20" s="409"/>
      <c r="U20" s="409"/>
      <c r="V20" s="409"/>
      <c r="W20" s="289"/>
      <c r="X20" s="4" t="str">
        <f>IF(Y19&lt;&gt;"","1","")</f>
        <v>1</v>
      </c>
      <c r="Y20" s="789"/>
      <c r="Z20" s="397"/>
      <c r="AA20" s="772" t="str">
        <f>IF(Y19="","",VLOOKUP(Y19,big_tabela,3,0))</f>
        <v>Wiatrołap</v>
      </c>
      <c r="AB20" s="772"/>
      <c r="AC20" s="773">
        <f>IF(Y19="","",VLOOKUP(Y19,big_tabela,12,0))</f>
        <v>15</v>
      </c>
      <c r="AD20" s="774" t="s">
        <v>373</v>
      </c>
      <c r="AE20" s="289"/>
      <c r="AF20" s="395"/>
      <c r="AG20" s="783" t="str">
        <f>IF(AK19="","",VLOOKUP(AK19,big_tabela,3,0))</f>
        <v>Sypialnia</v>
      </c>
      <c r="AH20" s="783"/>
      <c r="AI20" s="784">
        <f>IF(AK19="","",VLOOKUP(AK19,big_tabela,12,0))</f>
        <v>60</v>
      </c>
      <c r="AJ20" s="767" t="s">
        <v>373</v>
      </c>
      <c r="AK20" s="789"/>
      <c r="AL20" s="4" t="str">
        <f>IF(AK19&lt;&gt;"","1","")</f>
        <v>1</v>
      </c>
      <c r="AM20" s="289"/>
      <c r="AN20" s="289"/>
      <c r="AO20" s="289"/>
      <c r="AP20" s="409"/>
      <c r="AQ20" s="409"/>
      <c r="AR20" s="409"/>
      <c r="AS20" s="409"/>
      <c r="AT20" s="409"/>
      <c r="AU20" s="409"/>
      <c r="AV20" s="409"/>
      <c r="AW20" s="409"/>
      <c r="AX20" s="409"/>
      <c r="AY20" s="409"/>
      <c r="AZ20" s="409"/>
      <c r="BA20" s="409"/>
      <c r="BB20" s="409"/>
      <c r="BC20" s="409"/>
      <c r="BD20" s="409"/>
      <c r="BE20" s="409"/>
      <c r="BF20" s="409"/>
      <c r="BG20" s="409"/>
      <c r="BH20" s="409"/>
      <c r="BI20" s="266"/>
      <c r="BJ20" s="265"/>
    </row>
    <row r="21" spans="1:62" ht="14.4" customHeight="1">
      <c r="A21" s="265"/>
      <c r="B21" s="289"/>
      <c r="C21" s="289"/>
      <c r="D21" s="409"/>
      <c r="E21" s="409"/>
      <c r="F21" s="409"/>
      <c r="G21" s="409"/>
      <c r="H21" s="409"/>
      <c r="I21" s="409"/>
      <c r="J21" s="409"/>
      <c r="K21" s="409"/>
      <c r="L21" s="409"/>
      <c r="M21" s="409"/>
      <c r="N21" s="409"/>
      <c r="O21" s="409"/>
      <c r="P21" s="409"/>
      <c r="Q21" s="409"/>
      <c r="R21" s="409"/>
      <c r="S21" s="409"/>
      <c r="T21" s="409"/>
      <c r="U21" s="409"/>
      <c r="V21" s="409"/>
      <c r="W21" s="494" t="str">
        <f>IF(Y19="","","Φ75")</f>
        <v>Φ75</v>
      </c>
      <c r="X21" s="495" t="str">
        <f>IF(Y19="","","x"&amp;VLOOKUP(Y19,big_tabela,42,0))</f>
        <v>x1</v>
      </c>
      <c r="Y21" s="403" t="str">
        <f>IF(Y19="","","◄")</f>
        <v>◄</v>
      </c>
      <c r="Z21" s="397"/>
      <c r="AA21" s="772"/>
      <c r="AB21" s="772"/>
      <c r="AC21" s="794"/>
      <c r="AD21" s="795"/>
      <c r="AE21" s="289"/>
      <c r="AF21" s="395"/>
      <c r="AG21" s="783"/>
      <c r="AH21" s="783"/>
      <c r="AI21" s="784"/>
      <c r="AJ21" s="767"/>
      <c r="AK21" s="402" t="str">
        <f>IF(AK19="","","◄")</f>
        <v>◄</v>
      </c>
      <c r="AL21" s="494" t="str">
        <f>IF(AK19="","","Φ75")</f>
        <v>Φ75</v>
      </c>
      <c r="AM21" s="495" t="str">
        <f>IF(AK19="","","x"&amp;VLOOKUP(AK19,big_tabela,41,0))</f>
        <v>x2</v>
      </c>
      <c r="AN21" s="289"/>
      <c r="AO21" s="289"/>
      <c r="AP21" s="409"/>
      <c r="AQ21" s="409"/>
      <c r="AR21" s="409"/>
      <c r="AS21" s="409"/>
      <c r="AT21" s="409"/>
      <c r="AU21" s="409"/>
      <c r="AV21" s="409"/>
      <c r="AW21" s="409"/>
      <c r="AX21" s="409"/>
      <c r="AY21" s="409"/>
      <c r="AZ21" s="409"/>
      <c r="BA21" s="409"/>
      <c r="BB21" s="409"/>
      <c r="BC21" s="409"/>
      <c r="BD21" s="409"/>
      <c r="BE21" s="409"/>
      <c r="BF21" s="409"/>
      <c r="BG21" s="409"/>
      <c r="BH21" s="409"/>
      <c r="BI21" s="266"/>
      <c r="BJ21" s="265"/>
    </row>
    <row r="22" spans="1:62" ht="3" customHeight="1">
      <c r="A22" s="265"/>
      <c r="B22" s="289"/>
      <c r="C22" s="404"/>
      <c r="D22" s="418" t="str">
        <f>$X$20</f>
        <v>1</v>
      </c>
      <c r="E22" s="418" t="str">
        <f>$X$20</f>
        <v>1</v>
      </c>
      <c r="F22" s="418" t="str">
        <f t="shared" ref="F22:Y22" si="0">$X$20</f>
        <v>1</v>
      </c>
      <c r="G22" s="418" t="str">
        <f t="shared" si="0"/>
        <v>1</v>
      </c>
      <c r="H22" s="418" t="str">
        <f t="shared" si="0"/>
        <v>1</v>
      </c>
      <c r="I22" s="418" t="str">
        <f t="shared" si="0"/>
        <v>1</v>
      </c>
      <c r="J22" s="418" t="str">
        <f t="shared" si="0"/>
        <v>1</v>
      </c>
      <c r="K22" s="418" t="str">
        <f t="shared" si="0"/>
        <v>1</v>
      </c>
      <c r="L22" s="418" t="str">
        <f t="shared" si="0"/>
        <v>1</v>
      </c>
      <c r="M22" s="418" t="str">
        <f t="shared" si="0"/>
        <v>1</v>
      </c>
      <c r="N22" s="418" t="str">
        <f t="shared" si="0"/>
        <v>1</v>
      </c>
      <c r="O22" s="418" t="str">
        <f t="shared" si="0"/>
        <v>1</v>
      </c>
      <c r="P22" s="418" t="str">
        <f t="shared" si="0"/>
        <v>1</v>
      </c>
      <c r="Q22" s="418" t="str">
        <f t="shared" si="0"/>
        <v>1</v>
      </c>
      <c r="R22" s="418" t="str">
        <f t="shared" si="0"/>
        <v>1</v>
      </c>
      <c r="S22" s="418" t="str">
        <f t="shared" si="0"/>
        <v>1</v>
      </c>
      <c r="T22" s="418" t="str">
        <f t="shared" si="0"/>
        <v>1</v>
      </c>
      <c r="U22" s="418" t="str">
        <f t="shared" si="0"/>
        <v>1</v>
      </c>
      <c r="V22" s="418" t="str">
        <f t="shared" si="0"/>
        <v>1</v>
      </c>
      <c r="W22" s="418" t="str">
        <f t="shared" si="0"/>
        <v>1</v>
      </c>
      <c r="X22" s="418" t="str">
        <f t="shared" si="0"/>
        <v>1</v>
      </c>
      <c r="Y22" s="418" t="str">
        <f t="shared" si="0"/>
        <v>1</v>
      </c>
      <c r="Z22" s="397"/>
      <c r="AA22" s="412"/>
      <c r="AB22" s="412"/>
      <c r="AC22" s="415"/>
      <c r="AD22" s="416"/>
      <c r="AE22" s="289"/>
      <c r="AF22" s="395"/>
      <c r="AG22" s="421"/>
      <c r="AH22" s="421"/>
      <c r="AI22" s="413"/>
      <c r="AJ22" s="414"/>
      <c r="AK22" s="418" t="str">
        <f>$AL$20</f>
        <v>1</v>
      </c>
      <c r="AL22" s="418" t="str">
        <f t="shared" ref="AL22:BH37" si="1">$AL$20</f>
        <v>1</v>
      </c>
      <c r="AM22" s="418" t="str">
        <f t="shared" si="1"/>
        <v>1</v>
      </c>
      <c r="AN22" s="418" t="str">
        <f t="shared" si="1"/>
        <v>1</v>
      </c>
      <c r="AO22" s="418" t="str">
        <f t="shared" si="1"/>
        <v>1</v>
      </c>
      <c r="AP22" s="418" t="str">
        <f t="shared" si="1"/>
        <v>1</v>
      </c>
      <c r="AQ22" s="418" t="str">
        <f t="shared" si="1"/>
        <v>1</v>
      </c>
      <c r="AR22" s="418" t="str">
        <f t="shared" si="1"/>
        <v>1</v>
      </c>
      <c r="AS22" s="418" t="str">
        <f t="shared" si="1"/>
        <v>1</v>
      </c>
      <c r="AT22" s="418" t="str">
        <f t="shared" si="1"/>
        <v>1</v>
      </c>
      <c r="AU22" s="418" t="str">
        <f t="shared" si="1"/>
        <v>1</v>
      </c>
      <c r="AV22" s="418" t="str">
        <f t="shared" si="1"/>
        <v>1</v>
      </c>
      <c r="AW22" s="418" t="str">
        <f t="shared" si="1"/>
        <v>1</v>
      </c>
      <c r="AX22" s="418" t="str">
        <f t="shared" si="1"/>
        <v>1</v>
      </c>
      <c r="AY22" s="418" t="str">
        <f t="shared" si="1"/>
        <v>1</v>
      </c>
      <c r="AZ22" s="418" t="str">
        <f t="shared" si="1"/>
        <v>1</v>
      </c>
      <c r="BA22" s="418" t="str">
        <f t="shared" si="1"/>
        <v>1</v>
      </c>
      <c r="BB22" s="418" t="str">
        <f t="shared" si="1"/>
        <v>1</v>
      </c>
      <c r="BC22" s="418" t="str">
        <f t="shared" si="1"/>
        <v>1</v>
      </c>
      <c r="BD22" s="418" t="str">
        <f t="shared" si="1"/>
        <v>1</v>
      </c>
      <c r="BE22" s="418" t="str">
        <f t="shared" si="1"/>
        <v>1</v>
      </c>
      <c r="BF22" s="418" t="str">
        <f t="shared" si="1"/>
        <v>1</v>
      </c>
      <c r="BG22" s="418" t="str">
        <f t="shared" si="1"/>
        <v>1</v>
      </c>
      <c r="BH22" s="418" t="str">
        <f t="shared" si="1"/>
        <v>1</v>
      </c>
      <c r="BI22" s="266"/>
      <c r="BJ22" s="265"/>
    </row>
    <row r="23" spans="1:62" ht="14.4" customHeight="1">
      <c r="A23" s="265"/>
      <c r="B23" s="289"/>
      <c r="C23" s="289"/>
      <c r="D23" s="418" t="str">
        <f t="shared" ref="D23:D86" si="2">$X$20</f>
        <v>1</v>
      </c>
      <c r="E23" s="418"/>
      <c r="F23" s="418"/>
      <c r="G23" s="418"/>
      <c r="H23" s="418"/>
      <c r="I23" s="418"/>
      <c r="J23" s="418"/>
      <c r="K23" s="418"/>
      <c r="L23" s="418"/>
      <c r="M23" s="418"/>
      <c r="N23" s="418"/>
      <c r="O23" s="418"/>
      <c r="P23" s="418"/>
      <c r="Q23" s="418"/>
      <c r="R23" s="418"/>
      <c r="S23" s="418"/>
      <c r="T23" s="418"/>
      <c r="U23" s="418"/>
      <c r="V23" s="418"/>
      <c r="W23" s="289"/>
      <c r="X23" s="289"/>
      <c r="Y23" s="289"/>
      <c r="Z23" s="397"/>
      <c r="AA23" s="399" t="str">
        <f>IF(Y19="","",VLOOKUP(Y19,big_tabela,4,0))</f>
        <v/>
      </c>
      <c r="AB23" s="400"/>
      <c r="AC23" s="634" t="str">
        <f>IF(Y19="","","anemostat")</f>
        <v>anemostat</v>
      </c>
      <c r="AD23" s="416" t="str">
        <f>IF(Y19="","","x"&amp;VLOOKUP(Y19,big_tabela,45,0))</f>
        <v>x1</v>
      </c>
      <c r="AE23" s="289"/>
      <c r="AF23" s="395"/>
      <c r="AG23" s="398" t="str">
        <f>IF(AK19="","",VLOOKUP(AK19,big_tabela,4,0))</f>
        <v/>
      </c>
      <c r="AH23" s="417"/>
      <c r="AI23" s="635" t="str">
        <f>IF(AK19="","","anemostat")</f>
        <v>anemostat</v>
      </c>
      <c r="AJ23" s="414" t="str">
        <f>IF(AK19="","","x"&amp;VLOOKUP(AK19,big_tabela,44,0))</f>
        <v>x1</v>
      </c>
      <c r="AK23" s="401"/>
      <c r="AL23" s="289"/>
      <c r="AM23" s="289"/>
      <c r="AN23" s="289"/>
      <c r="AO23" s="289"/>
      <c r="AP23" s="409"/>
      <c r="AQ23" s="409"/>
      <c r="AR23" s="409"/>
      <c r="AS23" s="409"/>
      <c r="AT23" s="409"/>
      <c r="AU23" s="409"/>
      <c r="AV23" s="409"/>
      <c r="AW23" s="409"/>
      <c r="AX23" s="409"/>
      <c r="AY23" s="409"/>
      <c r="AZ23" s="409"/>
      <c r="BA23" s="409"/>
      <c r="BB23" s="409"/>
      <c r="BC23" s="409"/>
      <c r="BD23" s="409"/>
      <c r="BE23" s="409"/>
      <c r="BF23" s="409"/>
      <c r="BG23" s="409"/>
      <c r="BH23" s="418" t="str">
        <f t="shared" si="1"/>
        <v>1</v>
      </c>
      <c r="BI23" s="266"/>
      <c r="BJ23" s="265"/>
    </row>
    <row r="24" spans="1:62" ht="6" customHeight="1">
      <c r="A24" s="265"/>
      <c r="B24" s="289"/>
      <c r="C24" s="289"/>
      <c r="D24" s="418" t="str">
        <f t="shared" si="2"/>
        <v>1</v>
      </c>
      <c r="E24" s="418"/>
      <c r="F24" s="418"/>
      <c r="G24" s="418"/>
      <c r="H24" s="418"/>
      <c r="I24" s="418"/>
      <c r="J24" s="418"/>
      <c r="K24" s="418"/>
      <c r="L24" s="418"/>
      <c r="M24" s="418"/>
      <c r="N24" s="418"/>
      <c r="O24" s="418"/>
      <c r="P24" s="418"/>
      <c r="Q24" s="418"/>
      <c r="R24" s="418"/>
      <c r="S24" s="418"/>
      <c r="T24" s="418"/>
      <c r="U24" s="418"/>
      <c r="V24" s="418"/>
      <c r="W24" s="289"/>
      <c r="X24" s="289"/>
      <c r="Y24" s="289"/>
      <c r="Z24" s="397"/>
      <c r="AA24" s="397"/>
      <c r="AB24" s="397"/>
      <c r="AC24" s="397"/>
      <c r="AD24" s="397"/>
      <c r="AE24" s="289"/>
      <c r="AF24" s="395"/>
      <c r="AG24" s="395"/>
      <c r="AH24" s="395"/>
      <c r="AI24" s="395"/>
      <c r="AJ24" s="395"/>
      <c r="AK24" s="289"/>
      <c r="AL24" s="289"/>
      <c r="AM24" s="289"/>
      <c r="AN24" s="289"/>
      <c r="AO24" s="289"/>
      <c r="AP24" s="409"/>
      <c r="AQ24" s="409"/>
      <c r="AR24" s="409"/>
      <c r="AS24" s="409"/>
      <c r="AT24" s="409"/>
      <c r="AU24" s="409"/>
      <c r="AV24" s="409"/>
      <c r="AW24" s="409"/>
      <c r="AX24" s="409"/>
      <c r="AY24" s="409"/>
      <c r="AZ24" s="409"/>
      <c r="BA24" s="409"/>
      <c r="BB24" s="409"/>
      <c r="BC24" s="409"/>
      <c r="BD24" s="409"/>
      <c r="BE24" s="409"/>
      <c r="BF24" s="409"/>
      <c r="BG24" s="409"/>
      <c r="BH24" s="418" t="str">
        <f t="shared" si="1"/>
        <v>1</v>
      </c>
      <c r="BI24" s="266"/>
      <c r="BJ24" s="265"/>
    </row>
    <row r="25" spans="1:62">
      <c r="A25" s="265"/>
      <c r="B25" s="289"/>
      <c r="C25" s="289"/>
      <c r="D25" s="418" t="str">
        <f t="shared" si="2"/>
        <v>1</v>
      </c>
      <c r="E25" s="418"/>
      <c r="F25" s="418"/>
      <c r="G25" s="418"/>
      <c r="H25" s="418"/>
      <c r="I25" s="418"/>
      <c r="J25" s="418"/>
      <c r="K25" s="418"/>
      <c r="L25" s="418"/>
      <c r="M25" s="418"/>
      <c r="N25" s="418"/>
      <c r="O25" s="418"/>
      <c r="P25" s="418"/>
      <c r="Q25" s="418"/>
      <c r="R25" s="418"/>
      <c r="S25" s="418"/>
      <c r="T25" s="418"/>
      <c r="U25" s="418"/>
      <c r="V25" s="418"/>
      <c r="W25" s="289"/>
      <c r="X25" s="289"/>
      <c r="Y25" s="289"/>
      <c r="Z25" s="289"/>
      <c r="AA25" s="289"/>
      <c r="AB25" s="289"/>
      <c r="AC25" s="289"/>
      <c r="AD25" s="289"/>
      <c r="AE25" s="289"/>
      <c r="AF25" s="289"/>
      <c r="AG25" s="289"/>
      <c r="AH25" s="289"/>
      <c r="AI25" s="289"/>
      <c r="AJ25" s="289"/>
      <c r="AK25" s="289"/>
      <c r="AL25" s="289"/>
      <c r="AM25" s="289"/>
      <c r="AN25" s="289"/>
      <c r="AO25" s="289"/>
      <c r="AP25" s="409"/>
      <c r="AQ25" s="409"/>
      <c r="AR25" s="409"/>
      <c r="AS25" s="409"/>
      <c r="AT25" s="409"/>
      <c r="AU25" s="409"/>
      <c r="AV25" s="409"/>
      <c r="AW25" s="409"/>
      <c r="AX25" s="409"/>
      <c r="AY25" s="409"/>
      <c r="AZ25" s="409"/>
      <c r="BA25" s="409"/>
      <c r="BB25" s="409"/>
      <c r="BC25" s="409"/>
      <c r="BD25" s="409"/>
      <c r="BE25" s="409"/>
      <c r="BF25" s="409"/>
      <c r="BG25" s="409"/>
      <c r="BH25" s="418" t="str">
        <f t="shared" si="1"/>
        <v>1</v>
      </c>
      <c r="BI25" s="266"/>
      <c r="BJ25" s="265"/>
    </row>
    <row r="26" spans="1:62" ht="6" customHeight="1">
      <c r="A26" s="265"/>
      <c r="B26" s="289"/>
      <c r="C26" s="289"/>
      <c r="D26" s="418" t="str">
        <f t="shared" si="2"/>
        <v>1</v>
      </c>
      <c r="E26" s="418"/>
      <c r="F26" s="418"/>
      <c r="G26" s="418"/>
      <c r="H26" s="418"/>
      <c r="I26" s="418"/>
      <c r="J26" s="418"/>
      <c r="K26" s="418"/>
      <c r="L26" s="418"/>
      <c r="M26" s="418"/>
      <c r="N26" s="418"/>
      <c r="O26" s="418"/>
      <c r="P26" s="418"/>
      <c r="Q26" s="418"/>
      <c r="R26" s="418"/>
      <c r="S26" s="418"/>
      <c r="T26" s="418"/>
      <c r="U26" s="418"/>
      <c r="V26" s="418"/>
      <c r="W26" s="289"/>
      <c r="X26" s="289"/>
      <c r="Y26" s="789" t="str">
        <f>IF(Obliczenia!E62="10","",Obliczenia!E62)</f>
        <v>0.5</v>
      </c>
      <c r="Z26" s="397"/>
      <c r="AA26" s="397"/>
      <c r="AB26" s="397"/>
      <c r="AC26" s="397"/>
      <c r="AD26" s="397"/>
      <c r="AE26" s="289"/>
      <c r="AF26" s="395"/>
      <c r="AG26" s="395"/>
      <c r="AH26" s="395"/>
      <c r="AI26" s="395"/>
      <c r="AJ26" s="395"/>
      <c r="AK26" s="789" t="str">
        <f>IF(Obliczenia!E38="10","",Obliczenia!E38)</f>
        <v>0.12</v>
      </c>
      <c r="AL26" s="289"/>
      <c r="AM26" s="289"/>
      <c r="AN26" s="289"/>
      <c r="AO26" s="289"/>
      <c r="AP26" s="409"/>
      <c r="AQ26" s="409"/>
      <c r="AR26" s="409"/>
      <c r="AS26" s="409"/>
      <c r="AT26" s="409"/>
      <c r="AU26" s="409"/>
      <c r="AV26" s="409"/>
      <c r="AW26" s="409"/>
      <c r="AX26" s="409"/>
      <c r="AY26" s="409"/>
      <c r="AZ26" s="409"/>
      <c r="BA26" s="409"/>
      <c r="BB26" s="409"/>
      <c r="BC26" s="409"/>
      <c r="BD26" s="409"/>
      <c r="BE26" s="409"/>
      <c r="BF26" s="409"/>
      <c r="BG26" s="409"/>
      <c r="BH26" s="418" t="str">
        <f t="shared" si="1"/>
        <v>1</v>
      </c>
      <c r="BI26" s="266"/>
      <c r="BJ26" s="265"/>
    </row>
    <row r="27" spans="1:62" ht="14.4" customHeight="1">
      <c r="A27" s="265"/>
      <c r="B27" s="289"/>
      <c r="C27" s="289"/>
      <c r="D27" s="418" t="str">
        <f t="shared" si="2"/>
        <v>1</v>
      </c>
      <c r="E27" s="418"/>
      <c r="F27" s="418"/>
      <c r="G27" s="418"/>
      <c r="H27" s="418"/>
      <c r="I27" s="418"/>
      <c r="J27" s="418"/>
      <c r="K27" s="418"/>
      <c r="L27" s="418"/>
      <c r="M27" s="418"/>
      <c r="N27" s="418"/>
      <c r="O27" s="418"/>
      <c r="P27" s="418"/>
      <c r="Q27" s="418"/>
      <c r="R27" s="418"/>
      <c r="S27" s="418"/>
      <c r="T27" s="418"/>
      <c r="U27" s="418"/>
      <c r="V27" s="418"/>
      <c r="W27" s="289"/>
      <c r="X27" s="4" t="str">
        <f>IF(Y26&lt;&gt;"","1","")</f>
        <v>1</v>
      </c>
      <c r="Y27" s="789"/>
      <c r="Z27" s="397"/>
      <c r="AA27" s="772" t="str">
        <f>IF(Y26="","",VLOOKUP(Y26,big_tabela,3,0))</f>
        <v>WC (bez wanny lub kabiny prysznicowej)</v>
      </c>
      <c r="AB27" s="772"/>
      <c r="AC27" s="773">
        <f>IF(Y26="","",VLOOKUP(Y26,big_tabela,12,0))</f>
        <v>30</v>
      </c>
      <c r="AD27" s="774" t="s">
        <v>373</v>
      </c>
      <c r="AE27" s="289"/>
      <c r="AF27" s="395"/>
      <c r="AG27" s="783" t="str">
        <f>IF(AK26="","",VLOOKUP(AK26,big_tabela,3,0))</f>
        <v>Sypialnia</v>
      </c>
      <c r="AH27" s="783"/>
      <c r="AI27" s="784">
        <f>IF(AK26="","",VLOOKUP(AK26,big_tabela,12,0))</f>
        <v>30</v>
      </c>
      <c r="AJ27" s="767" t="s">
        <v>373</v>
      </c>
      <c r="AK27" s="789"/>
      <c r="AL27" s="4" t="str">
        <f>IF(AK26&lt;&gt;"","1","")</f>
        <v>1</v>
      </c>
      <c r="AM27" s="289"/>
      <c r="AN27" s="289"/>
      <c r="AO27" s="289"/>
      <c r="AP27" s="409"/>
      <c r="AQ27" s="409"/>
      <c r="AR27" s="409"/>
      <c r="AS27" s="409"/>
      <c r="AT27" s="409"/>
      <c r="AU27" s="409"/>
      <c r="AV27" s="409"/>
      <c r="AW27" s="409"/>
      <c r="AX27" s="409"/>
      <c r="AY27" s="409"/>
      <c r="AZ27" s="409"/>
      <c r="BA27" s="409"/>
      <c r="BB27" s="409"/>
      <c r="BC27" s="409"/>
      <c r="BD27" s="409"/>
      <c r="BE27" s="409"/>
      <c r="BF27" s="409"/>
      <c r="BG27" s="409"/>
      <c r="BH27" s="418" t="str">
        <f t="shared" si="1"/>
        <v>1</v>
      </c>
      <c r="BI27" s="266"/>
      <c r="BJ27" s="265"/>
    </row>
    <row r="28" spans="1:62" ht="14.4" customHeight="1">
      <c r="A28" s="265"/>
      <c r="B28" s="289"/>
      <c r="C28" s="289"/>
      <c r="D28" s="418" t="str">
        <f t="shared" si="2"/>
        <v>1</v>
      </c>
      <c r="E28" s="418"/>
      <c r="F28" s="418"/>
      <c r="G28" s="418"/>
      <c r="H28" s="418"/>
      <c r="I28" s="418"/>
      <c r="J28" s="418"/>
      <c r="K28" s="418"/>
      <c r="L28" s="418"/>
      <c r="M28" s="418"/>
      <c r="N28" s="418"/>
      <c r="O28" s="418"/>
      <c r="P28" s="418"/>
      <c r="Q28" s="418"/>
      <c r="R28" s="418"/>
      <c r="S28" s="418"/>
      <c r="T28" s="418"/>
      <c r="U28" s="418"/>
      <c r="V28" s="418"/>
      <c r="W28" s="494" t="str">
        <f>IF(Y26="","","Φ75")</f>
        <v>Φ75</v>
      </c>
      <c r="X28" s="495" t="str">
        <f>IF(Y26="","","x"&amp;VLOOKUP(Y26,big_tabela,42,0))</f>
        <v>x1</v>
      </c>
      <c r="Y28" s="403" t="str">
        <f>IF(Y26="","","◄")</f>
        <v>◄</v>
      </c>
      <c r="Z28" s="397"/>
      <c r="AA28" s="772"/>
      <c r="AB28" s="772"/>
      <c r="AC28" s="773"/>
      <c r="AD28" s="774"/>
      <c r="AE28" s="289"/>
      <c r="AF28" s="395"/>
      <c r="AG28" s="783"/>
      <c r="AH28" s="783"/>
      <c r="AI28" s="784"/>
      <c r="AJ28" s="767"/>
      <c r="AK28" s="402" t="str">
        <f>IF(AK26="","","◄")</f>
        <v>◄</v>
      </c>
      <c r="AL28" s="494" t="str">
        <f>IF(AK26="","","Φ75")</f>
        <v>Φ75</v>
      </c>
      <c r="AM28" s="495" t="str">
        <f>IF(AK26="","","x"&amp;VLOOKUP(AK26,big_tabela,41,0))</f>
        <v>x1</v>
      </c>
      <c r="AN28" s="289"/>
      <c r="AO28" s="289"/>
      <c r="AP28" s="409"/>
      <c r="AQ28" s="409"/>
      <c r="AR28" s="409"/>
      <c r="AS28" s="409"/>
      <c r="AT28" s="409"/>
      <c r="AU28" s="409"/>
      <c r="AV28" s="409"/>
      <c r="AW28" s="409"/>
      <c r="AX28" s="409"/>
      <c r="AY28" s="409"/>
      <c r="AZ28" s="409"/>
      <c r="BA28" s="409"/>
      <c r="BB28" s="409"/>
      <c r="BC28" s="409"/>
      <c r="BD28" s="409"/>
      <c r="BE28" s="409"/>
      <c r="BF28" s="409"/>
      <c r="BG28" s="409"/>
      <c r="BH28" s="418" t="str">
        <f t="shared" si="1"/>
        <v>1</v>
      </c>
      <c r="BI28" s="266"/>
      <c r="BJ28" s="265"/>
    </row>
    <row r="29" spans="1:62" ht="3" customHeight="1">
      <c r="A29" s="265"/>
      <c r="B29" s="289"/>
      <c r="C29" s="404"/>
      <c r="D29" s="418" t="str">
        <f t="shared" si="2"/>
        <v>1</v>
      </c>
      <c r="E29" s="418"/>
      <c r="F29" s="418" t="str">
        <f t="shared" ref="F29:X44" si="3">$X$27</f>
        <v>1</v>
      </c>
      <c r="G29" s="418" t="str">
        <f t="shared" si="3"/>
        <v>1</v>
      </c>
      <c r="H29" s="418" t="str">
        <f t="shared" si="3"/>
        <v>1</v>
      </c>
      <c r="I29" s="418" t="str">
        <f t="shared" si="3"/>
        <v>1</v>
      </c>
      <c r="J29" s="418" t="str">
        <f t="shared" si="3"/>
        <v>1</v>
      </c>
      <c r="K29" s="418" t="str">
        <f t="shared" si="3"/>
        <v>1</v>
      </c>
      <c r="L29" s="418" t="str">
        <f t="shared" si="3"/>
        <v>1</v>
      </c>
      <c r="M29" s="418" t="str">
        <f t="shared" si="3"/>
        <v>1</v>
      </c>
      <c r="N29" s="418" t="str">
        <f t="shared" si="3"/>
        <v>1</v>
      </c>
      <c r="O29" s="418" t="str">
        <f t="shared" si="3"/>
        <v>1</v>
      </c>
      <c r="P29" s="418" t="str">
        <f t="shared" si="3"/>
        <v>1</v>
      </c>
      <c r="Q29" s="418" t="str">
        <f t="shared" si="3"/>
        <v>1</v>
      </c>
      <c r="R29" s="418" t="str">
        <f t="shared" si="3"/>
        <v>1</v>
      </c>
      <c r="S29" s="418" t="str">
        <f t="shared" si="3"/>
        <v>1</v>
      </c>
      <c r="T29" s="418" t="str">
        <f t="shared" si="3"/>
        <v>1</v>
      </c>
      <c r="U29" s="418" t="str">
        <f t="shared" si="3"/>
        <v>1</v>
      </c>
      <c r="V29" s="418" t="str">
        <f t="shared" si="3"/>
        <v>1</v>
      </c>
      <c r="W29" s="418" t="str">
        <f t="shared" si="3"/>
        <v>1</v>
      </c>
      <c r="X29" s="418" t="str">
        <f t="shared" si="3"/>
        <v>1</v>
      </c>
      <c r="Y29" s="418" t="str">
        <f>$X$27</f>
        <v>1</v>
      </c>
      <c r="Z29" s="397"/>
      <c r="AA29" s="412"/>
      <c r="AB29" s="412"/>
      <c r="AC29" s="415"/>
      <c r="AD29" s="416"/>
      <c r="AE29" s="289"/>
      <c r="AF29" s="395"/>
      <c r="AG29" s="421"/>
      <c r="AH29" s="421"/>
      <c r="AI29" s="413"/>
      <c r="AJ29" s="414"/>
      <c r="AK29" s="418" t="str">
        <f>$AL$27</f>
        <v>1</v>
      </c>
      <c r="AL29" s="418" t="str">
        <f t="shared" ref="AL29:BF44" si="4">$AL$27</f>
        <v>1</v>
      </c>
      <c r="AM29" s="418" t="str">
        <f t="shared" si="4"/>
        <v>1</v>
      </c>
      <c r="AN29" s="418" t="str">
        <f t="shared" si="4"/>
        <v>1</v>
      </c>
      <c r="AO29" s="418" t="str">
        <f t="shared" si="4"/>
        <v>1</v>
      </c>
      <c r="AP29" s="418" t="str">
        <f t="shared" si="4"/>
        <v>1</v>
      </c>
      <c r="AQ29" s="418" t="str">
        <f t="shared" si="4"/>
        <v>1</v>
      </c>
      <c r="AR29" s="418" t="str">
        <f t="shared" si="4"/>
        <v>1</v>
      </c>
      <c r="AS29" s="418" t="str">
        <f t="shared" si="4"/>
        <v>1</v>
      </c>
      <c r="AT29" s="418" t="str">
        <f t="shared" si="4"/>
        <v>1</v>
      </c>
      <c r="AU29" s="418" t="str">
        <f t="shared" si="4"/>
        <v>1</v>
      </c>
      <c r="AV29" s="418" t="str">
        <f t="shared" si="4"/>
        <v>1</v>
      </c>
      <c r="AW29" s="418" t="str">
        <f t="shared" si="4"/>
        <v>1</v>
      </c>
      <c r="AX29" s="418" t="str">
        <f t="shared" si="4"/>
        <v>1</v>
      </c>
      <c r="AY29" s="418" t="str">
        <f t="shared" si="4"/>
        <v>1</v>
      </c>
      <c r="AZ29" s="418" t="str">
        <f t="shared" si="4"/>
        <v>1</v>
      </c>
      <c r="BA29" s="418" t="str">
        <f t="shared" si="4"/>
        <v>1</v>
      </c>
      <c r="BB29" s="418" t="str">
        <f t="shared" si="4"/>
        <v>1</v>
      </c>
      <c r="BC29" s="418" t="str">
        <f t="shared" si="4"/>
        <v>1</v>
      </c>
      <c r="BD29" s="418" t="str">
        <f t="shared" si="4"/>
        <v>1</v>
      </c>
      <c r="BE29" s="418" t="str">
        <f t="shared" si="4"/>
        <v>1</v>
      </c>
      <c r="BF29" s="418" t="str">
        <f t="shared" si="4"/>
        <v>1</v>
      </c>
      <c r="BG29" s="409"/>
      <c r="BH29" s="418" t="str">
        <f t="shared" si="1"/>
        <v>1</v>
      </c>
      <c r="BI29" s="266"/>
      <c r="BJ29" s="265"/>
    </row>
    <row r="30" spans="1:62" ht="14.4" customHeight="1">
      <c r="A30" s="265"/>
      <c r="B30" s="289"/>
      <c r="C30" s="289"/>
      <c r="D30" s="418" t="str">
        <f t="shared" si="2"/>
        <v>1</v>
      </c>
      <c r="E30" s="418"/>
      <c r="F30" s="418" t="str">
        <f t="shared" si="3"/>
        <v>1</v>
      </c>
      <c r="G30" s="418"/>
      <c r="H30" s="418"/>
      <c r="I30" s="418"/>
      <c r="J30" s="418"/>
      <c r="K30" s="418"/>
      <c r="L30" s="418"/>
      <c r="M30" s="418"/>
      <c r="N30" s="418"/>
      <c r="O30" s="418"/>
      <c r="P30" s="418"/>
      <c r="Q30" s="418"/>
      <c r="R30" s="418"/>
      <c r="S30" s="418"/>
      <c r="T30" s="418"/>
      <c r="U30" s="418"/>
      <c r="V30" s="418"/>
      <c r="W30" s="289"/>
      <c r="X30" s="289"/>
      <c r="Y30" s="289"/>
      <c r="Z30" s="397"/>
      <c r="AA30" s="399" t="str">
        <f>IF(Y26="","",VLOOKUP(Y26,big_tabela,4,0))</f>
        <v/>
      </c>
      <c r="AB30" s="400"/>
      <c r="AC30" s="634" t="str">
        <f>IF(Y26="","","anemostat")</f>
        <v>anemostat</v>
      </c>
      <c r="AD30" s="416" t="str">
        <f>IF(Y26="","","x"&amp;VLOOKUP(Y26,big_tabela,45,0))</f>
        <v>x1</v>
      </c>
      <c r="AE30" s="289"/>
      <c r="AF30" s="395"/>
      <c r="AG30" s="398" t="str">
        <f>IF(AK26="","",VLOOKUP(AK26,big_tabela,4,0))</f>
        <v/>
      </c>
      <c r="AH30" s="417"/>
      <c r="AI30" s="635" t="str">
        <f>IF(AK26="","","anemostat")</f>
        <v>anemostat</v>
      </c>
      <c r="AJ30" s="414" t="str">
        <f>IF(AK26="","","x"&amp;VLOOKUP(AK26,big_tabela,44,0))</f>
        <v>x1</v>
      </c>
      <c r="AK30" s="401"/>
      <c r="AL30" s="289"/>
      <c r="AM30" s="289"/>
      <c r="AN30" s="289"/>
      <c r="AO30" s="289"/>
      <c r="AP30" s="409"/>
      <c r="AQ30" s="409"/>
      <c r="AR30" s="409"/>
      <c r="AS30" s="409"/>
      <c r="AT30" s="409"/>
      <c r="AU30" s="409"/>
      <c r="AV30" s="409"/>
      <c r="AW30" s="409"/>
      <c r="AX30" s="409"/>
      <c r="AY30" s="409"/>
      <c r="AZ30" s="409"/>
      <c r="BA30" s="409"/>
      <c r="BB30" s="409"/>
      <c r="BC30" s="409"/>
      <c r="BD30" s="409"/>
      <c r="BE30" s="409"/>
      <c r="BF30" s="418" t="str">
        <f t="shared" si="4"/>
        <v>1</v>
      </c>
      <c r="BG30" s="409"/>
      <c r="BH30" s="418" t="str">
        <f t="shared" si="1"/>
        <v>1</v>
      </c>
      <c r="BI30" s="266"/>
      <c r="BJ30" s="265"/>
    </row>
    <row r="31" spans="1:62" ht="6" customHeight="1">
      <c r="A31" s="265"/>
      <c r="B31" s="289"/>
      <c r="C31" s="289"/>
      <c r="D31" s="418" t="str">
        <f t="shared" si="2"/>
        <v>1</v>
      </c>
      <c r="E31" s="418"/>
      <c r="F31" s="418" t="str">
        <f t="shared" si="3"/>
        <v>1</v>
      </c>
      <c r="G31" s="418"/>
      <c r="H31" s="418"/>
      <c r="I31" s="418"/>
      <c r="J31" s="418"/>
      <c r="K31" s="418"/>
      <c r="L31" s="418"/>
      <c r="M31" s="418"/>
      <c r="N31" s="418"/>
      <c r="O31" s="418"/>
      <c r="P31" s="418"/>
      <c r="Q31" s="418"/>
      <c r="R31" s="418"/>
      <c r="S31" s="418"/>
      <c r="T31" s="418"/>
      <c r="U31" s="418"/>
      <c r="V31" s="418"/>
      <c r="W31" s="289"/>
      <c r="X31" s="289"/>
      <c r="Y31" s="289"/>
      <c r="Z31" s="397"/>
      <c r="AA31" s="397"/>
      <c r="AB31" s="397"/>
      <c r="AC31" s="397"/>
      <c r="AD31" s="397"/>
      <c r="AE31" s="289"/>
      <c r="AF31" s="395"/>
      <c r="AG31" s="395"/>
      <c r="AH31" s="395"/>
      <c r="AI31" s="395"/>
      <c r="AJ31" s="395"/>
      <c r="AK31" s="289"/>
      <c r="AL31" s="289"/>
      <c r="AM31" s="289"/>
      <c r="AN31" s="289"/>
      <c r="AO31" s="289"/>
      <c r="AP31" s="409"/>
      <c r="AQ31" s="409"/>
      <c r="AR31" s="409"/>
      <c r="AS31" s="409"/>
      <c r="AT31" s="409"/>
      <c r="AU31" s="409"/>
      <c r="AV31" s="409"/>
      <c r="AW31" s="409"/>
      <c r="AX31" s="409"/>
      <c r="AY31" s="409"/>
      <c r="AZ31" s="409"/>
      <c r="BA31" s="409"/>
      <c r="BB31" s="409"/>
      <c r="BC31" s="409"/>
      <c r="BD31" s="409"/>
      <c r="BE31" s="409"/>
      <c r="BF31" s="418" t="str">
        <f t="shared" si="4"/>
        <v>1</v>
      </c>
      <c r="BG31" s="409"/>
      <c r="BH31" s="418" t="str">
        <f t="shared" si="1"/>
        <v>1</v>
      </c>
      <c r="BI31" s="266"/>
      <c r="BJ31" s="265"/>
    </row>
    <row r="32" spans="1:62">
      <c r="A32" s="265"/>
      <c r="B32" s="289"/>
      <c r="C32" s="289"/>
      <c r="D32" s="418" t="str">
        <f t="shared" si="2"/>
        <v>1</v>
      </c>
      <c r="E32" s="418"/>
      <c r="F32" s="418" t="str">
        <f t="shared" si="3"/>
        <v>1</v>
      </c>
      <c r="G32" s="418"/>
      <c r="H32" s="418"/>
      <c r="I32" s="418"/>
      <c r="J32" s="418"/>
      <c r="K32" s="418"/>
      <c r="L32" s="418"/>
      <c r="M32" s="418"/>
      <c r="N32" s="418"/>
      <c r="O32" s="418"/>
      <c r="P32" s="418"/>
      <c r="Q32" s="418"/>
      <c r="R32" s="418"/>
      <c r="S32" s="418"/>
      <c r="T32" s="418"/>
      <c r="U32" s="418"/>
      <c r="V32" s="418"/>
      <c r="W32" s="289"/>
      <c r="X32" s="289"/>
      <c r="Y32" s="289"/>
      <c r="Z32" s="289"/>
      <c r="AA32" s="289"/>
      <c r="AB32" s="289"/>
      <c r="AC32" s="289"/>
      <c r="AD32" s="289"/>
      <c r="AE32" s="289"/>
      <c r="AF32" s="289"/>
      <c r="AG32" s="289"/>
      <c r="AH32" s="289"/>
      <c r="AI32" s="289"/>
      <c r="AJ32" s="289"/>
      <c r="AK32" s="289"/>
      <c r="AL32" s="289"/>
      <c r="AM32" s="289"/>
      <c r="AN32" s="289"/>
      <c r="AO32" s="289"/>
      <c r="AP32" s="409"/>
      <c r="AQ32" s="409"/>
      <c r="AR32" s="409"/>
      <c r="AS32" s="409"/>
      <c r="AT32" s="409"/>
      <c r="AU32" s="409"/>
      <c r="AV32" s="409"/>
      <c r="AW32" s="409"/>
      <c r="AX32" s="409"/>
      <c r="AY32" s="409"/>
      <c r="AZ32" s="409"/>
      <c r="BA32" s="409"/>
      <c r="BB32" s="409"/>
      <c r="BC32" s="409"/>
      <c r="BD32" s="409"/>
      <c r="BE32" s="409"/>
      <c r="BF32" s="418" t="str">
        <f t="shared" si="4"/>
        <v>1</v>
      </c>
      <c r="BG32" s="409"/>
      <c r="BH32" s="418" t="str">
        <f t="shared" si="1"/>
        <v>1</v>
      </c>
      <c r="BI32" s="266"/>
      <c r="BJ32" s="265"/>
    </row>
    <row r="33" spans="1:62" ht="6" customHeight="1">
      <c r="A33" s="265"/>
      <c r="B33" s="289"/>
      <c r="C33" s="289"/>
      <c r="D33" s="418" t="str">
        <f t="shared" si="2"/>
        <v>1</v>
      </c>
      <c r="E33" s="418"/>
      <c r="F33" s="418" t="str">
        <f t="shared" si="3"/>
        <v>1</v>
      </c>
      <c r="G33" s="418"/>
      <c r="H33" s="418"/>
      <c r="I33" s="418"/>
      <c r="J33" s="418"/>
      <c r="K33" s="418"/>
      <c r="L33" s="418"/>
      <c r="M33" s="418"/>
      <c r="N33" s="418"/>
      <c r="O33" s="418"/>
      <c r="P33" s="418"/>
      <c r="Q33" s="418"/>
      <c r="R33" s="418"/>
      <c r="S33" s="418"/>
      <c r="T33" s="418"/>
      <c r="U33" s="418"/>
      <c r="V33" s="418"/>
      <c r="W33" s="289"/>
      <c r="X33" s="289"/>
      <c r="Y33" s="789" t="str">
        <f>IF(Obliczenia!E63="10","",Obliczenia!E63)</f>
        <v>0.3</v>
      </c>
      <c r="Z33" s="397"/>
      <c r="AA33" s="397"/>
      <c r="AB33" s="397"/>
      <c r="AC33" s="397"/>
      <c r="AD33" s="397"/>
      <c r="AE33" s="289"/>
      <c r="AF33" s="395"/>
      <c r="AG33" s="395"/>
      <c r="AH33" s="395"/>
      <c r="AI33" s="395"/>
      <c r="AJ33" s="395"/>
      <c r="AK33" s="789" t="str">
        <f>IF(Obliczenia!E39="10","",Obliczenia!E39)</f>
        <v>1.1</v>
      </c>
      <c r="AL33" s="289"/>
      <c r="AM33" s="289"/>
      <c r="AN33" s="289"/>
      <c r="AO33" s="289"/>
      <c r="AP33" s="409"/>
      <c r="AQ33" s="409"/>
      <c r="AR33" s="409"/>
      <c r="AS33" s="409"/>
      <c r="AT33" s="409"/>
      <c r="AU33" s="409"/>
      <c r="AV33" s="409"/>
      <c r="AW33" s="409"/>
      <c r="AX33" s="409"/>
      <c r="AY33" s="409"/>
      <c r="AZ33" s="409"/>
      <c r="BA33" s="409"/>
      <c r="BB33" s="409"/>
      <c r="BC33" s="409"/>
      <c r="BD33" s="409"/>
      <c r="BE33" s="409"/>
      <c r="BF33" s="418" t="str">
        <f t="shared" si="4"/>
        <v>1</v>
      </c>
      <c r="BG33" s="409"/>
      <c r="BH33" s="418" t="str">
        <f t="shared" si="1"/>
        <v>1</v>
      </c>
      <c r="BI33" s="266"/>
      <c r="BJ33" s="265"/>
    </row>
    <row r="34" spans="1:62" ht="14.4" customHeight="1">
      <c r="A34" s="265"/>
      <c r="B34" s="289"/>
      <c r="C34" s="289"/>
      <c r="D34" s="418" t="str">
        <f t="shared" si="2"/>
        <v>1</v>
      </c>
      <c r="E34" s="418"/>
      <c r="F34" s="418" t="str">
        <f t="shared" si="3"/>
        <v>1</v>
      </c>
      <c r="G34" s="418">
        <v>1</v>
      </c>
      <c r="H34" s="418"/>
      <c r="I34" s="418"/>
      <c r="J34" s="418"/>
      <c r="K34" s="418"/>
      <c r="L34" s="418"/>
      <c r="M34" s="418"/>
      <c r="N34" s="418"/>
      <c r="O34" s="418"/>
      <c r="P34" s="418"/>
      <c r="Q34" s="418"/>
      <c r="R34" s="418"/>
      <c r="S34" s="418"/>
      <c r="T34" s="418"/>
      <c r="U34" s="418"/>
      <c r="V34" s="418"/>
      <c r="W34" s="289"/>
      <c r="X34" s="4" t="str">
        <f>IF(Y33&lt;&gt;"","1","")</f>
        <v>1</v>
      </c>
      <c r="Y34" s="789"/>
      <c r="Z34" s="397"/>
      <c r="AA34" s="772" t="str">
        <f>IF(Y33="","",VLOOKUP(Y33,big_tabela,3,0))</f>
        <v>Spiżarnia</v>
      </c>
      <c r="AB34" s="772"/>
      <c r="AC34" s="773">
        <f>IF(Y33="","",VLOOKUP(Y33,big_tabela,12,0))</f>
        <v>15</v>
      </c>
      <c r="AD34" s="774" t="s">
        <v>373</v>
      </c>
      <c r="AE34" s="289"/>
      <c r="AF34" s="395"/>
      <c r="AG34" s="783" t="str">
        <f>IF(AK33="","",VLOOKUP(AK33,big_tabela,3,0))</f>
        <v>Sypialnia</v>
      </c>
      <c r="AH34" s="783"/>
      <c r="AI34" s="784">
        <f>IF(AK33="","",VLOOKUP(AK33,big_tabela,12,0))</f>
        <v>40</v>
      </c>
      <c r="AJ34" s="767" t="s">
        <v>373</v>
      </c>
      <c r="AK34" s="789"/>
      <c r="AL34" s="4" t="str">
        <f>IF(AK33&lt;&gt;"","1","")</f>
        <v>1</v>
      </c>
      <c r="AM34" s="289"/>
      <c r="AN34" s="289"/>
      <c r="AO34" s="289"/>
      <c r="AP34" s="409"/>
      <c r="AQ34" s="409"/>
      <c r="AR34" s="409"/>
      <c r="AS34" s="409"/>
      <c r="AT34" s="409"/>
      <c r="AU34" s="409"/>
      <c r="AV34" s="409"/>
      <c r="AW34" s="409"/>
      <c r="AX34" s="409"/>
      <c r="AY34" s="409"/>
      <c r="AZ34" s="409"/>
      <c r="BA34" s="409"/>
      <c r="BB34" s="409"/>
      <c r="BC34" s="409"/>
      <c r="BD34" s="409"/>
      <c r="BE34" s="409"/>
      <c r="BF34" s="418" t="str">
        <f t="shared" si="4"/>
        <v>1</v>
      </c>
      <c r="BG34" s="409"/>
      <c r="BH34" s="418" t="str">
        <f t="shared" si="1"/>
        <v>1</v>
      </c>
      <c r="BI34" s="266"/>
      <c r="BJ34" s="265"/>
    </row>
    <row r="35" spans="1:62" ht="14.4" customHeight="1">
      <c r="A35" s="265"/>
      <c r="B35" s="289"/>
      <c r="C35" s="289"/>
      <c r="D35" s="418" t="str">
        <f t="shared" si="2"/>
        <v>1</v>
      </c>
      <c r="E35" s="418"/>
      <c r="F35" s="418" t="str">
        <f t="shared" si="3"/>
        <v>1</v>
      </c>
      <c r="G35" s="418"/>
      <c r="H35" s="418"/>
      <c r="I35" s="418"/>
      <c r="J35" s="418"/>
      <c r="K35" s="418"/>
      <c r="L35" s="418"/>
      <c r="M35" s="418"/>
      <c r="N35" s="418"/>
      <c r="O35" s="418"/>
      <c r="P35" s="418"/>
      <c r="Q35" s="418"/>
      <c r="R35" s="418"/>
      <c r="S35" s="418"/>
      <c r="T35" s="418"/>
      <c r="U35" s="418"/>
      <c r="V35" s="418"/>
      <c r="W35" s="494" t="str">
        <f>IF(Y33="","","Φ75")</f>
        <v>Φ75</v>
      </c>
      <c r="X35" s="495" t="str">
        <f>IF(Y33="","","x"&amp;VLOOKUP(Y33,big_tabela,42,0))</f>
        <v>x1</v>
      </c>
      <c r="Y35" s="403" t="str">
        <f>IF(Y33="","","◄")</f>
        <v>◄</v>
      </c>
      <c r="Z35" s="397"/>
      <c r="AA35" s="772"/>
      <c r="AB35" s="772"/>
      <c r="AC35" s="773"/>
      <c r="AD35" s="774"/>
      <c r="AE35" s="289"/>
      <c r="AF35" s="395"/>
      <c r="AG35" s="783"/>
      <c r="AH35" s="783"/>
      <c r="AI35" s="784"/>
      <c r="AJ35" s="767"/>
      <c r="AK35" s="402" t="str">
        <f>IF(AK33="","","◄")</f>
        <v>◄</v>
      </c>
      <c r="AL35" s="494" t="str">
        <f>IF(AK33="","","Φ75")</f>
        <v>Φ75</v>
      </c>
      <c r="AM35" s="495" t="str">
        <f>IF(AK33="","","x"&amp;VLOOKUP(AK33,big_tabela,41,0))</f>
        <v>x2</v>
      </c>
      <c r="AN35" s="289"/>
      <c r="AO35" s="289"/>
      <c r="AP35" s="409"/>
      <c r="AQ35" s="409"/>
      <c r="AR35" s="409"/>
      <c r="AS35" s="409"/>
      <c r="AT35" s="409"/>
      <c r="AU35" s="409"/>
      <c r="AV35" s="409"/>
      <c r="AW35" s="409"/>
      <c r="AX35" s="409"/>
      <c r="AY35" s="409"/>
      <c r="AZ35" s="409"/>
      <c r="BA35" s="409"/>
      <c r="BB35" s="409"/>
      <c r="BC35" s="409"/>
      <c r="BD35" s="409"/>
      <c r="BE35" s="409"/>
      <c r="BF35" s="418" t="str">
        <f t="shared" si="4"/>
        <v>1</v>
      </c>
      <c r="BG35" s="409"/>
      <c r="BH35" s="418" t="str">
        <f t="shared" si="1"/>
        <v>1</v>
      </c>
      <c r="BI35" s="266"/>
      <c r="BJ35" s="265"/>
    </row>
    <row r="36" spans="1:62" ht="3" customHeight="1">
      <c r="A36" s="265"/>
      <c r="B36" s="289"/>
      <c r="C36" s="404"/>
      <c r="D36" s="418" t="str">
        <f t="shared" si="2"/>
        <v>1</v>
      </c>
      <c r="E36" s="418"/>
      <c r="F36" s="418" t="str">
        <f t="shared" si="3"/>
        <v>1</v>
      </c>
      <c r="G36" s="418"/>
      <c r="H36" s="419" t="str">
        <f t="shared" ref="H36:W87" si="5">$X$34</f>
        <v>1</v>
      </c>
      <c r="I36" s="419" t="str">
        <f t="shared" si="5"/>
        <v>1</v>
      </c>
      <c r="J36" s="419" t="str">
        <f t="shared" si="5"/>
        <v>1</v>
      </c>
      <c r="K36" s="419" t="str">
        <f t="shared" si="5"/>
        <v>1</v>
      </c>
      <c r="L36" s="419" t="str">
        <f t="shared" si="5"/>
        <v>1</v>
      </c>
      <c r="M36" s="419" t="str">
        <f t="shared" si="5"/>
        <v>1</v>
      </c>
      <c r="N36" s="419" t="str">
        <f t="shared" si="5"/>
        <v>1</v>
      </c>
      <c r="O36" s="419" t="str">
        <f t="shared" si="5"/>
        <v>1</v>
      </c>
      <c r="P36" s="419" t="str">
        <f t="shared" si="5"/>
        <v>1</v>
      </c>
      <c r="Q36" s="419" t="str">
        <f t="shared" si="5"/>
        <v>1</v>
      </c>
      <c r="R36" s="419" t="str">
        <f t="shared" si="5"/>
        <v>1</v>
      </c>
      <c r="S36" s="419" t="str">
        <f t="shared" si="5"/>
        <v>1</v>
      </c>
      <c r="T36" s="419" t="str">
        <f t="shared" si="5"/>
        <v>1</v>
      </c>
      <c r="U36" s="419" t="str">
        <f t="shared" si="5"/>
        <v>1</v>
      </c>
      <c r="V36" s="419" t="str">
        <f t="shared" si="5"/>
        <v>1</v>
      </c>
      <c r="W36" s="419" t="str">
        <f t="shared" si="5"/>
        <v>1</v>
      </c>
      <c r="X36" s="419" t="str">
        <f t="shared" ref="X36" si="6">$X$34</f>
        <v>1</v>
      </c>
      <c r="Y36" s="419" t="str">
        <f>$X$34</f>
        <v>1</v>
      </c>
      <c r="Z36" s="397"/>
      <c r="AA36" s="412"/>
      <c r="AB36" s="412"/>
      <c r="AC36" s="415"/>
      <c r="AD36" s="416"/>
      <c r="AE36" s="289"/>
      <c r="AF36" s="395"/>
      <c r="AG36" s="421"/>
      <c r="AH36" s="421"/>
      <c r="AI36" s="413"/>
      <c r="AJ36" s="414"/>
      <c r="AK36" s="418" t="str">
        <f>$AL$34</f>
        <v>1</v>
      </c>
      <c r="AL36" s="418" t="str">
        <f t="shared" ref="AL36:BD51" si="7">$AL$34</f>
        <v>1</v>
      </c>
      <c r="AM36" s="418" t="str">
        <f t="shared" si="7"/>
        <v>1</v>
      </c>
      <c r="AN36" s="418" t="str">
        <f t="shared" si="7"/>
        <v>1</v>
      </c>
      <c r="AO36" s="418" t="str">
        <f t="shared" si="7"/>
        <v>1</v>
      </c>
      <c r="AP36" s="418" t="str">
        <f t="shared" si="7"/>
        <v>1</v>
      </c>
      <c r="AQ36" s="418" t="str">
        <f t="shared" si="7"/>
        <v>1</v>
      </c>
      <c r="AR36" s="418" t="str">
        <f t="shared" si="7"/>
        <v>1</v>
      </c>
      <c r="AS36" s="418" t="str">
        <f t="shared" si="7"/>
        <v>1</v>
      </c>
      <c r="AT36" s="418" t="str">
        <f t="shared" si="7"/>
        <v>1</v>
      </c>
      <c r="AU36" s="418" t="str">
        <f t="shared" si="7"/>
        <v>1</v>
      </c>
      <c r="AV36" s="418" t="str">
        <f t="shared" si="7"/>
        <v>1</v>
      </c>
      <c r="AW36" s="418" t="str">
        <f t="shared" si="7"/>
        <v>1</v>
      </c>
      <c r="AX36" s="418" t="str">
        <f t="shared" si="7"/>
        <v>1</v>
      </c>
      <c r="AY36" s="418" t="str">
        <f t="shared" si="7"/>
        <v>1</v>
      </c>
      <c r="AZ36" s="418" t="str">
        <f t="shared" si="7"/>
        <v>1</v>
      </c>
      <c r="BA36" s="418" t="str">
        <f t="shared" si="7"/>
        <v>1</v>
      </c>
      <c r="BB36" s="418" t="str">
        <f t="shared" si="7"/>
        <v>1</v>
      </c>
      <c r="BC36" s="418" t="str">
        <f t="shared" si="7"/>
        <v>1</v>
      </c>
      <c r="BD36" s="418" t="str">
        <f t="shared" si="7"/>
        <v>1</v>
      </c>
      <c r="BE36" s="409"/>
      <c r="BF36" s="418" t="str">
        <f t="shared" si="4"/>
        <v>1</v>
      </c>
      <c r="BG36" s="409"/>
      <c r="BH36" s="418" t="str">
        <f t="shared" si="1"/>
        <v>1</v>
      </c>
      <c r="BI36" s="266"/>
      <c r="BJ36" s="265"/>
    </row>
    <row r="37" spans="1:62" ht="14.4" customHeight="1">
      <c r="A37" s="265"/>
      <c r="B37" s="289"/>
      <c r="C37" s="289"/>
      <c r="D37" s="418" t="str">
        <f t="shared" si="2"/>
        <v>1</v>
      </c>
      <c r="E37" s="418"/>
      <c r="F37" s="418" t="str">
        <f t="shared" si="3"/>
        <v>1</v>
      </c>
      <c r="G37" s="418"/>
      <c r="H37" s="419" t="str">
        <f t="shared" si="5"/>
        <v>1</v>
      </c>
      <c r="I37" s="418"/>
      <c r="J37" s="418"/>
      <c r="K37" s="418"/>
      <c r="L37" s="418"/>
      <c r="M37" s="418"/>
      <c r="N37" s="418"/>
      <c r="O37" s="418"/>
      <c r="P37" s="418"/>
      <c r="Q37" s="418"/>
      <c r="R37" s="418"/>
      <c r="S37" s="418"/>
      <c r="T37" s="418"/>
      <c r="U37" s="418"/>
      <c r="V37" s="418"/>
      <c r="W37" s="289"/>
      <c r="X37" s="289"/>
      <c r="Y37" s="289"/>
      <c r="Z37" s="397"/>
      <c r="AA37" s="399" t="str">
        <f>IF(Y33="","",VLOOKUP(Y33,big_tabela,4,0))</f>
        <v/>
      </c>
      <c r="AB37" s="400"/>
      <c r="AC37" s="634" t="str">
        <f>IF(Y33="","","anemostat")</f>
        <v>anemostat</v>
      </c>
      <c r="AD37" s="416" t="str">
        <f>IF(Y33="","","x"&amp;VLOOKUP(Y33,big_tabela,45,0))</f>
        <v>x1</v>
      </c>
      <c r="AE37" s="289"/>
      <c r="AF37" s="395"/>
      <c r="AG37" s="398" t="str">
        <f>IF(AK33="","",VLOOKUP(AK33,big_tabela,4,0))</f>
        <v/>
      </c>
      <c r="AH37" s="417"/>
      <c r="AI37" s="635" t="str">
        <f>IF(AK33="","","anemostat")</f>
        <v>anemostat</v>
      </c>
      <c r="AJ37" s="414" t="str">
        <f>IF(AK33="","","x"&amp;VLOOKUP(AK33,big_tabela,44,0))</f>
        <v>x1</v>
      </c>
      <c r="AK37" s="401"/>
      <c r="AL37" s="289"/>
      <c r="AM37" s="289"/>
      <c r="AN37" s="289"/>
      <c r="AO37" s="289"/>
      <c r="AP37" s="409"/>
      <c r="AQ37" s="409"/>
      <c r="AR37" s="409"/>
      <c r="AS37" s="409"/>
      <c r="AT37" s="409"/>
      <c r="AU37" s="409"/>
      <c r="AV37" s="409"/>
      <c r="AW37" s="409"/>
      <c r="AX37" s="409"/>
      <c r="AY37" s="409"/>
      <c r="AZ37" s="409"/>
      <c r="BA37" s="409"/>
      <c r="BB37" s="409"/>
      <c r="BC37" s="409"/>
      <c r="BD37" s="418" t="str">
        <f t="shared" si="7"/>
        <v>1</v>
      </c>
      <c r="BE37" s="409"/>
      <c r="BF37" s="418" t="str">
        <f t="shared" si="4"/>
        <v>1</v>
      </c>
      <c r="BG37" s="409"/>
      <c r="BH37" s="418" t="str">
        <f t="shared" si="1"/>
        <v>1</v>
      </c>
      <c r="BI37" s="266"/>
      <c r="BJ37" s="265"/>
    </row>
    <row r="38" spans="1:62" ht="6" customHeight="1">
      <c r="A38" s="265"/>
      <c r="B38" s="289"/>
      <c r="C38" s="289"/>
      <c r="D38" s="418" t="str">
        <f t="shared" si="2"/>
        <v>1</v>
      </c>
      <c r="E38" s="418"/>
      <c r="F38" s="418" t="str">
        <f t="shared" si="3"/>
        <v>1</v>
      </c>
      <c r="G38" s="418"/>
      <c r="H38" s="419" t="str">
        <f t="shared" si="5"/>
        <v>1</v>
      </c>
      <c r="I38" s="418"/>
      <c r="J38" s="418"/>
      <c r="K38" s="418"/>
      <c r="L38" s="418"/>
      <c r="M38" s="418"/>
      <c r="N38" s="418"/>
      <c r="O38" s="418"/>
      <c r="P38" s="418"/>
      <c r="Q38" s="418"/>
      <c r="R38" s="418"/>
      <c r="S38" s="418"/>
      <c r="T38" s="418"/>
      <c r="U38" s="418"/>
      <c r="V38" s="418"/>
      <c r="W38" s="289"/>
      <c r="X38" s="289"/>
      <c r="Y38" s="289"/>
      <c r="Z38" s="397"/>
      <c r="AA38" s="397"/>
      <c r="AB38" s="397"/>
      <c r="AC38" s="397"/>
      <c r="AD38" s="397"/>
      <c r="AE38" s="289"/>
      <c r="AF38" s="395"/>
      <c r="AG38" s="395"/>
      <c r="AH38" s="395"/>
      <c r="AI38" s="395"/>
      <c r="AJ38" s="395"/>
      <c r="AK38" s="289"/>
      <c r="AL38" s="289"/>
      <c r="AM38" s="289"/>
      <c r="AN38" s="289"/>
      <c r="AO38" s="289"/>
      <c r="AP38" s="409"/>
      <c r="AQ38" s="409"/>
      <c r="AR38" s="409"/>
      <c r="AS38" s="409"/>
      <c r="AT38" s="409"/>
      <c r="AU38" s="409"/>
      <c r="AV38" s="409"/>
      <c r="AW38" s="409"/>
      <c r="AX38" s="409"/>
      <c r="AY38" s="409"/>
      <c r="AZ38" s="409"/>
      <c r="BA38" s="409"/>
      <c r="BB38" s="409"/>
      <c r="BC38" s="409"/>
      <c r="BD38" s="418" t="str">
        <f t="shared" si="7"/>
        <v>1</v>
      </c>
      <c r="BE38" s="409"/>
      <c r="BF38" s="418" t="str">
        <f t="shared" si="4"/>
        <v>1</v>
      </c>
      <c r="BG38" s="409"/>
      <c r="BH38" s="418" t="str">
        <f t="shared" ref="BH38:BH87" si="8">$AL$20</f>
        <v>1</v>
      </c>
      <c r="BI38" s="266"/>
      <c r="BJ38" s="265"/>
    </row>
    <row r="39" spans="1:62">
      <c r="A39" s="265"/>
      <c r="B39" s="289"/>
      <c r="C39" s="289"/>
      <c r="D39" s="418" t="str">
        <f t="shared" si="2"/>
        <v>1</v>
      </c>
      <c r="E39" s="418"/>
      <c r="F39" s="418" t="str">
        <f t="shared" si="3"/>
        <v>1</v>
      </c>
      <c r="G39" s="418"/>
      <c r="H39" s="419" t="str">
        <f t="shared" si="5"/>
        <v>1</v>
      </c>
      <c r="I39" s="418"/>
      <c r="J39" s="418"/>
      <c r="K39" s="418"/>
      <c r="L39" s="418"/>
      <c r="M39" s="418"/>
      <c r="N39" s="418"/>
      <c r="O39" s="418"/>
      <c r="P39" s="418"/>
      <c r="Q39" s="418"/>
      <c r="R39" s="418"/>
      <c r="S39" s="418"/>
      <c r="T39" s="418"/>
      <c r="U39" s="418"/>
      <c r="V39" s="418"/>
      <c r="W39" s="289"/>
      <c r="X39" s="289"/>
      <c r="Y39" s="289"/>
      <c r="Z39" s="289"/>
      <c r="AA39" s="289"/>
      <c r="AB39" s="289"/>
      <c r="AC39" s="289"/>
      <c r="AD39" s="289"/>
      <c r="AE39" s="289"/>
      <c r="AF39" s="289"/>
      <c r="AG39" s="289"/>
      <c r="AH39" s="289"/>
      <c r="AI39" s="289"/>
      <c r="AJ39" s="289"/>
      <c r="AK39" s="289"/>
      <c r="AL39" s="289"/>
      <c r="AM39" s="289"/>
      <c r="AN39" s="289"/>
      <c r="AO39" s="289"/>
      <c r="AP39" s="409"/>
      <c r="AQ39" s="409"/>
      <c r="AR39" s="409"/>
      <c r="AS39" s="409"/>
      <c r="AT39" s="409"/>
      <c r="AU39" s="409"/>
      <c r="AV39" s="409"/>
      <c r="AW39" s="409"/>
      <c r="AX39" s="409"/>
      <c r="AY39" s="409"/>
      <c r="AZ39" s="409"/>
      <c r="BA39" s="409"/>
      <c r="BB39" s="409"/>
      <c r="BC39" s="409"/>
      <c r="BD39" s="418" t="str">
        <f t="shared" si="7"/>
        <v>1</v>
      </c>
      <c r="BE39" s="409"/>
      <c r="BF39" s="418" t="str">
        <f t="shared" si="4"/>
        <v>1</v>
      </c>
      <c r="BG39" s="409"/>
      <c r="BH39" s="418" t="str">
        <f t="shared" si="8"/>
        <v>1</v>
      </c>
      <c r="BI39" s="266"/>
      <c r="BJ39" s="265"/>
    </row>
    <row r="40" spans="1:62" ht="6" customHeight="1">
      <c r="A40" s="265"/>
      <c r="B40" s="289"/>
      <c r="C40" s="289"/>
      <c r="D40" s="418" t="str">
        <f t="shared" si="2"/>
        <v>1</v>
      </c>
      <c r="E40" s="418"/>
      <c r="F40" s="418" t="str">
        <f t="shared" si="3"/>
        <v>1</v>
      </c>
      <c r="G40" s="418"/>
      <c r="H40" s="419" t="str">
        <f t="shared" si="5"/>
        <v>1</v>
      </c>
      <c r="I40" s="418"/>
      <c r="J40" s="418"/>
      <c r="K40" s="418"/>
      <c r="L40" s="418"/>
      <c r="M40" s="418"/>
      <c r="N40" s="418"/>
      <c r="O40" s="418"/>
      <c r="P40" s="418"/>
      <c r="Q40" s="418"/>
      <c r="R40" s="418"/>
      <c r="S40" s="418"/>
      <c r="T40" s="418"/>
      <c r="U40" s="418"/>
      <c r="V40" s="418"/>
      <c r="W40" s="289"/>
      <c r="X40" s="289"/>
      <c r="Y40" s="789" t="str">
        <f>IF(Obliczenia!E64="10","",Obliczenia!E64)</f>
        <v>0.7</v>
      </c>
      <c r="Z40" s="397"/>
      <c r="AA40" s="397"/>
      <c r="AB40" s="397"/>
      <c r="AC40" s="397"/>
      <c r="AD40" s="397"/>
      <c r="AE40" s="289"/>
      <c r="AF40" s="395"/>
      <c r="AG40" s="395"/>
      <c r="AH40" s="395"/>
      <c r="AI40" s="395"/>
      <c r="AJ40" s="395"/>
      <c r="AK40" s="789" t="str">
        <f>IF(Obliczenia!E40="10","",Obliczenia!E40)</f>
        <v>0.4</v>
      </c>
      <c r="AL40" s="289"/>
      <c r="AM40" s="289"/>
      <c r="AN40" s="289"/>
      <c r="AO40" s="289"/>
      <c r="AP40" s="409"/>
      <c r="AQ40" s="409"/>
      <c r="AR40" s="409"/>
      <c r="AS40" s="409"/>
      <c r="AT40" s="409"/>
      <c r="AU40" s="409"/>
      <c r="AV40" s="409"/>
      <c r="AW40" s="409"/>
      <c r="AX40" s="409"/>
      <c r="AY40" s="409"/>
      <c r="AZ40" s="409"/>
      <c r="BA40" s="409"/>
      <c r="BB40" s="409"/>
      <c r="BC40" s="409"/>
      <c r="BD40" s="418" t="str">
        <f t="shared" si="7"/>
        <v>1</v>
      </c>
      <c r="BE40" s="409"/>
      <c r="BF40" s="418" t="str">
        <f t="shared" si="4"/>
        <v>1</v>
      </c>
      <c r="BG40" s="409"/>
      <c r="BH40" s="418" t="str">
        <f t="shared" si="8"/>
        <v>1</v>
      </c>
      <c r="BI40" s="266"/>
      <c r="BJ40" s="265"/>
    </row>
    <row r="41" spans="1:62" ht="14.4" customHeight="1">
      <c r="A41" s="265"/>
      <c r="B41" s="289"/>
      <c r="C41" s="289"/>
      <c r="D41" s="418" t="str">
        <f t="shared" si="2"/>
        <v>1</v>
      </c>
      <c r="E41" s="418"/>
      <c r="F41" s="418" t="str">
        <f t="shared" si="3"/>
        <v>1</v>
      </c>
      <c r="G41" s="418"/>
      <c r="H41" s="419" t="str">
        <f t="shared" si="5"/>
        <v>1</v>
      </c>
      <c r="I41" s="418"/>
      <c r="J41" s="418"/>
      <c r="K41" s="418"/>
      <c r="L41" s="418"/>
      <c r="M41" s="418"/>
      <c r="N41" s="418"/>
      <c r="O41" s="418"/>
      <c r="P41" s="418"/>
      <c r="Q41" s="418"/>
      <c r="R41" s="418"/>
      <c r="S41" s="418"/>
      <c r="T41" s="418"/>
      <c r="U41" s="418"/>
      <c r="V41" s="418"/>
      <c r="W41" s="289"/>
      <c r="X41" s="4" t="str">
        <f>IF(Y40&lt;&gt;"","1","")</f>
        <v>1</v>
      </c>
      <c r="Y41" s="789"/>
      <c r="Z41" s="397"/>
      <c r="AA41" s="772" t="str">
        <f>IF(Y40="","",VLOOKUP(Y40,big_tabela,3,0))</f>
        <v>Pomieszczenie gospodarcze</v>
      </c>
      <c r="AB41" s="772"/>
      <c r="AC41" s="773">
        <f>IF(Y40="","",VLOOKUP(Y40,big_tabela,12,0))</f>
        <v>15</v>
      </c>
      <c r="AD41" s="774" t="s">
        <v>373</v>
      </c>
      <c r="AE41" s="289"/>
      <c r="AF41" s="395"/>
      <c r="AG41" s="783" t="str">
        <f>IF(AK40="","",VLOOKUP(AK40,big_tabela,3,0))</f>
        <v>Pokój dzienny</v>
      </c>
      <c r="AH41" s="783"/>
      <c r="AI41" s="784">
        <f>IF(AK40="","",VLOOKUP(AK40,big_tabela,12,0))</f>
        <v>80</v>
      </c>
      <c r="AJ41" s="767" t="s">
        <v>373</v>
      </c>
      <c r="AK41" s="789"/>
      <c r="AL41" s="4" t="str">
        <f>IF(AK40&lt;&gt;"","1","")</f>
        <v>1</v>
      </c>
      <c r="AM41" s="289"/>
      <c r="AN41" s="289"/>
      <c r="AO41" s="289"/>
      <c r="AP41" s="409"/>
      <c r="AQ41" s="409"/>
      <c r="AR41" s="409"/>
      <c r="AS41" s="409"/>
      <c r="AT41" s="409"/>
      <c r="AU41" s="409"/>
      <c r="AV41" s="409"/>
      <c r="AW41" s="409"/>
      <c r="AX41" s="409"/>
      <c r="AY41" s="409"/>
      <c r="AZ41" s="409"/>
      <c r="BA41" s="409"/>
      <c r="BB41" s="409"/>
      <c r="BC41" s="409"/>
      <c r="BD41" s="418" t="str">
        <f t="shared" si="7"/>
        <v>1</v>
      </c>
      <c r="BE41" s="409"/>
      <c r="BF41" s="418" t="str">
        <f t="shared" si="4"/>
        <v>1</v>
      </c>
      <c r="BG41" s="409"/>
      <c r="BH41" s="418" t="str">
        <f t="shared" si="8"/>
        <v>1</v>
      </c>
      <c r="BI41" s="266"/>
      <c r="BJ41" s="265"/>
    </row>
    <row r="42" spans="1:62" ht="14.4" customHeight="1">
      <c r="A42" s="265"/>
      <c r="B42" s="289"/>
      <c r="C42" s="289"/>
      <c r="D42" s="418" t="str">
        <f t="shared" si="2"/>
        <v>1</v>
      </c>
      <c r="E42" s="418"/>
      <c r="F42" s="418" t="str">
        <f t="shared" si="3"/>
        <v>1</v>
      </c>
      <c r="G42" s="418"/>
      <c r="H42" s="419" t="str">
        <f t="shared" si="5"/>
        <v>1</v>
      </c>
      <c r="I42" s="418"/>
      <c r="J42" s="418"/>
      <c r="K42" s="418"/>
      <c r="L42" s="418"/>
      <c r="M42" s="418"/>
      <c r="N42" s="418"/>
      <c r="O42" s="418"/>
      <c r="P42" s="418"/>
      <c r="Q42" s="418"/>
      <c r="R42" s="418"/>
      <c r="S42" s="418"/>
      <c r="T42" s="418"/>
      <c r="U42" s="418"/>
      <c r="V42" s="418"/>
      <c r="W42" s="494" t="str">
        <f>IF(Y40="","","Φ75")</f>
        <v>Φ75</v>
      </c>
      <c r="X42" s="495" t="str">
        <f>IF(Y40="","","x"&amp;VLOOKUP(Y40,big_tabela,42,0))</f>
        <v>x1</v>
      </c>
      <c r="Y42" s="403" t="str">
        <f>IF(Y40="","","◄")</f>
        <v>◄</v>
      </c>
      <c r="Z42" s="397"/>
      <c r="AA42" s="772"/>
      <c r="AB42" s="772"/>
      <c r="AC42" s="773"/>
      <c r="AD42" s="774"/>
      <c r="AE42" s="289"/>
      <c r="AF42" s="395"/>
      <c r="AG42" s="783"/>
      <c r="AH42" s="783"/>
      <c r="AI42" s="784"/>
      <c r="AJ42" s="767"/>
      <c r="AK42" s="402" t="str">
        <f>IF(AK40="","","◄")</f>
        <v>◄</v>
      </c>
      <c r="AL42" s="494" t="str">
        <f>IF(AK40="","","Φ75")</f>
        <v>Φ75</v>
      </c>
      <c r="AM42" s="495" t="str">
        <f>IF(AK40="","","x"&amp;VLOOKUP(AK40,big_tabela,41,0))</f>
        <v>x3</v>
      </c>
      <c r="AN42" s="289"/>
      <c r="AO42" s="289"/>
      <c r="AP42" s="409"/>
      <c r="AQ42" s="409"/>
      <c r="AR42" s="409"/>
      <c r="AS42" s="409"/>
      <c r="AT42" s="409"/>
      <c r="AU42" s="409"/>
      <c r="AV42" s="409"/>
      <c r="AW42" s="409"/>
      <c r="AX42" s="409"/>
      <c r="AY42" s="409"/>
      <c r="AZ42" s="409"/>
      <c r="BA42" s="409"/>
      <c r="BB42" s="409"/>
      <c r="BC42" s="409"/>
      <c r="BD42" s="418" t="str">
        <f t="shared" si="7"/>
        <v>1</v>
      </c>
      <c r="BE42" s="409"/>
      <c r="BF42" s="418" t="str">
        <f t="shared" si="4"/>
        <v>1</v>
      </c>
      <c r="BG42" s="409"/>
      <c r="BH42" s="418" t="str">
        <f t="shared" si="8"/>
        <v>1</v>
      </c>
      <c r="BI42" s="266"/>
      <c r="BJ42" s="265"/>
    </row>
    <row r="43" spans="1:62" ht="3" customHeight="1">
      <c r="A43" s="265"/>
      <c r="B43" s="289"/>
      <c r="C43" s="404"/>
      <c r="D43" s="418" t="str">
        <f t="shared" si="2"/>
        <v>1</v>
      </c>
      <c r="E43" s="418"/>
      <c r="F43" s="418" t="str">
        <f t="shared" si="3"/>
        <v>1</v>
      </c>
      <c r="G43" s="418"/>
      <c r="H43" s="419" t="str">
        <f t="shared" si="5"/>
        <v>1</v>
      </c>
      <c r="I43" s="418"/>
      <c r="J43" s="419" t="str">
        <f t="shared" ref="J43:X58" si="9">$X$41</f>
        <v>1</v>
      </c>
      <c r="K43" s="419" t="str">
        <f t="shared" si="9"/>
        <v>1</v>
      </c>
      <c r="L43" s="419" t="str">
        <f t="shared" si="9"/>
        <v>1</v>
      </c>
      <c r="M43" s="419" t="str">
        <f t="shared" si="9"/>
        <v>1</v>
      </c>
      <c r="N43" s="419" t="str">
        <f t="shared" si="9"/>
        <v>1</v>
      </c>
      <c r="O43" s="419" t="str">
        <f t="shared" si="9"/>
        <v>1</v>
      </c>
      <c r="P43" s="419" t="str">
        <f t="shared" si="9"/>
        <v>1</v>
      </c>
      <c r="Q43" s="419" t="str">
        <f t="shared" si="9"/>
        <v>1</v>
      </c>
      <c r="R43" s="419" t="str">
        <f t="shared" si="9"/>
        <v>1</v>
      </c>
      <c r="S43" s="419" t="str">
        <f t="shared" si="9"/>
        <v>1</v>
      </c>
      <c r="T43" s="419" t="str">
        <f t="shared" si="9"/>
        <v>1</v>
      </c>
      <c r="U43" s="419" t="str">
        <f t="shared" si="9"/>
        <v>1</v>
      </c>
      <c r="V43" s="419" t="str">
        <f t="shared" si="9"/>
        <v>1</v>
      </c>
      <c r="W43" s="419" t="str">
        <f t="shared" si="9"/>
        <v>1</v>
      </c>
      <c r="X43" s="419" t="str">
        <f t="shared" si="9"/>
        <v>1</v>
      </c>
      <c r="Y43" s="419" t="str">
        <f>$X$41</f>
        <v>1</v>
      </c>
      <c r="Z43" s="397"/>
      <c r="AA43" s="412"/>
      <c r="AB43" s="412"/>
      <c r="AC43" s="415"/>
      <c r="AD43" s="416"/>
      <c r="AE43" s="289"/>
      <c r="AF43" s="395"/>
      <c r="AG43" s="421"/>
      <c r="AH43" s="421"/>
      <c r="AI43" s="413"/>
      <c r="AJ43" s="414"/>
      <c r="AK43" s="418" t="str">
        <f>$AL$41</f>
        <v>1</v>
      </c>
      <c r="AL43" s="418" t="str">
        <f t="shared" ref="AL43:BB58" si="10">$AL$41</f>
        <v>1</v>
      </c>
      <c r="AM43" s="418" t="str">
        <f t="shared" si="10"/>
        <v>1</v>
      </c>
      <c r="AN43" s="418" t="str">
        <f t="shared" si="10"/>
        <v>1</v>
      </c>
      <c r="AO43" s="418" t="str">
        <f t="shared" si="10"/>
        <v>1</v>
      </c>
      <c r="AP43" s="418" t="str">
        <f t="shared" si="10"/>
        <v>1</v>
      </c>
      <c r="AQ43" s="418" t="str">
        <f t="shared" si="10"/>
        <v>1</v>
      </c>
      <c r="AR43" s="418" t="str">
        <f t="shared" si="10"/>
        <v>1</v>
      </c>
      <c r="AS43" s="418" t="str">
        <f t="shared" si="10"/>
        <v>1</v>
      </c>
      <c r="AT43" s="418" t="str">
        <f t="shared" si="10"/>
        <v>1</v>
      </c>
      <c r="AU43" s="418" t="str">
        <f t="shared" si="10"/>
        <v>1</v>
      </c>
      <c r="AV43" s="418" t="str">
        <f t="shared" si="10"/>
        <v>1</v>
      </c>
      <c r="AW43" s="418" t="str">
        <f t="shared" si="10"/>
        <v>1</v>
      </c>
      <c r="AX43" s="418" t="str">
        <f t="shared" si="10"/>
        <v>1</v>
      </c>
      <c r="AY43" s="418" t="str">
        <f t="shared" si="10"/>
        <v>1</v>
      </c>
      <c r="AZ43" s="418" t="str">
        <f t="shared" si="10"/>
        <v>1</v>
      </c>
      <c r="BA43" s="418" t="str">
        <f t="shared" si="10"/>
        <v>1</v>
      </c>
      <c r="BB43" s="418" t="str">
        <f t="shared" si="10"/>
        <v>1</v>
      </c>
      <c r="BC43" s="409"/>
      <c r="BD43" s="418" t="str">
        <f t="shared" si="7"/>
        <v>1</v>
      </c>
      <c r="BE43" s="409"/>
      <c r="BF43" s="418" t="str">
        <f t="shared" si="4"/>
        <v>1</v>
      </c>
      <c r="BG43" s="409"/>
      <c r="BH43" s="418" t="str">
        <f t="shared" si="8"/>
        <v>1</v>
      </c>
      <c r="BI43" s="266"/>
      <c r="BJ43" s="265"/>
    </row>
    <row r="44" spans="1:62" ht="14.4" customHeight="1">
      <c r="A44" s="265"/>
      <c r="B44" s="289"/>
      <c r="C44" s="289"/>
      <c r="D44" s="418" t="str">
        <f t="shared" si="2"/>
        <v>1</v>
      </c>
      <c r="E44" s="418"/>
      <c r="F44" s="418" t="str">
        <f t="shared" si="3"/>
        <v>1</v>
      </c>
      <c r="G44" s="418"/>
      <c r="H44" s="419" t="str">
        <f t="shared" si="5"/>
        <v>1</v>
      </c>
      <c r="I44" s="418"/>
      <c r="J44" s="419" t="str">
        <f t="shared" si="9"/>
        <v>1</v>
      </c>
      <c r="K44" s="418"/>
      <c r="L44" s="418"/>
      <c r="M44" s="418"/>
      <c r="N44" s="418"/>
      <c r="O44" s="418"/>
      <c r="P44" s="418"/>
      <c r="Q44" s="418"/>
      <c r="R44" s="418"/>
      <c r="S44" s="418"/>
      <c r="T44" s="418"/>
      <c r="U44" s="418"/>
      <c r="V44" s="418"/>
      <c r="W44" s="289"/>
      <c r="X44" s="289"/>
      <c r="Y44" s="289"/>
      <c r="Z44" s="397"/>
      <c r="AA44" s="399" t="str">
        <f>IF(Y40="","",VLOOKUP(Y40,big_tabela,4,0))</f>
        <v/>
      </c>
      <c r="AB44" s="400"/>
      <c r="AC44" s="634" t="str">
        <f>IF(Y40="","","anemostat")</f>
        <v>anemostat</v>
      </c>
      <c r="AD44" s="416" t="str">
        <f>IF(Y40="","","x"&amp;VLOOKUP(Y40,big_tabela,45,0))</f>
        <v>x1</v>
      </c>
      <c r="AE44" s="289"/>
      <c r="AF44" s="395"/>
      <c r="AG44" s="398" t="str">
        <f>IF(AK40="","",VLOOKUP(AK40,big_tabela,4,0))</f>
        <v/>
      </c>
      <c r="AH44" s="417"/>
      <c r="AI44" s="635" t="str">
        <f>IF(AK40="","","anemostat")</f>
        <v>anemostat</v>
      </c>
      <c r="AJ44" s="414" t="str">
        <f>IF(AK40="","","x"&amp;VLOOKUP(AK40,big_tabela,44,0))</f>
        <v>x2</v>
      </c>
      <c r="AK44" s="401"/>
      <c r="AL44" s="289"/>
      <c r="AM44" s="289"/>
      <c r="AN44" s="289"/>
      <c r="AO44" s="289"/>
      <c r="AP44" s="409"/>
      <c r="AQ44" s="409"/>
      <c r="AR44" s="409"/>
      <c r="AS44" s="409"/>
      <c r="AT44" s="409"/>
      <c r="AU44" s="409"/>
      <c r="AV44" s="409"/>
      <c r="AW44" s="409"/>
      <c r="AX44" s="409"/>
      <c r="AY44" s="409"/>
      <c r="AZ44" s="409"/>
      <c r="BA44" s="409"/>
      <c r="BB44" s="418" t="str">
        <f t="shared" si="10"/>
        <v>1</v>
      </c>
      <c r="BC44" s="409"/>
      <c r="BD44" s="418" t="str">
        <f t="shared" si="7"/>
        <v>1</v>
      </c>
      <c r="BE44" s="409"/>
      <c r="BF44" s="418" t="str">
        <f t="shared" si="4"/>
        <v>1</v>
      </c>
      <c r="BG44" s="409"/>
      <c r="BH44" s="418" t="str">
        <f t="shared" si="8"/>
        <v>1</v>
      </c>
      <c r="BI44" s="266"/>
      <c r="BJ44" s="265"/>
    </row>
    <row r="45" spans="1:62" ht="6" customHeight="1">
      <c r="A45" s="265"/>
      <c r="B45" s="289"/>
      <c r="C45" s="289"/>
      <c r="D45" s="418" t="str">
        <f t="shared" si="2"/>
        <v>1</v>
      </c>
      <c r="E45" s="418"/>
      <c r="F45" s="418" t="str">
        <f t="shared" ref="F45:F87" si="11">$X$27</f>
        <v>1</v>
      </c>
      <c r="G45" s="418"/>
      <c r="H45" s="419" t="str">
        <f t="shared" si="5"/>
        <v>1</v>
      </c>
      <c r="I45" s="418"/>
      <c r="J45" s="419" t="str">
        <f t="shared" si="9"/>
        <v>1</v>
      </c>
      <c r="K45" s="418"/>
      <c r="L45" s="418"/>
      <c r="M45" s="418"/>
      <c r="N45" s="418"/>
      <c r="O45" s="418"/>
      <c r="P45" s="418"/>
      <c r="Q45" s="418"/>
      <c r="R45" s="418"/>
      <c r="S45" s="418"/>
      <c r="T45" s="418"/>
      <c r="U45" s="418"/>
      <c r="V45" s="418"/>
      <c r="W45" s="289"/>
      <c r="X45" s="289"/>
      <c r="Y45" s="289"/>
      <c r="Z45" s="397"/>
      <c r="AA45" s="397"/>
      <c r="AB45" s="397"/>
      <c r="AC45" s="397"/>
      <c r="AD45" s="397"/>
      <c r="AE45" s="289"/>
      <c r="AF45" s="395"/>
      <c r="AG45" s="395"/>
      <c r="AH45" s="395"/>
      <c r="AI45" s="395"/>
      <c r="AJ45" s="395"/>
      <c r="AK45" s="289"/>
      <c r="AL45" s="289"/>
      <c r="AM45" s="289"/>
      <c r="AN45" s="289"/>
      <c r="AO45" s="289"/>
      <c r="AP45" s="409"/>
      <c r="AQ45" s="409"/>
      <c r="AR45" s="409"/>
      <c r="AS45" s="409"/>
      <c r="AT45" s="409"/>
      <c r="AU45" s="409"/>
      <c r="AV45" s="409"/>
      <c r="AW45" s="409"/>
      <c r="AX45" s="409"/>
      <c r="AY45" s="409"/>
      <c r="AZ45" s="409"/>
      <c r="BA45" s="409"/>
      <c r="BB45" s="418" t="str">
        <f t="shared" si="10"/>
        <v>1</v>
      </c>
      <c r="BC45" s="409"/>
      <c r="BD45" s="418" t="str">
        <f t="shared" si="7"/>
        <v>1</v>
      </c>
      <c r="BE45" s="409"/>
      <c r="BF45" s="418" t="str">
        <f t="shared" ref="BF45:BF87" si="12">$AL$27</f>
        <v>1</v>
      </c>
      <c r="BG45" s="409"/>
      <c r="BH45" s="418" t="str">
        <f t="shared" si="8"/>
        <v>1</v>
      </c>
      <c r="BI45" s="266"/>
      <c r="BJ45" s="265"/>
    </row>
    <row r="46" spans="1:62">
      <c r="A46" s="265"/>
      <c r="B46" s="289"/>
      <c r="C46" s="289"/>
      <c r="D46" s="418" t="str">
        <f t="shared" si="2"/>
        <v>1</v>
      </c>
      <c r="E46" s="418"/>
      <c r="F46" s="418" t="str">
        <f t="shared" si="11"/>
        <v>1</v>
      </c>
      <c r="G46" s="418"/>
      <c r="H46" s="419" t="str">
        <f t="shared" si="5"/>
        <v>1</v>
      </c>
      <c r="I46" s="418"/>
      <c r="J46" s="419" t="str">
        <f t="shared" si="9"/>
        <v>1</v>
      </c>
      <c r="K46" s="418"/>
      <c r="L46" s="418"/>
      <c r="M46" s="418"/>
      <c r="N46" s="418"/>
      <c r="O46" s="418"/>
      <c r="P46" s="418"/>
      <c r="Q46" s="418"/>
      <c r="R46" s="418"/>
      <c r="S46" s="418"/>
      <c r="T46" s="418"/>
      <c r="U46" s="418"/>
      <c r="V46" s="418"/>
      <c r="W46" s="289"/>
      <c r="X46" s="289"/>
      <c r="Y46" s="289"/>
      <c r="Z46" s="289"/>
      <c r="AA46" s="289"/>
      <c r="AB46" s="289"/>
      <c r="AC46" s="289"/>
      <c r="AD46" s="289"/>
      <c r="AE46" s="289"/>
      <c r="AF46" s="289"/>
      <c r="AG46" s="289"/>
      <c r="AH46" s="289"/>
      <c r="AI46" s="289"/>
      <c r="AJ46" s="289"/>
      <c r="AK46" s="289"/>
      <c r="AL46" s="289"/>
      <c r="AM46" s="289"/>
      <c r="AN46" s="289"/>
      <c r="AO46" s="289"/>
      <c r="AP46" s="409"/>
      <c r="AQ46" s="409"/>
      <c r="AR46" s="409"/>
      <c r="AS46" s="409"/>
      <c r="AT46" s="409"/>
      <c r="AU46" s="409"/>
      <c r="AV46" s="409"/>
      <c r="AW46" s="409"/>
      <c r="AX46" s="409"/>
      <c r="AY46" s="409"/>
      <c r="AZ46" s="409"/>
      <c r="BA46" s="409"/>
      <c r="BB46" s="418" t="str">
        <f t="shared" si="10"/>
        <v>1</v>
      </c>
      <c r="BC46" s="409"/>
      <c r="BD46" s="418" t="str">
        <f t="shared" si="7"/>
        <v>1</v>
      </c>
      <c r="BE46" s="409"/>
      <c r="BF46" s="418" t="str">
        <f t="shared" si="12"/>
        <v>1</v>
      </c>
      <c r="BG46" s="409"/>
      <c r="BH46" s="418" t="str">
        <f t="shared" si="8"/>
        <v>1</v>
      </c>
      <c r="BI46" s="266"/>
      <c r="BJ46" s="265"/>
    </row>
    <row r="47" spans="1:62" ht="6" customHeight="1">
      <c r="A47" s="265"/>
      <c r="B47" s="289"/>
      <c r="C47" s="289"/>
      <c r="D47" s="418" t="str">
        <f t="shared" si="2"/>
        <v>1</v>
      </c>
      <c r="E47" s="418"/>
      <c r="F47" s="418" t="str">
        <f t="shared" si="11"/>
        <v>1</v>
      </c>
      <c r="G47" s="418"/>
      <c r="H47" s="419" t="str">
        <f t="shared" si="5"/>
        <v>1</v>
      </c>
      <c r="I47" s="418"/>
      <c r="J47" s="419" t="str">
        <f t="shared" si="9"/>
        <v>1</v>
      </c>
      <c r="K47" s="418"/>
      <c r="L47" s="418"/>
      <c r="M47" s="418"/>
      <c r="N47" s="418"/>
      <c r="O47" s="418"/>
      <c r="P47" s="418"/>
      <c r="Q47" s="418"/>
      <c r="R47" s="418"/>
      <c r="S47" s="418"/>
      <c r="T47" s="418"/>
      <c r="U47" s="418"/>
      <c r="V47" s="418"/>
      <c r="W47" s="289"/>
      <c r="X47" s="289"/>
      <c r="Y47" s="789" t="str">
        <f>IF(Obliczenia!E65="10","",Obliczenia!E65)</f>
        <v>0.11</v>
      </c>
      <c r="Z47" s="397"/>
      <c r="AA47" s="397"/>
      <c r="AB47" s="397"/>
      <c r="AC47" s="397"/>
      <c r="AD47" s="397"/>
      <c r="AE47" s="289"/>
      <c r="AF47" s="395"/>
      <c r="AG47" s="395"/>
      <c r="AH47" s="395"/>
      <c r="AI47" s="395"/>
      <c r="AJ47" s="395"/>
      <c r="AK47" s="789" t="str">
        <f>IF(Obliczenia!E41="10","",Obliczenia!E41)</f>
        <v>0.8</v>
      </c>
      <c r="AL47" s="289"/>
      <c r="AM47" s="289"/>
      <c r="AN47" s="289"/>
      <c r="AO47" s="289"/>
      <c r="AP47" s="409"/>
      <c r="AQ47" s="409"/>
      <c r="AR47" s="409"/>
      <c r="AS47" s="409"/>
      <c r="AT47" s="409"/>
      <c r="AU47" s="409"/>
      <c r="AV47" s="409"/>
      <c r="AW47" s="409"/>
      <c r="AX47" s="409"/>
      <c r="AY47" s="409"/>
      <c r="AZ47" s="409"/>
      <c r="BA47" s="409"/>
      <c r="BB47" s="418" t="str">
        <f t="shared" si="10"/>
        <v>1</v>
      </c>
      <c r="BC47" s="409"/>
      <c r="BD47" s="418" t="str">
        <f t="shared" si="7"/>
        <v>1</v>
      </c>
      <c r="BE47" s="409"/>
      <c r="BF47" s="418" t="str">
        <f t="shared" si="12"/>
        <v>1</v>
      </c>
      <c r="BG47" s="409"/>
      <c r="BH47" s="418" t="str">
        <f t="shared" si="8"/>
        <v>1</v>
      </c>
      <c r="BI47" s="266"/>
      <c r="BJ47" s="265"/>
    </row>
    <row r="48" spans="1:62" ht="14.4" customHeight="1">
      <c r="A48" s="265"/>
      <c r="B48" s="289"/>
      <c r="C48" s="289"/>
      <c r="D48" s="418" t="str">
        <f t="shared" si="2"/>
        <v>1</v>
      </c>
      <c r="E48" s="418"/>
      <c r="F48" s="418" t="str">
        <f t="shared" si="11"/>
        <v>1</v>
      </c>
      <c r="G48" s="418"/>
      <c r="H48" s="419" t="str">
        <f t="shared" si="5"/>
        <v>1</v>
      </c>
      <c r="I48" s="418"/>
      <c r="J48" s="419" t="str">
        <f t="shared" si="9"/>
        <v>1</v>
      </c>
      <c r="K48" s="418"/>
      <c r="L48" s="418"/>
      <c r="M48" s="418"/>
      <c r="N48" s="418"/>
      <c r="O48" s="418"/>
      <c r="P48" s="418"/>
      <c r="Q48" s="418"/>
      <c r="R48" s="418"/>
      <c r="S48" s="418"/>
      <c r="T48" s="418"/>
      <c r="U48" s="418"/>
      <c r="V48" s="418"/>
      <c r="W48" s="289"/>
      <c r="X48" s="4" t="str">
        <f>IF(Y47&lt;&gt;"","1","")</f>
        <v>1</v>
      </c>
      <c r="Y48" s="789"/>
      <c r="Z48" s="397"/>
      <c r="AA48" s="772" t="str">
        <f>IF(Y47="","",VLOOKUP(Y47,big_tabela,3,0))</f>
        <v>Łazienka</v>
      </c>
      <c r="AB48" s="772"/>
      <c r="AC48" s="773">
        <f>IF(Y47="","",VLOOKUP(Y47,big_tabela,12,0))</f>
        <v>55</v>
      </c>
      <c r="AD48" s="774" t="s">
        <v>373</v>
      </c>
      <c r="AE48" s="289"/>
      <c r="AF48" s="395"/>
      <c r="AG48" s="783" t="str">
        <f>IF(AK47="","",VLOOKUP(AK47,big_tabela,3,0))</f>
        <v>Jadalnia - nawiew</v>
      </c>
      <c r="AH48" s="783"/>
      <c r="AI48" s="784">
        <f>IF(AK47="","",VLOOKUP(AK47,big_tabela,12,0))</f>
        <v>20</v>
      </c>
      <c r="AJ48" s="767" t="s">
        <v>373</v>
      </c>
      <c r="AK48" s="789"/>
      <c r="AL48" s="4" t="str">
        <f>IF(AK47&lt;&gt;"","1","")</f>
        <v>1</v>
      </c>
      <c r="AM48" s="289"/>
      <c r="AN48" s="289"/>
      <c r="AO48" s="289"/>
      <c r="AP48" s="409"/>
      <c r="AQ48" s="409"/>
      <c r="AR48" s="409"/>
      <c r="AS48" s="409"/>
      <c r="AT48" s="409"/>
      <c r="AU48" s="409"/>
      <c r="AV48" s="409"/>
      <c r="AW48" s="409"/>
      <c r="AX48" s="409"/>
      <c r="AY48" s="409"/>
      <c r="AZ48" s="409"/>
      <c r="BA48" s="409"/>
      <c r="BB48" s="418" t="str">
        <f t="shared" si="10"/>
        <v>1</v>
      </c>
      <c r="BC48" s="409"/>
      <c r="BD48" s="418" t="str">
        <f t="shared" si="7"/>
        <v>1</v>
      </c>
      <c r="BE48" s="409"/>
      <c r="BF48" s="418" t="str">
        <f t="shared" si="12"/>
        <v>1</v>
      </c>
      <c r="BG48" s="409"/>
      <c r="BH48" s="418" t="str">
        <f t="shared" si="8"/>
        <v>1</v>
      </c>
      <c r="BI48" s="266"/>
      <c r="BJ48" s="265"/>
    </row>
    <row r="49" spans="1:62" ht="14.4" customHeight="1">
      <c r="A49" s="265"/>
      <c r="B49" s="289"/>
      <c r="C49" s="289"/>
      <c r="D49" s="418" t="str">
        <f t="shared" si="2"/>
        <v>1</v>
      </c>
      <c r="E49" s="418"/>
      <c r="F49" s="418" t="str">
        <f t="shared" si="11"/>
        <v>1</v>
      </c>
      <c r="G49" s="418"/>
      <c r="H49" s="419" t="str">
        <f t="shared" si="5"/>
        <v>1</v>
      </c>
      <c r="I49" s="418"/>
      <c r="J49" s="419" t="str">
        <f t="shared" si="9"/>
        <v>1</v>
      </c>
      <c r="K49" s="418"/>
      <c r="L49" s="418"/>
      <c r="M49" s="418"/>
      <c r="N49" s="418"/>
      <c r="O49" s="418"/>
      <c r="P49" s="418"/>
      <c r="Q49" s="418"/>
      <c r="R49" s="418"/>
      <c r="S49" s="418"/>
      <c r="T49" s="418"/>
      <c r="U49" s="418"/>
      <c r="V49" s="418"/>
      <c r="W49" s="494" t="str">
        <f>IF(Y47="","","Φ75")</f>
        <v>Φ75</v>
      </c>
      <c r="X49" s="495" t="str">
        <f>IF(Y47="","","x"&amp;VLOOKUP(Y47,big_tabela,42,0))</f>
        <v>x2</v>
      </c>
      <c r="Y49" s="403" t="str">
        <f>IF(Y47="","","◄")</f>
        <v>◄</v>
      </c>
      <c r="Z49" s="397"/>
      <c r="AA49" s="772"/>
      <c r="AB49" s="772"/>
      <c r="AC49" s="773"/>
      <c r="AD49" s="774"/>
      <c r="AE49" s="289"/>
      <c r="AF49" s="395"/>
      <c r="AG49" s="783"/>
      <c r="AH49" s="783"/>
      <c r="AI49" s="784"/>
      <c r="AJ49" s="767"/>
      <c r="AK49" s="402" t="str">
        <f>IF(AK47="","","◄")</f>
        <v>◄</v>
      </c>
      <c r="AL49" s="494" t="str">
        <f>IF(AK47="","","Φ75")</f>
        <v>Φ75</v>
      </c>
      <c r="AM49" s="495" t="str">
        <f>IF(AK47="","","x"&amp;VLOOKUP(AK47,big_tabela,41,0))</f>
        <v>x1</v>
      </c>
      <c r="AN49" s="289"/>
      <c r="AO49" s="289"/>
      <c r="AP49" s="409"/>
      <c r="AQ49" s="409"/>
      <c r="AR49" s="409"/>
      <c r="AS49" s="409"/>
      <c r="AT49" s="409"/>
      <c r="AU49" s="409"/>
      <c r="AV49" s="409"/>
      <c r="AW49" s="409"/>
      <c r="AX49" s="409"/>
      <c r="AY49" s="409"/>
      <c r="AZ49" s="409"/>
      <c r="BA49" s="409"/>
      <c r="BB49" s="418" t="str">
        <f t="shared" si="10"/>
        <v>1</v>
      </c>
      <c r="BC49" s="409"/>
      <c r="BD49" s="418" t="str">
        <f t="shared" si="7"/>
        <v>1</v>
      </c>
      <c r="BE49" s="409"/>
      <c r="BF49" s="418" t="str">
        <f t="shared" si="12"/>
        <v>1</v>
      </c>
      <c r="BG49" s="409"/>
      <c r="BH49" s="418" t="str">
        <f t="shared" si="8"/>
        <v>1</v>
      </c>
      <c r="BI49" s="266"/>
      <c r="BJ49" s="265"/>
    </row>
    <row r="50" spans="1:62" ht="3" customHeight="1">
      <c r="A50" s="265"/>
      <c r="B50" s="289"/>
      <c r="C50" s="404"/>
      <c r="D50" s="418" t="str">
        <f t="shared" si="2"/>
        <v>1</v>
      </c>
      <c r="E50" s="418"/>
      <c r="F50" s="418" t="str">
        <f t="shared" si="11"/>
        <v>1</v>
      </c>
      <c r="G50" s="418"/>
      <c r="H50" s="419" t="str">
        <f t="shared" si="5"/>
        <v>1</v>
      </c>
      <c r="I50" s="418"/>
      <c r="J50" s="419" t="str">
        <f t="shared" si="9"/>
        <v>1</v>
      </c>
      <c r="K50" s="418"/>
      <c r="L50" s="419" t="str">
        <f t="shared" ref="L50:X87" si="13">$X$48</f>
        <v>1</v>
      </c>
      <c r="M50" s="419" t="str">
        <f t="shared" si="13"/>
        <v>1</v>
      </c>
      <c r="N50" s="419" t="str">
        <f t="shared" si="13"/>
        <v>1</v>
      </c>
      <c r="O50" s="419" t="str">
        <f t="shared" si="13"/>
        <v>1</v>
      </c>
      <c r="P50" s="419" t="str">
        <f t="shared" si="13"/>
        <v>1</v>
      </c>
      <c r="Q50" s="419" t="str">
        <f t="shared" si="13"/>
        <v>1</v>
      </c>
      <c r="R50" s="419" t="str">
        <f t="shared" si="13"/>
        <v>1</v>
      </c>
      <c r="S50" s="419" t="str">
        <f t="shared" si="13"/>
        <v>1</v>
      </c>
      <c r="T50" s="419" t="str">
        <f t="shared" si="13"/>
        <v>1</v>
      </c>
      <c r="U50" s="419" t="str">
        <f t="shared" si="13"/>
        <v>1</v>
      </c>
      <c r="V50" s="419" t="str">
        <f t="shared" si="13"/>
        <v>1</v>
      </c>
      <c r="W50" s="419" t="str">
        <f t="shared" si="13"/>
        <v>1</v>
      </c>
      <c r="X50" s="419" t="str">
        <f t="shared" si="13"/>
        <v>1</v>
      </c>
      <c r="Y50" s="419" t="str">
        <f>$X$48</f>
        <v>1</v>
      </c>
      <c r="Z50" s="397"/>
      <c r="AA50" s="412"/>
      <c r="AB50" s="412"/>
      <c r="AC50" s="415"/>
      <c r="AD50" s="416"/>
      <c r="AE50" s="289"/>
      <c r="AF50" s="395"/>
      <c r="AG50" s="421"/>
      <c r="AH50" s="421"/>
      <c r="AI50" s="413"/>
      <c r="AJ50" s="414"/>
      <c r="AK50" s="418" t="str">
        <f t="shared" ref="AK50:AZ65" si="14">$AL$48</f>
        <v>1</v>
      </c>
      <c r="AL50" s="418" t="str">
        <f t="shared" si="14"/>
        <v>1</v>
      </c>
      <c r="AM50" s="418" t="str">
        <f t="shared" si="14"/>
        <v>1</v>
      </c>
      <c r="AN50" s="418" t="str">
        <f t="shared" si="14"/>
        <v>1</v>
      </c>
      <c r="AO50" s="418" t="str">
        <f t="shared" si="14"/>
        <v>1</v>
      </c>
      <c r="AP50" s="418" t="str">
        <f t="shared" si="14"/>
        <v>1</v>
      </c>
      <c r="AQ50" s="418" t="str">
        <f t="shared" si="14"/>
        <v>1</v>
      </c>
      <c r="AR50" s="418" t="str">
        <f t="shared" si="14"/>
        <v>1</v>
      </c>
      <c r="AS50" s="418" t="str">
        <f t="shared" si="14"/>
        <v>1</v>
      </c>
      <c r="AT50" s="418" t="str">
        <f t="shared" si="14"/>
        <v>1</v>
      </c>
      <c r="AU50" s="418" t="str">
        <f t="shared" si="14"/>
        <v>1</v>
      </c>
      <c r="AV50" s="418" t="str">
        <f t="shared" si="14"/>
        <v>1</v>
      </c>
      <c r="AW50" s="418" t="str">
        <f t="shared" si="14"/>
        <v>1</v>
      </c>
      <c r="AX50" s="418" t="str">
        <f t="shared" si="14"/>
        <v>1</v>
      </c>
      <c r="AY50" s="418" t="str">
        <f t="shared" si="14"/>
        <v>1</v>
      </c>
      <c r="AZ50" s="418" t="str">
        <f t="shared" si="14"/>
        <v>1</v>
      </c>
      <c r="BA50" s="409"/>
      <c r="BB50" s="418" t="str">
        <f t="shared" si="10"/>
        <v>1</v>
      </c>
      <c r="BC50" s="409"/>
      <c r="BD50" s="418" t="str">
        <f t="shared" si="7"/>
        <v>1</v>
      </c>
      <c r="BE50" s="409"/>
      <c r="BF50" s="418" t="str">
        <f t="shared" si="12"/>
        <v>1</v>
      </c>
      <c r="BG50" s="409"/>
      <c r="BH50" s="418" t="str">
        <f t="shared" si="8"/>
        <v>1</v>
      </c>
      <c r="BI50" s="266"/>
      <c r="BJ50" s="265"/>
    </row>
    <row r="51" spans="1:62" ht="14.4" customHeight="1">
      <c r="A51" s="265"/>
      <c r="B51" s="289"/>
      <c r="C51" s="289"/>
      <c r="D51" s="418" t="str">
        <f t="shared" si="2"/>
        <v>1</v>
      </c>
      <c r="E51" s="418"/>
      <c r="F51" s="418" t="str">
        <f t="shared" si="11"/>
        <v>1</v>
      </c>
      <c r="G51" s="418"/>
      <c r="H51" s="419" t="str">
        <f t="shared" si="5"/>
        <v>1</v>
      </c>
      <c r="I51" s="418"/>
      <c r="J51" s="419" t="str">
        <f t="shared" si="9"/>
        <v>1</v>
      </c>
      <c r="K51" s="418"/>
      <c r="L51" s="419" t="str">
        <f t="shared" si="13"/>
        <v>1</v>
      </c>
      <c r="M51" s="418"/>
      <c r="N51" s="418"/>
      <c r="O51" s="418"/>
      <c r="P51" s="418"/>
      <c r="Q51" s="418"/>
      <c r="R51" s="418"/>
      <c r="S51" s="418"/>
      <c r="T51" s="418"/>
      <c r="U51" s="418"/>
      <c r="V51" s="418"/>
      <c r="W51" s="289"/>
      <c r="X51" s="289"/>
      <c r="Y51" s="289"/>
      <c r="Z51" s="397"/>
      <c r="AA51" s="399" t="str">
        <f>IF(Y47="","",VLOOKUP(Y47,big_tabela,4,0))</f>
        <v/>
      </c>
      <c r="AB51" s="400"/>
      <c r="AC51" s="634" t="str">
        <f>IF(Y47="","","anemostat")</f>
        <v>anemostat</v>
      </c>
      <c r="AD51" s="416" t="str">
        <f>IF(Y47="","","x"&amp;VLOOKUP(Y47,big_tabela,45,0))</f>
        <v>x1</v>
      </c>
      <c r="AE51" s="289"/>
      <c r="AF51" s="395"/>
      <c r="AG51" s="398" t="str">
        <f>IF(AK47="","",VLOOKUP(AK47,big_tabela,4,0))</f>
        <v/>
      </c>
      <c r="AH51" s="417"/>
      <c r="AI51" s="635" t="str">
        <f>IF(AK47="","","anemostat")</f>
        <v>anemostat</v>
      </c>
      <c r="AJ51" s="414" t="str">
        <f>IF(AK47="","","x"&amp;VLOOKUP(AK47,big_tabela,44,0))</f>
        <v>x1</v>
      </c>
      <c r="AK51" s="401"/>
      <c r="AL51" s="289"/>
      <c r="AM51" s="289"/>
      <c r="AN51" s="289"/>
      <c r="AO51" s="289"/>
      <c r="AP51" s="409"/>
      <c r="AQ51" s="409"/>
      <c r="AR51" s="409"/>
      <c r="AS51" s="409"/>
      <c r="AT51" s="409"/>
      <c r="AU51" s="409"/>
      <c r="AV51" s="409"/>
      <c r="AW51" s="409"/>
      <c r="AX51" s="409"/>
      <c r="AY51" s="409"/>
      <c r="AZ51" s="418" t="str">
        <f t="shared" si="14"/>
        <v>1</v>
      </c>
      <c r="BA51" s="409"/>
      <c r="BB51" s="418" t="str">
        <f t="shared" si="10"/>
        <v>1</v>
      </c>
      <c r="BC51" s="409"/>
      <c r="BD51" s="418" t="str">
        <f t="shared" si="7"/>
        <v>1</v>
      </c>
      <c r="BE51" s="409"/>
      <c r="BF51" s="418" t="str">
        <f t="shared" si="12"/>
        <v>1</v>
      </c>
      <c r="BG51" s="409"/>
      <c r="BH51" s="418" t="str">
        <f t="shared" si="8"/>
        <v>1</v>
      </c>
      <c r="BI51" s="266"/>
      <c r="BJ51" s="265"/>
    </row>
    <row r="52" spans="1:62" ht="6" customHeight="1">
      <c r="A52" s="265"/>
      <c r="B52" s="289"/>
      <c r="C52" s="289"/>
      <c r="D52" s="418" t="str">
        <f t="shared" si="2"/>
        <v>1</v>
      </c>
      <c r="E52" s="418"/>
      <c r="F52" s="418" t="str">
        <f t="shared" si="11"/>
        <v>1</v>
      </c>
      <c r="G52" s="418"/>
      <c r="H52" s="419" t="str">
        <f t="shared" si="5"/>
        <v>1</v>
      </c>
      <c r="I52" s="418"/>
      <c r="J52" s="419" t="str">
        <f t="shared" si="9"/>
        <v>1</v>
      </c>
      <c r="K52" s="418"/>
      <c r="L52" s="419" t="str">
        <f t="shared" si="13"/>
        <v>1</v>
      </c>
      <c r="M52" s="418"/>
      <c r="N52" s="418"/>
      <c r="O52" s="418"/>
      <c r="P52" s="418"/>
      <c r="Q52" s="418"/>
      <c r="R52" s="418"/>
      <c r="S52" s="418"/>
      <c r="T52" s="418"/>
      <c r="U52" s="418"/>
      <c r="V52" s="418"/>
      <c r="W52" s="289"/>
      <c r="X52" s="289"/>
      <c r="Y52" s="289"/>
      <c r="Z52" s="397"/>
      <c r="AA52" s="397"/>
      <c r="AB52" s="397"/>
      <c r="AC52" s="397"/>
      <c r="AD52" s="397"/>
      <c r="AE52" s="289"/>
      <c r="AF52" s="395"/>
      <c r="AG52" s="395"/>
      <c r="AH52" s="395"/>
      <c r="AI52" s="395"/>
      <c r="AJ52" s="395"/>
      <c r="AK52" s="289"/>
      <c r="AL52" s="289"/>
      <c r="AM52" s="289"/>
      <c r="AN52" s="289"/>
      <c r="AO52" s="289"/>
      <c r="AP52" s="409"/>
      <c r="AQ52" s="409"/>
      <c r="AR52" s="409"/>
      <c r="AS52" s="409"/>
      <c r="AT52" s="409"/>
      <c r="AU52" s="409"/>
      <c r="AV52" s="409"/>
      <c r="AW52" s="409"/>
      <c r="AX52" s="409"/>
      <c r="AY52" s="409"/>
      <c r="AZ52" s="418" t="str">
        <f t="shared" si="14"/>
        <v>1</v>
      </c>
      <c r="BA52" s="409"/>
      <c r="BB52" s="418" t="str">
        <f t="shared" si="10"/>
        <v>1</v>
      </c>
      <c r="BC52" s="409"/>
      <c r="BD52" s="418" t="str">
        <f t="shared" ref="BD52:BD87" si="15">$AL$34</f>
        <v>1</v>
      </c>
      <c r="BE52" s="409"/>
      <c r="BF52" s="418" t="str">
        <f t="shared" si="12"/>
        <v>1</v>
      </c>
      <c r="BG52" s="409"/>
      <c r="BH52" s="418" t="str">
        <f t="shared" si="8"/>
        <v>1</v>
      </c>
      <c r="BI52" s="266"/>
      <c r="BJ52" s="265"/>
    </row>
    <row r="53" spans="1:62">
      <c r="A53" s="265"/>
      <c r="B53" s="289"/>
      <c r="C53" s="289"/>
      <c r="D53" s="418" t="str">
        <f t="shared" si="2"/>
        <v>1</v>
      </c>
      <c r="E53" s="418"/>
      <c r="F53" s="418" t="str">
        <f t="shared" si="11"/>
        <v>1</v>
      </c>
      <c r="G53" s="418"/>
      <c r="H53" s="419" t="str">
        <f t="shared" si="5"/>
        <v>1</v>
      </c>
      <c r="I53" s="418"/>
      <c r="J53" s="419" t="str">
        <f t="shared" si="9"/>
        <v>1</v>
      </c>
      <c r="K53" s="418"/>
      <c r="L53" s="419" t="str">
        <f t="shared" si="13"/>
        <v>1</v>
      </c>
      <c r="M53" s="418"/>
      <c r="N53" s="418"/>
      <c r="O53" s="418"/>
      <c r="P53" s="418"/>
      <c r="Q53" s="418"/>
      <c r="R53" s="418"/>
      <c r="S53" s="418"/>
      <c r="T53" s="418"/>
      <c r="U53" s="418"/>
      <c r="V53" s="418"/>
      <c r="W53" s="289"/>
      <c r="X53" s="289"/>
      <c r="Y53" s="289"/>
      <c r="Z53" s="289"/>
      <c r="AA53" s="289"/>
      <c r="AB53" s="289"/>
      <c r="AC53" s="289"/>
      <c r="AD53" s="289"/>
      <c r="AE53" s="289"/>
      <c r="AF53" s="289"/>
      <c r="AG53" s="289"/>
      <c r="AH53" s="289"/>
      <c r="AI53" s="289"/>
      <c r="AJ53" s="289"/>
      <c r="AK53" s="289"/>
      <c r="AL53" s="289"/>
      <c r="AM53" s="289"/>
      <c r="AN53" s="289"/>
      <c r="AO53" s="289"/>
      <c r="AP53" s="409"/>
      <c r="AQ53" s="409"/>
      <c r="AR53" s="409"/>
      <c r="AS53" s="409"/>
      <c r="AT53" s="409"/>
      <c r="AU53" s="409"/>
      <c r="AV53" s="409"/>
      <c r="AW53" s="409"/>
      <c r="AX53" s="409"/>
      <c r="AY53" s="409"/>
      <c r="AZ53" s="418" t="str">
        <f t="shared" si="14"/>
        <v>1</v>
      </c>
      <c r="BA53" s="409"/>
      <c r="BB53" s="418" t="str">
        <f t="shared" si="10"/>
        <v>1</v>
      </c>
      <c r="BC53" s="409"/>
      <c r="BD53" s="418" t="str">
        <f t="shared" si="15"/>
        <v>1</v>
      </c>
      <c r="BE53" s="409"/>
      <c r="BF53" s="418" t="str">
        <f t="shared" si="12"/>
        <v>1</v>
      </c>
      <c r="BG53" s="409"/>
      <c r="BH53" s="418" t="str">
        <f t="shared" si="8"/>
        <v>1</v>
      </c>
      <c r="BI53" s="266"/>
      <c r="BJ53" s="265"/>
    </row>
    <row r="54" spans="1:62" ht="6" customHeight="1">
      <c r="A54" s="265"/>
      <c r="B54" s="289"/>
      <c r="C54" s="289"/>
      <c r="D54" s="418" t="str">
        <f t="shared" si="2"/>
        <v>1</v>
      </c>
      <c r="E54" s="418"/>
      <c r="F54" s="418" t="str">
        <f t="shared" si="11"/>
        <v>1</v>
      </c>
      <c r="G54" s="418"/>
      <c r="H54" s="419" t="str">
        <f t="shared" si="5"/>
        <v>1</v>
      </c>
      <c r="I54" s="418"/>
      <c r="J54" s="419" t="str">
        <f t="shared" si="9"/>
        <v>1</v>
      </c>
      <c r="K54" s="418"/>
      <c r="L54" s="419" t="str">
        <f t="shared" si="13"/>
        <v>1</v>
      </c>
      <c r="M54" s="418"/>
      <c r="N54" s="418"/>
      <c r="O54" s="418"/>
      <c r="P54" s="418"/>
      <c r="Q54" s="418"/>
      <c r="R54" s="418"/>
      <c r="S54" s="418"/>
      <c r="T54" s="418"/>
      <c r="U54" s="418"/>
      <c r="V54" s="418"/>
      <c r="W54" s="289"/>
      <c r="X54" s="289"/>
      <c r="Y54" s="789" t="str">
        <f>IF(Obliczenia!E66="10","",Obliczenia!E66)</f>
        <v>1.2</v>
      </c>
      <c r="Z54" s="397"/>
      <c r="AA54" s="397"/>
      <c r="AB54" s="397"/>
      <c r="AC54" s="397"/>
      <c r="AD54" s="397"/>
      <c r="AE54" s="289"/>
      <c r="AF54" s="395"/>
      <c r="AG54" s="395"/>
      <c r="AH54" s="395"/>
      <c r="AI54" s="395"/>
      <c r="AJ54" s="395"/>
      <c r="AK54" s="789" t="str">
        <f>IF(Obliczenia!E42="10","",Obliczenia!E42)</f>
        <v>0.6</v>
      </c>
      <c r="AL54" s="289"/>
      <c r="AM54" s="289"/>
      <c r="AN54" s="289"/>
      <c r="AO54" s="289"/>
      <c r="AP54" s="409"/>
      <c r="AQ54" s="409"/>
      <c r="AR54" s="409"/>
      <c r="AS54" s="409"/>
      <c r="AT54" s="409"/>
      <c r="AU54" s="409"/>
      <c r="AV54" s="409"/>
      <c r="AW54" s="409"/>
      <c r="AX54" s="409"/>
      <c r="AY54" s="409"/>
      <c r="AZ54" s="418" t="str">
        <f t="shared" si="14"/>
        <v>1</v>
      </c>
      <c r="BA54" s="409"/>
      <c r="BB54" s="418" t="str">
        <f t="shared" si="10"/>
        <v>1</v>
      </c>
      <c r="BC54" s="409"/>
      <c r="BD54" s="418" t="str">
        <f t="shared" si="15"/>
        <v>1</v>
      </c>
      <c r="BE54" s="409"/>
      <c r="BF54" s="418" t="str">
        <f t="shared" si="12"/>
        <v>1</v>
      </c>
      <c r="BG54" s="409"/>
      <c r="BH54" s="418" t="str">
        <f t="shared" si="8"/>
        <v>1</v>
      </c>
      <c r="BI54" s="266"/>
      <c r="BJ54" s="265"/>
    </row>
    <row r="55" spans="1:62" ht="14.4" customHeight="1">
      <c r="A55" s="265"/>
      <c r="B55" s="289"/>
      <c r="C55" s="289"/>
      <c r="D55" s="418" t="str">
        <f t="shared" si="2"/>
        <v>1</v>
      </c>
      <c r="E55" s="418"/>
      <c r="F55" s="418" t="str">
        <f t="shared" si="11"/>
        <v>1</v>
      </c>
      <c r="G55" s="418"/>
      <c r="H55" s="419" t="str">
        <f t="shared" si="5"/>
        <v>1</v>
      </c>
      <c r="I55" s="418"/>
      <c r="J55" s="419" t="str">
        <f t="shared" si="9"/>
        <v>1</v>
      </c>
      <c r="K55" s="418"/>
      <c r="L55" s="419" t="str">
        <f t="shared" si="13"/>
        <v>1</v>
      </c>
      <c r="M55" s="418"/>
      <c r="N55" s="418"/>
      <c r="O55" s="418"/>
      <c r="P55" s="418"/>
      <c r="Q55" s="418"/>
      <c r="R55" s="418"/>
      <c r="S55" s="418"/>
      <c r="T55" s="418"/>
      <c r="U55" s="418"/>
      <c r="V55" s="418"/>
      <c r="W55" s="289"/>
      <c r="X55" s="4" t="str">
        <f>IF(Y54&lt;&gt;"","1","")</f>
        <v>1</v>
      </c>
      <c r="Y55" s="789"/>
      <c r="Z55" s="397"/>
      <c r="AA55" s="772" t="str">
        <f>IF(Y54="","",VLOOKUP(Y54,big_tabela,3,0))</f>
        <v>Łazienka</v>
      </c>
      <c r="AB55" s="772"/>
      <c r="AC55" s="773">
        <f>IF(Y54="","",VLOOKUP(Y54,big_tabela,12,0))</f>
        <v>50</v>
      </c>
      <c r="AD55" s="774" t="s">
        <v>373</v>
      </c>
      <c r="AE55" s="289"/>
      <c r="AF55" s="395"/>
      <c r="AG55" s="783" t="str">
        <f>IF(AK54="","",VLOOKUP(AK54,big_tabela,3,0))</f>
        <v>Gabinet</v>
      </c>
      <c r="AH55" s="783"/>
      <c r="AI55" s="784">
        <f>IF(AK54="","",VLOOKUP(AK54,big_tabela,12,0))</f>
        <v>30</v>
      </c>
      <c r="AJ55" s="767" t="s">
        <v>373</v>
      </c>
      <c r="AK55" s="789"/>
      <c r="AL55" s="4" t="str">
        <f>IF(AK54&lt;&gt;"","1","")</f>
        <v>1</v>
      </c>
      <c r="AM55" s="289"/>
      <c r="AN55" s="289"/>
      <c r="AO55" s="289"/>
      <c r="AP55" s="409"/>
      <c r="AQ55" s="409"/>
      <c r="AR55" s="409"/>
      <c r="AS55" s="409"/>
      <c r="AT55" s="409"/>
      <c r="AU55" s="409"/>
      <c r="AV55" s="409"/>
      <c r="AW55" s="409"/>
      <c r="AX55" s="409"/>
      <c r="AY55" s="409"/>
      <c r="AZ55" s="418" t="str">
        <f t="shared" si="14"/>
        <v>1</v>
      </c>
      <c r="BA55" s="409"/>
      <c r="BB55" s="418" t="str">
        <f t="shared" si="10"/>
        <v>1</v>
      </c>
      <c r="BC55" s="409"/>
      <c r="BD55" s="418" t="str">
        <f t="shared" si="15"/>
        <v>1</v>
      </c>
      <c r="BE55" s="409"/>
      <c r="BF55" s="418" t="str">
        <f t="shared" si="12"/>
        <v>1</v>
      </c>
      <c r="BG55" s="409"/>
      <c r="BH55" s="418" t="str">
        <f t="shared" si="8"/>
        <v>1</v>
      </c>
      <c r="BI55" s="266"/>
      <c r="BJ55" s="265"/>
    </row>
    <row r="56" spans="1:62" ht="14.4" customHeight="1">
      <c r="A56" s="265"/>
      <c r="B56" s="289"/>
      <c r="C56" s="289"/>
      <c r="D56" s="418" t="str">
        <f t="shared" si="2"/>
        <v>1</v>
      </c>
      <c r="E56" s="418"/>
      <c r="F56" s="418" t="str">
        <f t="shared" si="11"/>
        <v>1</v>
      </c>
      <c r="G56" s="418"/>
      <c r="H56" s="419" t="str">
        <f t="shared" si="5"/>
        <v>1</v>
      </c>
      <c r="I56" s="418"/>
      <c r="J56" s="419" t="str">
        <f t="shared" si="9"/>
        <v>1</v>
      </c>
      <c r="K56" s="418"/>
      <c r="L56" s="419" t="str">
        <f t="shared" si="13"/>
        <v>1</v>
      </c>
      <c r="M56" s="418"/>
      <c r="N56" s="418"/>
      <c r="O56" s="418"/>
      <c r="P56" s="418"/>
      <c r="Q56" s="418"/>
      <c r="R56" s="418"/>
      <c r="S56" s="418"/>
      <c r="T56" s="418"/>
      <c r="U56" s="418"/>
      <c r="V56" s="418"/>
      <c r="W56" s="494" t="str">
        <f>IF(Y54="","","Φ75")</f>
        <v>Φ75</v>
      </c>
      <c r="X56" s="495" t="str">
        <f>IF(Y54="","","x"&amp;VLOOKUP(Y54,big_tabela,42,0))</f>
        <v>x2</v>
      </c>
      <c r="Y56" s="403" t="str">
        <f>IF(Y54="","","◄")</f>
        <v>◄</v>
      </c>
      <c r="Z56" s="397"/>
      <c r="AA56" s="772"/>
      <c r="AB56" s="772"/>
      <c r="AC56" s="773"/>
      <c r="AD56" s="774"/>
      <c r="AE56" s="289"/>
      <c r="AF56" s="395"/>
      <c r="AG56" s="783"/>
      <c r="AH56" s="783"/>
      <c r="AI56" s="784"/>
      <c r="AJ56" s="767"/>
      <c r="AK56" s="402" t="str">
        <f>IF(AK54="","","◄")</f>
        <v>◄</v>
      </c>
      <c r="AL56" s="494" t="str">
        <f>IF(AK54="","","Φ75")</f>
        <v>Φ75</v>
      </c>
      <c r="AM56" s="495" t="str">
        <f>IF(AK54="","","x"&amp;VLOOKUP(AK54,big_tabela,41,0))</f>
        <v>x1</v>
      </c>
      <c r="AN56" s="289"/>
      <c r="AO56" s="289"/>
      <c r="AP56" s="409"/>
      <c r="AQ56" s="409"/>
      <c r="AR56" s="409"/>
      <c r="AS56" s="409"/>
      <c r="AT56" s="409"/>
      <c r="AU56" s="409"/>
      <c r="AV56" s="409"/>
      <c r="AW56" s="409"/>
      <c r="AX56" s="409"/>
      <c r="AY56" s="409"/>
      <c r="AZ56" s="418" t="str">
        <f t="shared" si="14"/>
        <v>1</v>
      </c>
      <c r="BA56" s="409"/>
      <c r="BB56" s="418" t="str">
        <f t="shared" si="10"/>
        <v>1</v>
      </c>
      <c r="BC56" s="409"/>
      <c r="BD56" s="418" t="str">
        <f t="shared" si="15"/>
        <v>1</v>
      </c>
      <c r="BE56" s="409"/>
      <c r="BF56" s="418" t="str">
        <f t="shared" si="12"/>
        <v>1</v>
      </c>
      <c r="BG56" s="409"/>
      <c r="BH56" s="418" t="str">
        <f t="shared" si="8"/>
        <v>1</v>
      </c>
      <c r="BI56" s="266"/>
      <c r="BJ56" s="265"/>
    </row>
    <row r="57" spans="1:62" ht="3" customHeight="1">
      <c r="A57" s="265"/>
      <c r="B57" s="289"/>
      <c r="C57" s="404"/>
      <c r="D57" s="418" t="str">
        <f t="shared" si="2"/>
        <v>1</v>
      </c>
      <c r="E57" s="418"/>
      <c r="F57" s="418" t="str">
        <f t="shared" si="11"/>
        <v>1</v>
      </c>
      <c r="G57" s="418"/>
      <c r="H57" s="419" t="str">
        <f t="shared" si="5"/>
        <v>1</v>
      </c>
      <c r="I57" s="418"/>
      <c r="J57" s="419" t="str">
        <f t="shared" si="9"/>
        <v>1</v>
      </c>
      <c r="K57" s="418"/>
      <c r="L57" s="419" t="str">
        <f t="shared" si="13"/>
        <v>1</v>
      </c>
      <c r="M57" s="418"/>
      <c r="N57" s="419" t="str">
        <f t="shared" ref="N57:X87" si="16">$X$55</f>
        <v>1</v>
      </c>
      <c r="O57" s="419" t="str">
        <f t="shared" si="16"/>
        <v>1</v>
      </c>
      <c r="P57" s="419" t="str">
        <f t="shared" si="16"/>
        <v>1</v>
      </c>
      <c r="Q57" s="419" t="str">
        <f t="shared" si="16"/>
        <v>1</v>
      </c>
      <c r="R57" s="419" t="str">
        <f t="shared" si="16"/>
        <v>1</v>
      </c>
      <c r="S57" s="419" t="str">
        <f t="shared" si="16"/>
        <v>1</v>
      </c>
      <c r="T57" s="419" t="str">
        <f t="shared" si="16"/>
        <v>1</v>
      </c>
      <c r="U57" s="419" t="str">
        <f t="shared" si="16"/>
        <v>1</v>
      </c>
      <c r="V57" s="419" t="str">
        <f t="shared" si="16"/>
        <v>1</v>
      </c>
      <c r="W57" s="419" t="str">
        <f t="shared" si="16"/>
        <v>1</v>
      </c>
      <c r="X57" s="419" t="str">
        <f t="shared" si="16"/>
        <v>1</v>
      </c>
      <c r="Y57" s="419" t="str">
        <f>$X$55</f>
        <v>1</v>
      </c>
      <c r="Z57" s="397"/>
      <c r="AA57" s="412"/>
      <c r="AB57" s="412"/>
      <c r="AC57" s="415"/>
      <c r="AD57" s="416"/>
      <c r="AE57" s="289"/>
      <c r="AF57" s="395"/>
      <c r="AG57" s="421"/>
      <c r="AH57" s="421"/>
      <c r="AI57" s="413"/>
      <c r="AJ57" s="414"/>
      <c r="AK57" s="418" t="str">
        <f t="shared" ref="AK57:AX72" si="17">$AL$55</f>
        <v>1</v>
      </c>
      <c r="AL57" s="418" t="str">
        <f t="shared" si="17"/>
        <v>1</v>
      </c>
      <c r="AM57" s="418" t="str">
        <f t="shared" si="17"/>
        <v>1</v>
      </c>
      <c r="AN57" s="418" t="str">
        <f t="shared" si="17"/>
        <v>1</v>
      </c>
      <c r="AO57" s="418" t="str">
        <f t="shared" si="17"/>
        <v>1</v>
      </c>
      <c r="AP57" s="418" t="str">
        <f t="shared" si="17"/>
        <v>1</v>
      </c>
      <c r="AQ57" s="418" t="str">
        <f t="shared" si="17"/>
        <v>1</v>
      </c>
      <c r="AR57" s="418" t="str">
        <f t="shared" si="17"/>
        <v>1</v>
      </c>
      <c r="AS57" s="418" t="str">
        <f t="shared" si="17"/>
        <v>1</v>
      </c>
      <c r="AT57" s="418" t="str">
        <f t="shared" si="17"/>
        <v>1</v>
      </c>
      <c r="AU57" s="418" t="str">
        <f t="shared" si="17"/>
        <v>1</v>
      </c>
      <c r="AV57" s="418" t="str">
        <f t="shared" si="17"/>
        <v>1</v>
      </c>
      <c r="AW57" s="418" t="str">
        <f t="shared" si="17"/>
        <v>1</v>
      </c>
      <c r="AX57" s="418" t="str">
        <f t="shared" si="17"/>
        <v>1</v>
      </c>
      <c r="AY57" s="409"/>
      <c r="AZ57" s="418" t="str">
        <f t="shared" si="14"/>
        <v>1</v>
      </c>
      <c r="BA57" s="409"/>
      <c r="BB57" s="418" t="str">
        <f t="shared" si="10"/>
        <v>1</v>
      </c>
      <c r="BC57" s="409"/>
      <c r="BD57" s="418" t="str">
        <f t="shared" si="15"/>
        <v>1</v>
      </c>
      <c r="BE57" s="409"/>
      <c r="BF57" s="418" t="str">
        <f t="shared" si="12"/>
        <v>1</v>
      </c>
      <c r="BG57" s="409"/>
      <c r="BH57" s="418" t="str">
        <f t="shared" si="8"/>
        <v>1</v>
      </c>
      <c r="BI57" s="266"/>
      <c r="BJ57" s="265"/>
    </row>
    <row r="58" spans="1:62" ht="14.4" customHeight="1">
      <c r="A58" s="265"/>
      <c r="B58" s="289"/>
      <c r="C58" s="289"/>
      <c r="D58" s="418" t="str">
        <f t="shared" si="2"/>
        <v>1</v>
      </c>
      <c r="E58" s="418"/>
      <c r="F58" s="418" t="str">
        <f t="shared" si="11"/>
        <v>1</v>
      </c>
      <c r="G58" s="418"/>
      <c r="H58" s="419" t="str">
        <f t="shared" si="5"/>
        <v>1</v>
      </c>
      <c r="I58" s="418"/>
      <c r="J58" s="419" t="str">
        <f t="shared" si="9"/>
        <v>1</v>
      </c>
      <c r="K58" s="418"/>
      <c r="L58" s="419" t="str">
        <f t="shared" si="13"/>
        <v>1</v>
      </c>
      <c r="M58" s="418"/>
      <c r="N58" s="419" t="str">
        <f t="shared" si="16"/>
        <v>1</v>
      </c>
      <c r="O58" s="418"/>
      <c r="P58" s="418"/>
      <c r="Q58" s="418"/>
      <c r="R58" s="418"/>
      <c r="S58" s="418"/>
      <c r="T58" s="418"/>
      <c r="U58" s="418"/>
      <c r="V58" s="418"/>
      <c r="W58" s="289"/>
      <c r="X58" s="289"/>
      <c r="Y58" s="289"/>
      <c r="Z58" s="397"/>
      <c r="AA58" s="399" t="str">
        <f>IF(Y54="","",VLOOKUP(Y54,big_tabela,4,0))</f>
        <v/>
      </c>
      <c r="AB58" s="400"/>
      <c r="AC58" s="634" t="str">
        <f>IF(Y54="","","anemostat")</f>
        <v>anemostat</v>
      </c>
      <c r="AD58" s="416" t="str">
        <f>IF(Y54="","","x"&amp;VLOOKUP(Y54,big_tabela,45,0))</f>
        <v>x1</v>
      </c>
      <c r="AE58" s="289"/>
      <c r="AF58" s="395"/>
      <c r="AG58" s="398" t="str">
        <f>IF(AK54="","",VLOOKUP(AK54,big_tabela,4,0))</f>
        <v/>
      </c>
      <c r="AH58" s="417"/>
      <c r="AI58" s="635" t="str">
        <f>IF(AK54="","","anemostat")</f>
        <v>anemostat</v>
      </c>
      <c r="AJ58" s="414" t="str">
        <f>IF(AK54="","","x"&amp;VLOOKUP(AK54,big_tabela,44,0))</f>
        <v>x1</v>
      </c>
      <c r="AK58" s="401"/>
      <c r="AL58" s="289"/>
      <c r="AM58" s="289"/>
      <c r="AN58" s="289"/>
      <c r="AO58" s="289"/>
      <c r="AP58" s="409"/>
      <c r="AQ58" s="409"/>
      <c r="AR58" s="409"/>
      <c r="AS58" s="409"/>
      <c r="AT58" s="409"/>
      <c r="AU58" s="409"/>
      <c r="AV58" s="409"/>
      <c r="AW58" s="409"/>
      <c r="AX58" s="418" t="str">
        <f t="shared" si="17"/>
        <v>1</v>
      </c>
      <c r="AY58" s="409"/>
      <c r="AZ58" s="418" t="str">
        <f t="shared" si="14"/>
        <v>1</v>
      </c>
      <c r="BA58" s="409"/>
      <c r="BB58" s="418" t="str">
        <f t="shared" si="10"/>
        <v>1</v>
      </c>
      <c r="BC58" s="409"/>
      <c r="BD58" s="418" t="str">
        <f t="shared" si="15"/>
        <v>1</v>
      </c>
      <c r="BE58" s="409"/>
      <c r="BF58" s="418" t="str">
        <f t="shared" si="12"/>
        <v>1</v>
      </c>
      <c r="BG58" s="409"/>
      <c r="BH58" s="418" t="str">
        <f t="shared" si="8"/>
        <v>1</v>
      </c>
      <c r="BI58" s="266"/>
      <c r="BJ58" s="265"/>
    </row>
    <row r="59" spans="1:62" ht="6" customHeight="1">
      <c r="A59" s="265"/>
      <c r="B59" s="289"/>
      <c r="C59" s="289"/>
      <c r="D59" s="418" t="str">
        <f t="shared" si="2"/>
        <v>1</v>
      </c>
      <c r="E59" s="418"/>
      <c r="F59" s="418" t="str">
        <f t="shared" si="11"/>
        <v>1</v>
      </c>
      <c r="G59" s="418"/>
      <c r="H59" s="419" t="str">
        <f t="shared" si="5"/>
        <v>1</v>
      </c>
      <c r="I59" s="418"/>
      <c r="J59" s="419" t="str">
        <f t="shared" ref="J59:J87" si="18">$X$41</f>
        <v>1</v>
      </c>
      <c r="K59" s="418"/>
      <c r="L59" s="419" t="str">
        <f t="shared" si="13"/>
        <v>1</v>
      </c>
      <c r="M59" s="418"/>
      <c r="N59" s="419" t="str">
        <f t="shared" si="16"/>
        <v>1</v>
      </c>
      <c r="O59" s="418"/>
      <c r="P59" s="418"/>
      <c r="Q59" s="418"/>
      <c r="R59" s="418"/>
      <c r="S59" s="418"/>
      <c r="T59" s="418"/>
      <c r="U59" s="418"/>
      <c r="V59" s="418"/>
      <c r="W59" s="289"/>
      <c r="X59" s="289"/>
      <c r="Y59" s="418"/>
      <c r="Z59" s="397"/>
      <c r="AA59" s="397"/>
      <c r="AB59" s="397"/>
      <c r="AC59" s="397"/>
      <c r="AD59" s="397"/>
      <c r="AE59" s="289"/>
      <c r="AF59" s="395"/>
      <c r="AG59" s="395"/>
      <c r="AH59" s="395"/>
      <c r="AI59" s="395"/>
      <c r="AJ59" s="395"/>
      <c r="AK59" s="289"/>
      <c r="AL59" s="289"/>
      <c r="AM59" s="289"/>
      <c r="AN59" s="289"/>
      <c r="AO59" s="289"/>
      <c r="AP59" s="409"/>
      <c r="AQ59" s="409"/>
      <c r="AR59" s="409"/>
      <c r="AS59" s="409"/>
      <c r="AT59" s="409"/>
      <c r="AU59" s="409"/>
      <c r="AV59" s="409"/>
      <c r="AW59" s="409"/>
      <c r="AX59" s="418" t="str">
        <f t="shared" si="17"/>
        <v>1</v>
      </c>
      <c r="AY59" s="409"/>
      <c r="AZ59" s="418" t="str">
        <f t="shared" si="14"/>
        <v>1</v>
      </c>
      <c r="BA59" s="409"/>
      <c r="BB59" s="418" t="str">
        <f t="shared" ref="BB59:BB87" si="19">$AL$41</f>
        <v>1</v>
      </c>
      <c r="BC59" s="409"/>
      <c r="BD59" s="418" t="str">
        <f t="shared" si="15"/>
        <v>1</v>
      </c>
      <c r="BE59" s="409"/>
      <c r="BF59" s="418" t="str">
        <f t="shared" si="12"/>
        <v>1</v>
      </c>
      <c r="BG59" s="409"/>
      <c r="BH59" s="418" t="str">
        <f t="shared" si="8"/>
        <v>1</v>
      </c>
      <c r="BI59" s="266"/>
      <c r="BJ59" s="265"/>
    </row>
    <row r="60" spans="1:62">
      <c r="A60" s="265"/>
      <c r="B60" s="289"/>
      <c r="C60" s="289"/>
      <c r="D60" s="418" t="str">
        <f t="shared" si="2"/>
        <v>1</v>
      </c>
      <c r="E60" s="418"/>
      <c r="F60" s="418" t="str">
        <f t="shared" si="11"/>
        <v>1</v>
      </c>
      <c r="G60" s="418"/>
      <c r="H60" s="419" t="str">
        <f t="shared" si="5"/>
        <v>1</v>
      </c>
      <c r="I60" s="418"/>
      <c r="J60" s="419" t="str">
        <f t="shared" si="18"/>
        <v>1</v>
      </c>
      <c r="K60" s="418"/>
      <c r="L60" s="419" t="str">
        <f t="shared" si="13"/>
        <v>1</v>
      </c>
      <c r="M60" s="418"/>
      <c r="N60" s="419" t="str">
        <f t="shared" si="16"/>
        <v>1</v>
      </c>
      <c r="O60" s="418"/>
      <c r="P60" s="418"/>
      <c r="Q60" s="418"/>
      <c r="R60" s="418"/>
      <c r="S60" s="418"/>
      <c r="T60" s="418"/>
      <c r="U60" s="418"/>
      <c r="V60" s="418"/>
      <c r="W60" s="289"/>
      <c r="X60" s="289"/>
      <c r="Y60" s="289"/>
      <c r="Z60" s="289"/>
      <c r="AA60" s="289"/>
      <c r="AB60" s="289"/>
      <c r="AC60" s="289"/>
      <c r="AD60" s="289"/>
      <c r="AE60" s="289"/>
      <c r="AF60" s="289"/>
      <c r="AG60" s="289"/>
      <c r="AH60" s="289"/>
      <c r="AI60" s="289"/>
      <c r="AJ60" s="289"/>
      <c r="AK60" s="289"/>
      <c r="AL60" s="289"/>
      <c r="AM60" s="289"/>
      <c r="AN60" s="289"/>
      <c r="AO60" s="289"/>
      <c r="AP60" s="409"/>
      <c r="AQ60" s="409"/>
      <c r="AR60" s="409"/>
      <c r="AS60" s="409"/>
      <c r="AT60" s="409"/>
      <c r="AU60" s="409"/>
      <c r="AV60" s="409"/>
      <c r="AW60" s="409"/>
      <c r="AX60" s="418" t="str">
        <f t="shared" si="17"/>
        <v>1</v>
      </c>
      <c r="AY60" s="409"/>
      <c r="AZ60" s="418" t="str">
        <f t="shared" si="14"/>
        <v>1</v>
      </c>
      <c r="BA60" s="409"/>
      <c r="BB60" s="418" t="str">
        <f t="shared" si="19"/>
        <v>1</v>
      </c>
      <c r="BC60" s="409"/>
      <c r="BD60" s="418" t="str">
        <f t="shared" si="15"/>
        <v>1</v>
      </c>
      <c r="BE60" s="409"/>
      <c r="BF60" s="418" t="str">
        <f t="shared" si="12"/>
        <v>1</v>
      </c>
      <c r="BG60" s="409"/>
      <c r="BH60" s="418" t="str">
        <f t="shared" si="8"/>
        <v>1</v>
      </c>
      <c r="BI60" s="266"/>
      <c r="BJ60" s="265"/>
    </row>
    <row r="61" spans="1:62" ht="6" customHeight="1">
      <c r="A61" s="265"/>
      <c r="B61" s="289"/>
      <c r="C61" s="289"/>
      <c r="D61" s="418" t="str">
        <f t="shared" si="2"/>
        <v>1</v>
      </c>
      <c r="E61" s="418"/>
      <c r="F61" s="418" t="str">
        <f t="shared" si="11"/>
        <v>1</v>
      </c>
      <c r="G61" s="418"/>
      <c r="H61" s="419" t="str">
        <f t="shared" si="5"/>
        <v>1</v>
      </c>
      <c r="I61" s="418"/>
      <c r="J61" s="419" t="str">
        <f t="shared" si="18"/>
        <v>1</v>
      </c>
      <c r="K61" s="418"/>
      <c r="L61" s="419" t="str">
        <f t="shared" si="13"/>
        <v>1</v>
      </c>
      <c r="M61" s="418"/>
      <c r="N61" s="419" t="str">
        <f t="shared" si="16"/>
        <v>1</v>
      </c>
      <c r="O61" s="418"/>
      <c r="P61" s="418"/>
      <c r="Q61" s="418"/>
      <c r="R61" s="418"/>
      <c r="S61" s="418"/>
      <c r="T61" s="418"/>
      <c r="U61" s="418"/>
      <c r="V61" s="418"/>
      <c r="W61" s="289"/>
      <c r="X61" s="289"/>
      <c r="Y61" s="789" t="str">
        <f>IF(Obliczenia!E67="10","",Obliczenia!E67)</f>
        <v>0.2</v>
      </c>
      <c r="Z61" s="397"/>
      <c r="AA61" s="397"/>
      <c r="AB61" s="397"/>
      <c r="AC61" s="397"/>
      <c r="AD61" s="397"/>
      <c r="AE61" s="289"/>
      <c r="AF61" s="395"/>
      <c r="AG61" s="395"/>
      <c r="AH61" s="395"/>
      <c r="AI61" s="395"/>
      <c r="AJ61" s="395"/>
      <c r="AK61" s="789" t="str">
        <f>IF(Obliczenia!E43="10","",Obliczenia!E43)</f>
        <v/>
      </c>
      <c r="AL61" s="289"/>
      <c r="AM61" s="289"/>
      <c r="AN61" s="289"/>
      <c r="AO61" s="289"/>
      <c r="AP61" s="409"/>
      <c r="AQ61" s="409"/>
      <c r="AR61" s="409"/>
      <c r="AS61" s="409"/>
      <c r="AT61" s="409"/>
      <c r="AU61" s="409"/>
      <c r="AV61" s="409"/>
      <c r="AW61" s="409"/>
      <c r="AX61" s="418" t="str">
        <f t="shared" si="17"/>
        <v>1</v>
      </c>
      <c r="AY61" s="409"/>
      <c r="AZ61" s="418" t="str">
        <f t="shared" si="14"/>
        <v>1</v>
      </c>
      <c r="BA61" s="409"/>
      <c r="BB61" s="418" t="str">
        <f t="shared" si="19"/>
        <v>1</v>
      </c>
      <c r="BC61" s="409"/>
      <c r="BD61" s="418" t="str">
        <f t="shared" si="15"/>
        <v>1</v>
      </c>
      <c r="BE61" s="409"/>
      <c r="BF61" s="418" t="str">
        <f t="shared" si="12"/>
        <v>1</v>
      </c>
      <c r="BG61" s="409"/>
      <c r="BH61" s="418" t="str">
        <f t="shared" si="8"/>
        <v>1</v>
      </c>
      <c r="BI61" s="266"/>
      <c r="BJ61" s="265"/>
    </row>
    <row r="62" spans="1:62" ht="14.4" customHeight="1">
      <c r="A62" s="265"/>
      <c r="B62" s="289"/>
      <c r="C62" s="289"/>
      <c r="D62" s="418" t="str">
        <f t="shared" si="2"/>
        <v>1</v>
      </c>
      <c r="E62" s="418"/>
      <c r="F62" s="418" t="str">
        <f t="shared" si="11"/>
        <v>1</v>
      </c>
      <c r="G62" s="418"/>
      <c r="H62" s="419" t="str">
        <f t="shared" si="5"/>
        <v>1</v>
      </c>
      <c r="I62" s="418"/>
      <c r="J62" s="419" t="str">
        <f t="shared" si="18"/>
        <v>1</v>
      </c>
      <c r="K62" s="418"/>
      <c r="L62" s="419" t="str">
        <f t="shared" si="13"/>
        <v>1</v>
      </c>
      <c r="M62" s="418"/>
      <c r="N62" s="419" t="str">
        <f t="shared" si="16"/>
        <v>1</v>
      </c>
      <c r="O62" s="418"/>
      <c r="P62" s="418"/>
      <c r="Q62" s="418"/>
      <c r="R62" s="418"/>
      <c r="S62" s="418"/>
      <c r="T62" s="418"/>
      <c r="U62" s="418"/>
      <c r="V62" s="418"/>
      <c r="W62" s="289"/>
      <c r="X62" s="4" t="str">
        <f>IF(Y61&lt;&gt;"","1","")</f>
        <v>1</v>
      </c>
      <c r="Y62" s="789"/>
      <c r="Z62" s="397"/>
      <c r="AA62" s="772" t="str">
        <f>IF(Y61="","",VLOOKUP(Y61,big_tabela,3,0))</f>
        <v>Kuchnia otwarta z kuchenką elektryczną</v>
      </c>
      <c r="AB62" s="772"/>
      <c r="AC62" s="773">
        <f>IF(Y61="","",VLOOKUP(Y61,big_tabela,12,0))</f>
        <v>50</v>
      </c>
      <c r="AD62" s="774" t="s">
        <v>373</v>
      </c>
      <c r="AE62" s="289"/>
      <c r="AF62" s="395"/>
      <c r="AG62" s="783" t="str">
        <f>IF(AK61="","",VLOOKUP(AK61,big_tabela,3,0))</f>
        <v/>
      </c>
      <c r="AH62" s="783"/>
      <c r="AI62" s="784" t="str">
        <f>IF(AK61="","",VLOOKUP(AK61,big_tabela,12,0))</f>
        <v/>
      </c>
      <c r="AJ62" s="767" t="s">
        <v>373</v>
      </c>
      <c r="AK62" s="789"/>
      <c r="AL62" s="4" t="str">
        <f>IF(AK61&lt;&gt;"","1","")</f>
        <v/>
      </c>
      <c r="AM62" s="289"/>
      <c r="AN62" s="289"/>
      <c r="AO62" s="289"/>
      <c r="AP62" s="409"/>
      <c r="AQ62" s="409"/>
      <c r="AR62" s="409"/>
      <c r="AS62" s="409"/>
      <c r="AT62" s="409"/>
      <c r="AU62" s="409"/>
      <c r="AV62" s="409"/>
      <c r="AW62" s="409"/>
      <c r="AX62" s="418" t="str">
        <f t="shared" si="17"/>
        <v>1</v>
      </c>
      <c r="AY62" s="409"/>
      <c r="AZ62" s="418" t="str">
        <f t="shared" si="14"/>
        <v>1</v>
      </c>
      <c r="BA62" s="409"/>
      <c r="BB62" s="418" t="str">
        <f t="shared" si="19"/>
        <v>1</v>
      </c>
      <c r="BC62" s="409"/>
      <c r="BD62" s="418" t="str">
        <f t="shared" si="15"/>
        <v>1</v>
      </c>
      <c r="BE62" s="409"/>
      <c r="BF62" s="418" t="str">
        <f t="shared" si="12"/>
        <v>1</v>
      </c>
      <c r="BG62" s="409"/>
      <c r="BH62" s="418" t="str">
        <f t="shared" si="8"/>
        <v>1</v>
      </c>
      <c r="BI62" s="266"/>
      <c r="BJ62" s="265"/>
    </row>
    <row r="63" spans="1:62" ht="14.4" customHeight="1">
      <c r="A63" s="265"/>
      <c r="B63" s="289"/>
      <c r="C63" s="289"/>
      <c r="D63" s="418" t="str">
        <f t="shared" si="2"/>
        <v>1</v>
      </c>
      <c r="E63" s="418"/>
      <c r="F63" s="418" t="str">
        <f t="shared" si="11"/>
        <v>1</v>
      </c>
      <c r="G63" s="418"/>
      <c r="H63" s="419" t="str">
        <f t="shared" si="5"/>
        <v>1</v>
      </c>
      <c r="I63" s="418"/>
      <c r="J63" s="419" t="str">
        <f t="shared" si="18"/>
        <v>1</v>
      </c>
      <c r="K63" s="418"/>
      <c r="L63" s="419" t="str">
        <f t="shared" si="13"/>
        <v>1</v>
      </c>
      <c r="M63" s="418"/>
      <c r="N63" s="419" t="str">
        <f t="shared" si="16"/>
        <v>1</v>
      </c>
      <c r="O63" s="418"/>
      <c r="P63" s="418"/>
      <c r="Q63" s="418"/>
      <c r="R63" s="418"/>
      <c r="S63" s="418"/>
      <c r="T63" s="418"/>
      <c r="U63" s="418"/>
      <c r="V63" s="418"/>
      <c r="W63" s="494" t="str">
        <f>IF(Y61="","","Φ75")</f>
        <v>Φ75</v>
      </c>
      <c r="X63" s="495" t="str">
        <f>IF(Y61="","","x"&amp;VLOOKUP(Y61,big_tabela,42,0))</f>
        <v>x2</v>
      </c>
      <c r="Y63" s="403" t="str">
        <f>IF(Y61="","","◄")</f>
        <v>◄</v>
      </c>
      <c r="Z63" s="397"/>
      <c r="AA63" s="772"/>
      <c r="AB63" s="772"/>
      <c r="AC63" s="773"/>
      <c r="AD63" s="774"/>
      <c r="AE63" s="289"/>
      <c r="AF63" s="395"/>
      <c r="AG63" s="783"/>
      <c r="AH63" s="783"/>
      <c r="AI63" s="784"/>
      <c r="AJ63" s="767"/>
      <c r="AK63" s="402" t="str">
        <f>IF(AK61="","","◄")</f>
        <v/>
      </c>
      <c r="AL63" s="494" t="str">
        <f>IF(AK61="","","Φ75")</f>
        <v/>
      </c>
      <c r="AM63" s="495" t="str">
        <f>IF(AK61="","","x"&amp;VLOOKUP(AK61,big_tabela,41,0))</f>
        <v/>
      </c>
      <c r="AN63" s="289"/>
      <c r="AO63" s="289"/>
      <c r="AP63" s="409"/>
      <c r="AQ63" s="409"/>
      <c r="AR63" s="409"/>
      <c r="AS63" s="409"/>
      <c r="AT63" s="409"/>
      <c r="AU63" s="409"/>
      <c r="AV63" s="409"/>
      <c r="AW63" s="409"/>
      <c r="AX63" s="418" t="str">
        <f t="shared" si="17"/>
        <v>1</v>
      </c>
      <c r="AY63" s="409"/>
      <c r="AZ63" s="418" t="str">
        <f t="shared" si="14"/>
        <v>1</v>
      </c>
      <c r="BA63" s="409"/>
      <c r="BB63" s="418" t="str">
        <f t="shared" si="19"/>
        <v>1</v>
      </c>
      <c r="BC63" s="409"/>
      <c r="BD63" s="418" t="str">
        <f t="shared" si="15"/>
        <v>1</v>
      </c>
      <c r="BE63" s="409"/>
      <c r="BF63" s="418" t="str">
        <f t="shared" si="12"/>
        <v>1</v>
      </c>
      <c r="BG63" s="409"/>
      <c r="BH63" s="418" t="str">
        <f t="shared" si="8"/>
        <v>1</v>
      </c>
      <c r="BI63" s="266"/>
      <c r="BJ63" s="265"/>
    </row>
    <row r="64" spans="1:62" ht="3" customHeight="1">
      <c r="A64" s="265"/>
      <c r="B64" s="289"/>
      <c r="C64" s="404"/>
      <c r="D64" s="418" t="str">
        <f t="shared" si="2"/>
        <v>1</v>
      </c>
      <c r="E64" s="418"/>
      <c r="F64" s="418" t="str">
        <f t="shared" si="11"/>
        <v>1</v>
      </c>
      <c r="G64" s="418"/>
      <c r="H64" s="419" t="str">
        <f t="shared" si="5"/>
        <v>1</v>
      </c>
      <c r="I64" s="418"/>
      <c r="J64" s="419" t="str">
        <f t="shared" si="18"/>
        <v>1</v>
      </c>
      <c r="K64" s="418"/>
      <c r="L64" s="419" t="str">
        <f t="shared" si="13"/>
        <v>1</v>
      </c>
      <c r="M64" s="418"/>
      <c r="N64" s="419" t="str">
        <f t="shared" si="16"/>
        <v>1</v>
      </c>
      <c r="O64" s="418"/>
      <c r="P64" s="418" t="str">
        <f>$X$62</f>
        <v>1</v>
      </c>
      <c r="Q64" s="418" t="str">
        <f t="shared" ref="Q64:Y64" si="20">$X$62</f>
        <v>1</v>
      </c>
      <c r="R64" s="418" t="str">
        <f t="shared" si="20"/>
        <v>1</v>
      </c>
      <c r="S64" s="418" t="str">
        <f t="shared" si="20"/>
        <v>1</v>
      </c>
      <c r="T64" s="418" t="str">
        <f t="shared" si="20"/>
        <v>1</v>
      </c>
      <c r="U64" s="418" t="str">
        <f t="shared" si="20"/>
        <v>1</v>
      </c>
      <c r="V64" s="418" t="str">
        <f t="shared" si="20"/>
        <v>1</v>
      </c>
      <c r="W64" s="418" t="str">
        <f t="shared" si="20"/>
        <v>1</v>
      </c>
      <c r="X64" s="418" t="str">
        <f t="shared" si="20"/>
        <v>1</v>
      </c>
      <c r="Y64" s="418" t="str">
        <f t="shared" si="20"/>
        <v>1</v>
      </c>
      <c r="Z64" s="397"/>
      <c r="AA64" s="412"/>
      <c r="AB64" s="412"/>
      <c r="AC64" s="415"/>
      <c r="AD64" s="416"/>
      <c r="AE64" s="289"/>
      <c r="AF64" s="395"/>
      <c r="AG64" s="421"/>
      <c r="AH64" s="421"/>
      <c r="AI64" s="413"/>
      <c r="AJ64" s="414"/>
      <c r="AK64" s="418" t="str">
        <f t="shared" ref="AK64:AV79" si="21">$AL$62</f>
        <v/>
      </c>
      <c r="AL64" s="418" t="str">
        <f t="shared" si="21"/>
        <v/>
      </c>
      <c r="AM64" s="418" t="str">
        <f t="shared" si="21"/>
        <v/>
      </c>
      <c r="AN64" s="418" t="str">
        <f t="shared" si="21"/>
        <v/>
      </c>
      <c r="AO64" s="418" t="str">
        <f t="shared" si="21"/>
        <v/>
      </c>
      <c r="AP64" s="418" t="str">
        <f t="shared" si="21"/>
        <v/>
      </c>
      <c r="AQ64" s="418" t="str">
        <f t="shared" si="21"/>
        <v/>
      </c>
      <c r="AR64" s="418" t="str">
        <f t="shared" si="21"/>
        <v/>
      </c>
      <c r="AS64" s="418" t="str">
        <f t="shared" si="21"/>
        <v/>
      </c>
      <c r="AT64" s="418" t="str">
        <f t="shared" si="21"/>
        <v/>
      </c>
      <c r="AU64" s="418" t="str">
        <f t="shared" si="21"/>
        <v/>
      </c>
      <c r="AV64" s="418" t="str">
        <f t="shared" si="21"/>
        <v/>
      </c>
      <c r="AW64" s="409"/>
      <c r="AX64" s="418" t="str">
        <f t="shared" si="17"/>
        <v>1</v>
      </c>
      <c r="AY64" s="409"/>
      <c r="AZ64" s="418" t="str">
        <f t="shared" si="14"/>
        <v>1</v>
      </c>
      <c r="BA64" s="409"/>
      <c r="BB64" s="418" t="str">
        <f t="shared" si="19"/>
        <v>1</v>
      </c>
      <c r="BC64" s="409"/>
      <c r="BD64" s="418" t="str">
        <f t="shared" si="15"/>
        <v>1</v>
      </c>
      <c r="BE64" s="409"/>
      <c r="BF64" s="418" t="str">
        <f t="shared" si="12"/>
        <v>1</v>
      </c>
      <c r="BG64" s="409"/>
      <c r="BH64" s="418" t="str">
        <f t="shared" si="8"/>
        <v>1</v>
      </c>
      <c r="BI64" s="266"/>
      <c r="BJ64" s="265"/>
    </row>
    <row r="65" spans="1:62" ht="14.4" customHeight="1">
      <c r="A65" s="265"/>
      <c r="B65" s="289"/>
      <c r="C65" s="289"/>
      <c r="D65" s="418" t="str">
        <f t="shared" si="2"/>
        <v>1</v>
      </c>
      <c r="E65" s="418"/>
      <c r="F65" s="418" t="str">
        <f t="shared" si="11"/>
        <v>1</v>
      </c>
      <c r="G65" s="418"/>
      <c r="H65" s="419" t="str">
        <f t="shared" si="5"/>
        <v>1</v>
      </c>
      <c r="I65" s="418"/>
      <c r="J65" s="419" t="str">
        <f t="shared" si="18"/>
        <v>1</v>
      </c>
      <c r="K65" s="418"/>
      <c r="L65" s="419" t="str">
        <f t="shared" si="13"/>
        <v>1</v>
      </c>
      <c r="M65" s="418"/>
      <c r="N65" s="419" t="str">
        <f t="shared" si="16"/>
        <v>1</v>
      </c>
      <c r="O65" s="418"/>
      <c r="P65" s="418" t="str">
        <f t="shared" ref="P65:P87" si="22">$X$62</f>
        <v>1</v>
      </c>
      <c r="Q65" s="418"/>
      <c r="R65" s="418"/>
      <c r="S65" s="418"/>
      <c r="T65" s="418"/>
      <c r="U65" s="418"/>
      <c r="V65" s="418"/>
      <c r="W65" s="289"/>
      <c r="X65" s="289"/>
      <c r="Y65" s="289"/>
      <c r="Z65" s="397"/>
      <c r="AA65" s="399" t="str">
        <f>IF(Y61="","",VLOOKUP(Y61,big_tabela,4,0))</f>
        <v/>
      </c>
      <c r="AB65" s="400"/>
      <c r="AC65" s="634" t="str">
        <f>IF(Y61="","","anemostat")</f>
        <v>anemostat</v>
      </c>
      <c r="AD65" s="416" t="str">
        <f>IF(Y61="","","x"&amp;VLOOKUP(Y61,big_tabela,45,0))</f>
        <v>x1</v>
      </c>
      <c r="AE65" s="289"/>
      <c r="AF65" s="395"/>
      <c r="AG65" s="398" t="str">
        <f>IF(AK61="","",VLOOKUP(AK61,big_tabela,4,0))</f>
        <v/>
      </c>
      <c r="AH65" s="417"/>
      <c r="AI65" s="635" t="str">
        <f>IF(AK61="","","anemostat")</f>
        <v/>
      </c>
      <c r="AJ65" s="414" t="str">
        <f>IF(AK61="","","x"&amp;VLOOKUP(AK61,big_tabela,44,0))</f>
        <v/>
      </c>
      <c r="AK65" s="401"/>
      <c r="AL65" s="289"/>
      <c r="AM65" s="289"/>
      <c r="AN65" s="289"/>
      <c r="AO65" s="289"/>
      <c r="AP65" s="409"/>
      <c r="AQ65" s="409"/>
      <c r="AR65" s="409"/>
      <c r="AS65" s="409"/>
      <c r="AT65" s="409"/>
      <c r="AU65" s="409"/>
      <c r="AV65" s="418" t="str">
        <f t="shared" si="21"/>
        <v/>
      </c>
      <c r="AW65" s="409"/>
      <c r="AX65" s="418" t="str">
        <f t="shared" si="17"/>
        <v>1</v>
      </c>
      <c r="AY65" s="409"/>
      <c r="AZ65" s="418" t="str">
        <f t="shared" si="14"/>
        <v>1</v>
      </c>
      <c r="BA65" s="409"/>
      <c r="BB65" s="418" t="str">
        <f t="shared" si="19"/>
        <v>1</v>
      </c>
      <c r="BC65" s="409"/>
      <c r="BD65" s="418" t="str">
        <f t="shared" si="15"/>
        <v>1</v>
      </c>
      <c r="BE65" s="409"/>
      <c r="BF65" s="418" t="str">
        <f t="shared" si="12"/>
        <v>1</v>
      </c>
      <c r="BG65" s="409"/>
      <c r="BH65" s="418" t="str">
        <f t="shared" si="8"/>
        <v>1</v>
      </c>
      <c r="BI65" s="266"/>
      <c r="BJ65" s="265"/>
    </row>
    <row r="66" spans="1:62" ht="6" customHeight="1">
      <c r="A66" s="265"/>
      <c r="B66" s="289"/>
      <c r="C66" s="289"/>
      <c r="D66" s="418" t="str">
        <f t="shared" si="2"/>
        <v>1</v>
      </c>
      <c r="E66" s="418"/>
      <c r="F66" s="418" t="str">
        <f t="shared" si="11"/>
        <v>1</v>
      </c>
      <c r="G66" s="418"/>
      <c r="H66" s="419" t="str">
        <f t="shared" si="5"/>
        <v>1</v>
      </c>
      <c r="I66" s="418"/>
      <c r="J66" s="419" t="str">
        <f t="shared" si="18"/>
        <v>1</v>
      </c>
      <c r="K66" s="418"/>
      <c r="L66" s="419" t="str">
        <f t="shared" si="13"/>
        <v>1</v>
      </c>
      <c r="M66" s="418"/>
      <c r="N66" s="419" t="str">
        <f t="shared" si="16"/>
        <v>1</v>
      </c>
      <c r="O66" s="418"/>
      <c r="P66" s="418" t="str">
        <f t="shared" si="22"/>
        <v>1</v>
      </c>
      <c r="Q66" s="418"/>
      <c r="R66" s="418"/>
      <c r="S66" s="418"/>
      <c r="T66" s="418"/>
      <c r="U66" s="418"/>
      <c r="V66" s="418"/>
      <c r="W66" s="289"/>
      <c r="X66" s="289"/>
      <c r="Y66" s="289"/>
      <c r="Z66" s="397"/>
      <c r="AA66" s="397"/>
      <c r="AB66" s="397"/>
      <c r="AC66" s="397"/>
      <c r="AD66" s="397"/>
      <c r="AE66" s="289"/>
      <c r="AF66" s="395"/>
      <c r="AG66" s="395"/>
      <c r="AH66" s="395"/>
      <c r="AI66" s="395"/>
      <c r="AJ66" s="395"/>
      <c r="AK66" s="289"/>
      <c r="AL66" s="289"/>
      <c r="AM66" s="289"/>
      <c r="AN66" s="289"/>
      <c r="AO66" s="289"/>
      <c r="AP66" s="409"/>
      <c r="AQ66" s="409"/>
      <c r="AR66" s="409"/>
      <c r="AS66" s="409"/>
      <c r="AT66" s="409"/>
      <c r="AU66" s="409"/>
      <c r="AV66" s="418" t="str">
        <f t="shared" si="21"/>
        <v/>
      </c>
      <c r="AW66" s="409"/>
      <c r="AX66" s="418" t="str">
        <f t="shared" si="17"/>
        <v>1</v>
      </c>
      <c r="AY66" s="409"/>
      <c r="AZ66" s="418" t="str">
        <f t="shared" ref="AZ66:AZ87" si="23">$AL$48</f>
        <v>1</v>
      </c>
      <c r="BA66" s="409"/>
      <c r="BB66" s="418" t="str">
        <f t="shared" si="19"/>
        <v>1</v>
      </c>
      <c r="BC66" s="409"/>
      <c r="BD66" s="418" t="str">
        <f t="shared" si="15"/>
        <v>1</v>
      </c>
      <c r="BE66" s="409"/>
      <c r="BF66" s="418" t="str">
        <f t="shared" si="12"/>
        <v>1</v>
      </c>
      <c r="BG66" s="409"/>
      <c r="BH66" s="418" t="str">
        <f t="shared" si="8"/>
        <v>1</v>
      </c>
      <c r="BI66" s="266"/>
      <c r="BJ66" s="265"/>
    </row>
    <row r="67" spans="1:62">
      <c r="A67" s="265"/>
      <c r="B67" s="289"/>
      <c r="C67" s="289"/>
      <c r="D67" s="418" t="str">
        <f t="shared" si="2"/>
        <v>1</v>
      </c>
      <c r="E67" s="418"/>
      <c r="F67" s="418" t="str">
        <f t="shared" si="11"/>
        <v>1</v>
      </c>
      <c r="G67" s="418"/>
      <c r="H67" s="419" t="str">
        <f t="shared" si="5"/>
        <v>1</v>
      </c>
      <c r="I67" s="418"/>
      <c r="J67" s="419" t="str">
        <f t="shared" si="18"/>
        <v>1</v>
      </c>
      <c r="K67" s="418"/>
      <c r="L67" s="419" t="str">
        <f t="shared" si="13"/>
        <v>1</v>
      </c>
      <c r="M67" s="418"/>
      <c r="N67" s="419" t="str">
        <f t="shared" si="16"/>
        <v>1</v>
      </c>
      <c r="O67" s="418"/>
      <c r="P67" s="418" t="str">
        <f t="shared" si="22"/>
        <v>1</v>
      </c>
      <c r="Q67" s="418"/>
      <c r="R67" s="418"/>
      <c r="S67" s="418"/>
      <c r="T67" s="418"/>
      <c r="U67" s="418"/>
      <c r="V67" s="418"/>
      <c r="W67" s="289"/>
      <c r="X67" s="289"/>
      <c r="Y67" s="289"/>
      <c r="Z67" s="289"/>
      <c r="AA67" s="289"/>
      <c r="AB67" s="289"/>
      <c r="AC67" s="289"/>
      <c r="AD67" s="289"/>
      <c r="AE67" s="289"/>
      <c r="AF67" s="289"/>
      <c r="AG67" s="289"/>
      <c r="AH67" s="289"/>
      <c r="AI67" s="289"/>
      <c r="AJ67" s="289"/>
      <c r="AK67" s="289"/>
      <c r="AL67" s="289"/>
      <c r="AM67" s="289"/>
      <c r="AN67" s="289"/>
      <c r="AO67" s="289"/>
      <c r="AP67" s="409"/>
      <c r="AQ67" s="409"/>
      <c r="AR67" s="409"/>
      <c r="AS67" s="409"/>
      <c r="AT67" s="409"/>
      <c r="AU67" s="409"/>
      <c r="AV67" s="418" t="str">
        <f t="shared" si="21"/>
        <v/>
      </c>
      <c r="AW67" s="409"/>
      <c r="AX67" s="418" t="str">
        <f t="shared" si="17"/>
        <v>1</v>
      </c>
      <c r="AY67" s="409"/>
      <c r="AZ67" s="418" t="str">
        <f t="shared" si="23"/>
        <v>1</v>
      </c>
      <c r="BA67" s="409"/>
      <c r="BB67" s="418" t="str">
        <f t="shared" si="19"/>
        <v>1</v>
      </c>
      <c r="BC67" s="409"/>
      <c r="BD67" s="418" t="str">
        <f t="shared" si="15"/>
        <v>1</v>
      </c>
      <c r="BE67" s="409"/>
      <c r="BF67" s="418" t="str">
        <f t="shared" si="12"/>
        <v>1</v>
      </c>
      <c r="BG67" s="409"/>
      <c r="BH67" s="418" t="str">
        <f t="shared" si="8"/>
        <v>1</v>
      </c>
      <c r="BI67" s="266"/>
      <c r="BJ67" s="265"/>
    </row>
    <row r="68" spans="1:62" ht="6" customHeight="1">
      <c r="A68" s="265"/>
      <c r="B68" s="289"/>
      <c r="C68" s="289"/>
      <c r="D68" s="418" t="str">
        <f t="shared" si="2"/>
        <v>1</v>
      </c>
      <c r="E68" s="418"/>
      <c r="F68" s="418" t="str">
        <f t="shared" si="11"/>
        <v>1</v>
      </c>
      <c r="G68" s="418"/>
      <c r="H68" s="419" t="str">
        <f t="shared" si="5"/>
        <v>1</v>
      </c>
      <c r="I68" s="418"/>
      <c r="J68" s="419" t="str">
        <f t="shared" si="18"/>
        <v>1</v>
      </c>
      <c r="K68" s="418"/>
      <c r="L68" s="419" t="str">
        <f t="shared" si="13"/>
        <v>1</v>
      </c>
      <c r="M68" s="418"/>
      <c r="N68" s="419" t="str">
        <f t="shared" si="16"/>
        <v>1</v>
      </c>
      <c r="O68" s="418"/>
      <c r="P68" s="418" t="str">
        <f t="shared" si="22"/>
        <v>1</v>
      </c>
      <c r="Q68" s="418"/>
      <c r="R68" s="418"/>
      <c r="S68" s="418"/>
      <c r="T68" s="418"/>
      <c r="U68" s="418"/>
      <c r="V68" s="418"/>
      <c r="W68" s="289"/>
      <c r="X68" s="289"/>
      <c r="Y68" s="789" t="str">
        <f>IF(Obliczenia!E68="10","",Obliczenia!E68)</f>
        <v>0.10</v>
      </c>
      <c r="Z68" s="397"/>
      <c r="AA68" s="397"/>
      <c r="AB68" s="397"/>
      <c r="AC68" s="397"/>
      <c r="AD68" s="397"/>
      <c r="AE68" s="289"/>
      <c r="AF68" s="395"/>
      <c r="AG68" s="395"/>
      <c r="AH68" s="395"/>
      <c r="AI68" s="395"/>
      <c r="AJ68" s="395"/>
      <c r="AK68" s="789" t="str">
        <f>IF(Obliczenia!E44="10","",Obliczenia!E44)</f>
        <v/>
      </c>
      <c r="AL68" s="289"/>
      <c r="AM68" s="289"/>
      <c r="AN68" s="289"/>
      <c r="AO68" s="289"/>
      <c r="AP68" s="409"/>
      <c r="AQ68" s="409"/>
      <c r="AR68" s="409"/>
      <c r="AS68" s="409"/>
      <c r="AT68" s="409"/>
      <c r="AU68" s="409"/>
      <c r="AV68" s="418" t="str">
        <f t="shared" si="21"/>
        <v/>
      </c>
      <c r="AW68" s="409"/>
      <c r="AX68" s="418" t="str">
        <f t="shared" si="17"/>
        <v>1</v>
      </c>
      <c r="AY68" s="409"/>
      <c r="AZ68" s="418" t="str">
        <f t="shared" si="23"/>
        <v>1</v>
      </c>
      <c r="BA68" s="409"/>
      <c r="BB68" s="418" t="str">
        <f t="shared" si="19"/>
        <v>1</v>
      </c>
      <c r="BC68" s="409"/>
      <c r="BD68" s="418" t="str">
        <f t="shared" si="15"/>
        <v>1</v>
      </c>
      <c r="BE68" s="409"/>
      <c r="BF68" s="418" t="str">
        <f t="shared" si="12"/>
        <v>1</v>
      </c>
      <c r="BG68" s="409"/>
      <c r="BH68" s="418" t="str">
        <f t="shared" si="8"/>
        <v>1</v>
      </c>
      <c r="BI68" s="266"/>
      <c r="BJ68" s="265"/>
    </row>
    <row r="69" spans="1:62" ht="14.4" customHeight="1">
      <c r="A69" s="265"/>
      <c r="B69" s="289"/>
      <c r="C69" s="289"/>
      <c r="D69" s="418" t="str">
        <f t="shared" si="2"/>
        <v>1</v>
      </c>
      <c r="E69" s="418"/>
      <c r="F69" s="418" t="str">
        <f t="shared" si="11"/>
        <v>1</v>
      </c>
      <c r="G69" s="418"/>
      <c r="H69" s="419" t="str">
        <f t="shared" si="5"/>
        <v>1</v>
      </c>
      <c r="I69" s="418"/>
      <c r="J69" s="419" t="str">
        <f t="shared" si="18"/>
        <v>1</v>
      </c>
      <c r="K69" s="418"/>
      <c r="L69" s="419" t="str">
        <f t="shared" si="13"/>
        <v>1</v>
      </c>
      <c r="M69" s="418"/>
      <c r="N69" s="419" t="str">
        <f t="shared" si="16"/>
        <v>1</v>
      </c>
      <c r="O69" s="418"/>
      <c r="P69" s="418" t="str">
        <f t="shared" si="22"/>
        <v>1</v>
      </c>
      <c r="Q69" s="418"/>
      <c r="R69" s="418"/>
      <c r="S69" s="418"/>
      <c r="T69" s="418"/>
      <c r="U69" s="418"/>
      <c r="V69" s="418"/>
      <c r="W69" s="289"/>
      <c r="X69" s="4" t="str">
        <f>IF(Y68&lt;&gt;"","1","")</f>
        <v>1</v>
      </c>
      <c r="Y69" s="789"/>
      <c r="Z69" s="397"/>
      <c r="AA69" s="772" t="str">
        <f>IF(Y68="","",VLOOKUP(Y68,big_tabela,3,0))</f>
        <v>Garderoba</v>
      </c>
      <c r="AB69" s="772"/>
      <c r="AC69" s="773">
        <f>IF(Y68="","",VLOOKUP(Y68,big_tabela,12,0))</f>
        <v>30</v>
      </c>
      <c r="AD69" s="774" t="s">
        <v>373</v>
      </c>
      <c r="AE69" s="289"/>
      <c r="AF69" s="395"/>
      <c r="AG69" s="783" t="str">
        <f>IF(AK68="","",VLOOKUP(AK68,big_tabela,3,0))</f>
        <v/>
      </c>
      <c r="AH69" s="783"/>
      <c r="AI69" s="784" t="str">
        <f>IF(AK68="","",VLOOKUP(AK68,big_tabela,12,0))</f>
        <v/>
      </c>
      <c r="AJ69" s="767" t="s">
        <v>373</v>
      </c>
      <c r="AK69" s="789"/>
      <c r="AL69" s="4" t="str">
        <f>IF(AK68&lt;&gt;"","1","")</f>
        <v/>
      </c>
      <c r="AM69" s="289"/>
      <c r="AN69" s="289"/>
      <c r="AO69" s="289"/>
      <c r="AP69" s="409"/>
      <c r="AQ69" s="409"/>
      <c r="AR69" s="409"/>
      <c r="AS69" s="409"/>
      <c r="AT69" s="409"/>
      <c r="AU69" s="409"/>
      <c r="AV69" s="418" t="str">
        <f t="shared" si="21"/>
        <v/>
      </c>
      <c r="AW69" s="409"/>
      <c r="AX69" s="418" t="str">
        <f t="shared" si="17"/>
        <v>1</v>
      </c>
      <c r="AY69" s="409"/>
      <c r="AZ69" s="418" t="str">
        <f t="shared" si="23"/>
        <v>1</v>
      </c>
      <c r="BA69" s="409"/>
      <c r="BB69" s="418" t="str">
        <f t="shared" si="19"/>
        <v>1</v>
      </c>
      <c r="BC69" s="409"/>
      <c r="BD69" s="418" t="str">
        <f t="shared" si="15"/>
        <v>1</v>
      </c>
      <c r="BE69" s="409"/>
      <c r="BF69" s="418" t="str">
        <f t="shared" si="12"/>
        <v>1</v>
      </c>
      <c r="BG69" s="409"/>
      <c r="BH69" s="418" t="str">
        <f t="shared" si="8"/>
        <v>1</v>
      </c>
      <c r="BI69" s="266"/>
      <c r="BJ69" s="265"/>
    </row>
    <row r="70" spans="1:62" ht="14.4" customHeight="1">
      <c r="A70" s="265"/>
      <c r="B70" s="289"/>
      <c r="C70" s="289"/>
      <c r="D70" s="418" t="str">
        <f t="shared" si="2"/>
        <v>1</v>
      </c>
      <c r="E70" s="418"/>
      <c r="F70" s="418" t="str">
        <f t="shared" si="11"/>
        <v>1</v>
      </c>
      <c r="G70" s="418"/>
      <c r="H70" s="419" t="str">
        <f t="shared" si="5"/>
        <v>1</v>
      </c>
      <c r="I70" s="418"/>
      <c r="J70" s="419" t="str">
        <f t="shared" si="18"/>
        <v>1</v>
      </c>
      <c r="K70" s="418"/>
      <c r="L70" s="419" t="str">
        <f t="shared" si="13"/>
        <v>1</v>
      </c>
      <c r="M70" s="418"/>
      <c r="N70" s="419" t="str">
        <f t="shared" si="16"/>
        <v>1</v>
      </c>
      <c r="O70" s="418"/>
      <c r="P70" s="418" t="str">
        <f t="shared" si="22"/>
        <v>1</v>
      </c>
      <c r="Q70" s="418"/>
      <c r="R70" s="418"/>
      <c r="S70" s="418"/>
      <c r="T70" s="418"/>
      <c r="U70" s="418"/>
      <c r="V70" s="418"/>
      <c r="W70" s="494" t="str">
        <f>IF(Y68="","","Φ75")</f>
        <v>Φ75</v>
      </c>
      <c r="X70" s="495" t="str">
        <f>IF(Y68="","","x"&amp;VLOOKUP(Y68,big_tabela,42,0))</f>
        <v>x1</v>
      </c>
      <c r="Y70" s="403" t="str">
        <f>IF(Y68="","","◄")</f>
        <v>◄</v>
      </c>
      <c r="Z70" s="397"/>
      <c r="AA70" s="772"/>
      <c r="AB70" s="772"/>
      <c r="AC70" s="773"/>
      <c r="AD70" s="774"/>
      <c r="AE70" s="289"/>
      <c r="AF70" s="395"/>
      <c r="AG70" s="783"/>
      <c r="AH70" s="783"/>
      <c r="AI70" s="784"/>
      <c r="AJ70" s="767"/>
      <c r="AK70" s="402" t="str">
        <f>IF(AK68="","","◄")</f>
        <v/>
      </c>
      <c r="AL70" s="494" t="str">
        <f>IF(AK68="","","Φ75")</f>
        <v/>
      </c>
      <c r="AM70" s="495" t="str">
        <f>IF(AK68="","","x"&amp;VLOOKUP(AK68,big_tabela,41,0))</f>
        <v/>
      </c>
      <c r="AN70" s="289"/>
      <c r="AO70" s="289"/>
      <c r="AP70" s="409"/>
      <c r="AQ70" s="409"/>
      <c r="AR70" s="409"/>
      <c r="AS70" s="409"/>
      <c r="AT70" s="409"/>
      <c r="AU70" s="409"/>
      <c r="AV70" s="418" t="str">
        <f t="shared" si="21"/>
        <v/>
      </c>
      <c r="AW70" s="409"/>
      <c r="AX70" s="418" t="str">
        <f t="shared" si="17"/>
        <v>1</v>
      </c>
      <c r="AY70" s="409"/>
      <c r="AZ70" s="418" t="str">
        <f t="shared" si="23"/>
        <v>1</v>
      </c>
      <c r="BA70" s="409"/>
      <c r="BB70" s="418" t="str">
        <f t="shared" si="19"/>
        <v>1</v>
      </c>
      <c r="BC70" s="409"/>
      <c r="BD70" s="418" t="str">
        <f t="shared" si="15"/>
        <v>1</v>
      </c>
      <c r="BE70" s="409"/>
      <c r="BF70" s="418" t="str">
        <f t="shared" si="12"/>
        <v>1</v>
      </c>
      <c r="BG70" s="409"/>
      <c r="BH70" s="418" t="str">
        <f t="shared" si="8"/>
        <v>1</v>
      </c>
      <c r="BI70" s="266"/>
      <c r="BJ70" s="265"/>
    </row>
    <row r="71" spans="1:62" ht="3" customHeight="1">
      <c r="A71" s="265"/>
      <c r="B71" s="289"/>
      <c r="C71" s="404"/>
      <c r="D71" s="418" t="str">
        <f t="shared" si="2"/>
        <v>1</v>
      </c>
      <c r="E71" s="418"/>
      <c r="F71" s="418" t="str">
        <f t="shared" si="11"/>
        <v>1</v>
      </c>
      <c r="G71" s="418"/>
      <c r="H71" s="419" t="str">
        <f t="shared" si="5"/>
        <v>1</v>
      </c>
      <c r="I71" s="418"/>
      <c r="J71" s="419" t="str">
        <f t="shared" si="18"/>
        <v>1</v>
      </c>
      <c r="K71" s="418"/>
      <c r="L71" s="419" t="str">
        <f t="shared" si="13"/>
        <v>1</v>
      </c>
      <c r="M71" s="418"/>
      <c r="N71" s="419" t="str">
        <f t="shared" si="16"/>
        <v>1</v>
      </c>
      <c r="O71" s="418"/>
      <c r="P71" s="418" t="str">
        <f t="shared" si="22"/>
        <v>1</v>
      </c>
      <c r="Q71" s="418"/>
      <c r="R71" s="418" t="str">
        <f t="shared" ref="R71:X87" si="24">$X$69</f>
        <v>1</v>
      </c>
      <c r="S71" s="418" t="str">
        <f t="shared" si="24"/>
        <v>1</v>
      </c>
      <c r="T71" s="418" t="str">
        <f t="shared" si="24"/>
        <v>1</v>
      </c>
      <c r="U71" s="418" t="str">
        <f t="shared" si="24"/>
        <v>1</v>
      </c>
      <c r="V71" s="418" t="str">
        <f t="shared" si="24"/>
        <v>1</v>
      </c>
      <c r="W71" s="418" t="str">
        <f t="shared" si="24"/>
        <v>1</v>
      </c>
      <c r="X71" s="418" t="str">
        <f t="shared" si="24"/>
        <v>1</v>
      </c>
      <c r="Y71" s="418" t="str">
        <f>$X$69</f>
        <v>1</v>
      </c>
      <c r="Z71" s="397"/>
      <c r="AA71" s="412"/>
      <c r="AB71" s="412"/>
      <c r="AC71" s="415"/>
      <c r="AD71" s="416"/>
      <c r="AE71" s="289"/>
      <c r="AF71" s="395"/>
      <c r="AG71" s="421"/>
      <c r="AH71" s="421"/>
      <c r="AI71" s="413"/>
      <c r="AJ71" s="414"/>
      <c r="AK71" s="418" t="str">
        <f t="shared" ref="AK71:AT86" si="25">$AL$69</f>
        <v/>
      </c>
      <c r="AL71" s="418" t="str">
        <f t="shared" si="25"/>
        <v/>
      </c>
      <c r="AM71" s="418" t="str">
        <f t="shared" si="25"/>
        <v/>
      </c>
      <c r="AN71" s="418" t="str">
        <f t="shared" si="25"/>
        <v/>
      </c>
      <c r="AO71" s="418" t="str">
        <f t="shared" si="25"/>
        <v/>
      </c>
      <c r="AP71" s="418" t="str">
        <f t="shared" si="25"/>
        <v/>
      </c>
      <c r="AQ71" s="418" t="str">
        <f t="shared" si="25"/>
        <v/>
      </c>
      <c r="AR71" s="418" t="str">
        <f t="shared" si="25"/>
        <v/>
      </c>
      <c r="AS71" s="418" t="str">
        <f t="shared" si="25"/>
        <v/>
      </c>
      <c r="AT71" s="418" t="str">
        <f t="shared" si="25"/>
        <v/>
      </c>
      <c r="AU71" s="409"/>
      <c r="AV71" s="418" t="str">
        <f t="shared" si="21"/>
        <v/>
      </c>
      <c r="AW71" s="409"/>
      <c r="AX71" s="418" t="str">
        <f t="shared" si="17"/>
        <v>1</v>
      </c>
      <c r="AY71" s="409"/>
      <c r="AZ71" s="418" t="str">
        <f t="shared" si="23"/>
        <v>1</v>
      </c>
      <c r="BA71" s="409"/>
      <c r="BB71" s="418" t="str">
        <f t="shared" si="19"/>
        <v>1</v>
      </c>
      <c r="BC71" s="409"/>
      <c r="BD71" s="418" t="str">
        <f t="shared" si="15"/>
        <v>1</v>
      </c>
      <c r="BE71" s="409"/>
      <c r="BF71" s="418" t="str">
        <f t="shared" si="12"/>
        <v>1</v>
      </c>
      <c r="BG71" s="409"/>
      <c r="BH71" s="418" t="str">
        <f t="shared" si="8"/>
        <v>1</v>
      </c>
      <c r="BI71" s="266"/>
      <c r="BJ71" s="265"/>
    </row>
    <row r="72" spans="1:62" ht="14.4" customHeight="1">
      <c r="A72" s="265"/>
      <c r="B72" s="289"/>
      <c r="C72" s="289"/>
      <c r="D72" s="418" t="str">
        <f t="shared" si="2"/>
        <v>1</v>
      </c>
      <c r="E72" s="418"/>
      <c r="F72" s="418" t="str">
        <f t="shared" si="11"/>
        <v>1</v>
      </c>
      <c r="G72" s="418"/>
      <c r="H72" s="419" t="str">
        <f t="shared" si="5"/>
        <v>1</v>
      </c>
      <c r="I72" s="418"/>
      <c r="J72" s="419" t="str">
        <f t="shared" si="18"/>
        <v>1</v>
      </c>
      <c r="K72" s="418"/>
      <c r="L72" s="419" t="str">
        <f t="shared" si="13"/>
        <v>1</v>
      </c>
      <c r="M72" s="418"/>
      <c r="N72" s="419" t="str">
        <f t="shared" si="16"/>
        <v>1</v>
      </c>
      <c r="O72" s="418"/>
      <c r="P72" s="418" t="str">
        <f t="shared" si="22"/>
        <v>1</v>
      </c>
      <c r="Q72" s="418"/>
      <c r="R72" s="418" t="str">
        <f t="shared" si="24"/>
        <v>1</v>
      </c>
      <c r="S72" s="418"/>
      <c r="T72" s="418"/>
      <c r="U72" s="418"/>
      <c r="V72" s="418"/>
      <c r="W72" s="289"/>
      <c r="X72" s="289"/>
      <c r="Y72" s="289"/>
      <c r="Z72" s="397"/>
      <c r="AA72" s="399" t="str">
        <f>IF(Y68="","",VLOOKUP(Y68,big_tabela,4,0))</f>
        <v/>
      </c>
      <c r="AB72" s="400"/>
      <c r="AC72" s="634" t="str">
        <f>IF(Y68="","","anemostat")</f>
        <v>anemostat</v>
      </c>
      <c r="AD72" s="416" t="str">
        <f>IF(Y68="","","x"&amp;VLOOKUP(Y68,big_tabela,45,0))</f>
        <v>x1</v>
      </c>
      <c r="AE72" s="289"/>
      <c r="AF72" s="395"/>
      <c r="AG72" s="398" t="str">
        <f>IF(AK68="","",VLOOKUP(AK68,big_tabela,4,0))</f>
        <v/>
      </c>
      <c r="AH72" s="417"/>
      <c r="AI72" s="635" t="str">
        <f>IF(AK68="","","anemostat")</f>
        <v/>
      </c>
      <c r="AJ72" s="414" t="str">
        <f>IF(AK68="","","x"&amp;VLOOKUP(AK68,big_tabela,44,0))</f>
        <v/>
      </c>
      <c r="AK72" s="401"/>
      <c r="AL72" s="289"/>
      <c r="AM72" s="289"/>
      <c r="AN72" s="289"/>
      <c r="AO72" s="289"/>
      <c r="AP72" s="409"/>
      <c r="AQ72" s="409"/>
      <c r="AR72" s="409"/>
      <c r="AS72" s="409"/>
      <c r="AT72" s="418" t="str">
        <f t="shared" si="25"/>
        <v/>
      </c>
      <c r="AU72" s="409"/>
      <c r="AV72" s="418" t="str">
        <f t="shared" si="21"/>
        <v/>
      </c>
      <c r="AW72" s="409"/>
      <c r="AX72" s="418" t="str">
        <f t="shared" si="17"/>
        <v>1</v>
      </c>
      <c r="AY72" s="409"/>
      <c r="AZ72" s="418" t="str">
        <f t="shared" si="23"/>
        <v>1</v>
      </c>
      <c r="BA72" s="409"/>
      <c r="BB72" s="418" t="str">
        <f t="shared" si="19"/>
        <v>1</v>
      </c>
      <c r="BC72" s="409"/>
      <c r="BD72" s="418" t="str">
        <f t="shared" si="15"/>
        <v>1</v>
      </c>
      <c r="BE72" s="409"/>
      <c r="BF72" s="418" t="str">
        <f t="shared" si="12"/>
        <v>1</v>
      </c>
      <c r="BG72" s="409"/>
      <c r="BH72" s="418" t="str">
        <f t="shared" si="8"/>
        <v>1</v>
      </c>
      <c r="BI72" s="266"/>
      <c r="BJ72" s="265"/>
    </row>
    <row r="73" spans="1:62" ht="6" customHeight="1">
      <c r="A73" s="265"/>
      <c r="B73" s="289"/>
      <c r="C73" s="289"/>
      <c r="D73" s="418" t="str">
        <f t="shared" si="2"/>
        <v>1</v>
      </c>
      <c r="E73" s="418"/>
      <c r="F73" s="418" t="str">
        <f t="shared" si="11"/>
        <v>1</v>
      </c>
      <c r="G73" s="418"/>
      <c r="H73" s="419" t="str">
        <f t="shared" si="5"/>
        <v>1</v>
      </c>
      <c r="I73" s="418"/>
      <c r="J73" s="419" t="str">
        <f t="shared" si="18"/>
        <v>1</v>
      </c>
      <c r="K73" s="418"/>
      <c r="L73" s="419" t="str">
        <f t="shared" si="13"/>
        <v>1</v>
      </c>
      <c r="M73" s="418"/>
      <c r="N73" s="419" t="str">
        <f t="shared" si="16"/>
        <v>1</v>
      </c>
      <c r="O73" s="418"/>
      <c r="P73" s="418" t="str">
        <f t="shared" si="22"/>
        <v>1</v>
      </c>
      <c r="Q73" s="418"/>
      <c r="R73" s="418" t="str">
        <f t="shared" si="24"/>
        <v>1</v>
      </c>
      <c r="S73" s="418"/>
      <c r="T73" s="418"/>
      <c r="U73" s="418"/>
      <c r="V73" s="418"/>
      <c r="W73" s="289"/>
      <c r="X73" s="289"/>
      <c r="Y73" s="289"/>
      <c r="Z73" s="397"/>
      <c r="AA73" s="397"/>
      <c r="AB73" s="397"/>
      <c r="AC73" s="397"/>
      <c r="AD73" s="397"/>
      <c r="AE73" s="289"/>
      <c r="AF73" s="395"/>
      <c r="AG73" s="395"/>
      <c r="AH73" s="395"/>
      <c r="AI73" s="395"/>
      <c r="AJ73" s="395"/>
      <c r="AK73" s="289"/>
      <c r="AL73" s="289"/>
      <c r="AM73" s="289"/>
      <c r="AN73" s="289"/>
      <c r="AO73" s="289"/>
      <c r="AP73" s="409"/>
      <c r="AQ73" s="409"/>
      <c r="AR73" s="409"/>
      <c r="AS73" s="409"/>
      <c r="AT73" s="418" t="str">
        <f t="shared" si="25"/>
        <v/>
      </c>
      <c r="AU73" s="409"/>
      <c r="AV73" s="418" t="str">
        <f t="shared" si="21"/>
        <v/>
      </c>
      <c r="AW73" s="409"/>
      <c r="AX73" s="418" t="str">
        <f t="shared" ref="AX73:AX87" si="26">$AL$55</f>
        <v>1</v>
      </c>
      <c r="AY73" s="409"/>
      <c r="AZ73" s="418" t="str">
        <f t="shared" si="23"/>
        <v>1</v>
      </c>
      <c r="BA73" s="409"/>
      <c r="BB73" s="418" t="str">
        <f t="shared" si="19"/>
        <v>1</v>
      </c>
      <c r="BC73" s="409"/>
      <c r="BD73" s="418" t="str">
        <f t="shared" si="15"/>
        <v>1</v>
      </c>
      <c r="BE73" s="409"/>
      <c r="BF73" s="418" t="str">
        <f t="shared" si="12"/>
        <v>1</v>
      </c>
      <c r="BG73" s="409"/>
      <c r="BH73" s="418" t="str">
        <f t="shared" si="8"/>
        <v>1</v>
      </c>
      <c r="BI73" s="266"/>
      <c r="BJ73" s="265"/>
    </row>
    <row r="74" spans="1:62">
      <c r="A74" s="265"/>
      <c r="B74" s="289"/>
      <c r="C74" s="289"/>
      <c r="D74" s="418" t="str">
        <f t="shared" si="2"/>
        <v>1</v>
      </c>
      <c r="E74" s="418"/>
      <c r="F74" s="418" t="str">
        <f t="shared" si="11"/>
        <v>1</v>
      </c>
      <c r="G74" s="418"/>
      <c r="H74" s="419" t="str">
        <f t="shared" si="5"/>
        <v>1</v>
      </c>
      <c r="I74" s="418"/>
      <c r="J74" s="419" t="str">
        <f t="shared" si="18"/>
        <v>1</v>
      </c>
      <c r="K74" s="418"/>
      <c r="L74" s="419" t="str">
        <f t="shared" si="13"/>
        <v>1</v>
      </c>
      <c r="M74" s="418"/>
      <c r="N74" s="419" t="str">
        <f t="shared" si="16"/>
        <v>1</v>
      </c>
      <c r="O74" s="418"/>
      <c r="P74" s="418" t="str">
        <f t="shared" si="22"/>
        <v>1</v>
      </c>
      <c r="Q74" s="418"/>
      <c r="R74" s="418" t="str">
        <f t="shared" si="24"/>
        <v>1</v>
      </c>
      <c r="S74" s="418"/>
      <c r="T74" s="418"/>
      <c r="U74" s="418"/>
      <c r="V74" s="418"/>
      <c r="W74" s="289"/>
      <c r="X74" s="289"/>
      <c r="Y74" s="289"/>
      <c r="Z74" s="289"/>
      <c r="AA74" s="289"/>
      <c r="AB74" s="289"/>
      <c r="AC74" s="289"/>
      <c r="AD74" s="289"/>
      <c r="AE74" s="289"/>
      <c r="AF74" s="289"/>
      <c r="AG74" s="289"/>
      <c r="AH74" s="289"/>
      <c r="AI74" s="289"/>
      <c r="AJ74" s="289"/>
      <c r="AK74" s="289"/>
      <c r="AL74" s="289"/>
      <c r="AM74" s="289"/>
      <c r="AN74" s="289"/>
      <c r="AO74" s="289"/>
      <c r="AP74" s="409"/>
      <c r="AQ74" s="409"/>
      <c r="AR74" s="409"/>
      <c r="AS74" s="409"/>
      <c r="AT74" s="418" t="str">
        <f t="shared" si="25"/>
        <v/>
      </c>
      <c r="AU74" s="409"/>
      <c r="AV74" s="418" t="str">
        <f t="shared" si="21"/>
        <v/>
      </c>
      <c r="AW74" s="409"/>
      <c r="AX74" s="418" t="str">
        <f t="shared" si="26"/>
        <v>1</v>
      </c>
      <c r="AY74" s="409"/>
      <c r="AZ74" s="418" t="str">
        <f t="shared" si="23"/>
        <v>1</v>
      </c>
      <c r="BA74" s="409"/>
      <c r="BB74" s="418" t="str">
        <f t="shared" si="19"/>
        <v>1</v>
      </c>
      <c r="BC74" s="409"/>
      <c r="BD74" s="418" t="str">
        <f t="shared" si="15"/>
        <v>1</v>
      </c>
      <c r="BE74" s="409"/>
      <c r="BF74" s="418" t="str">
        <f t="shared" si="12"/>
        <v>1</v>
      </c>
      <c r="BG74" s="409"/>
      <c r="BH74" s="418" t="str">
        <f t="shared" si="8"/>
        <v>1</v>
      </c>
      <c r="BI74" s="266"/>
      <c r="BJ74" s="265"/>
    </row>
    <row r="75" spans="1:62" ht="6" customHeight="1">
      <c r="A75" s="265"/>
      <c r="B75" s="289"/>
      <c r="C75" s="289"/>
      <c r="D75" s="418" t="str">
        <f t="shared" si="2"/>
        <v>1</v>
      </c>
      <c r="E75" s="418"/>
      <c r="F75" s="418" t="str">
        <f t="shared" si="11"/>
        <v>1</v>
      </c>
      <c r="G75" s="418"/>
      <c r="H75" s="419" t="str">
        <f t="shared" si="5"/>
        <v>1</v>
      </c>
      <c r="I75" s="418"/>
      <c r="J75" s="419" t="str">
        <f t="shared" si="18"/>
        <v>1</v>
      </c>
      <c r="K75" s="418"/>
      <c r="L75" s="419" t="str">
        <f t="shared" si="13"/>
        <v>1</v>
      </c>
      <c r="M75" s="418"/>
      <c r="N75" s="419" t="str">
        <f t="shared" si="16"/>
        <v>1</v>
      </c>
      <c r="O75" s="418"/>
      <c r="P75" s="418" t="str">
        <f t="shared" si="22"/>
        <v>1</v>
      </c>
      <c r="Q75" s="418"/>
      <c r="R75" s="418" t="str">
        <f t="shared" si="24"/>
        <v>1</v>
      </c>
      <c r="S75" s="418"/>
      <c r="T75" s="418"/>
      <c r="U75" s="418"/>
      <c r="V75" s="418"/>
      <c r="W75" s="289"/>
      <c r="X75" s="289"/>
      <c r="Y75" s="789" t="str">
        <f>IF(Obliczenia!E69="10","",Obliczenia!E69)</f>
        <v/>
      </c>
      <c r="Z75" s="397"/>
      <c r="AA75" s="397"/>
      <c r="AB75" s="397"/>
      <c r="AC75" s="397"/>
      <c r="AD75" s="397"/>
      <c r="AE75" s="289"/>
      <c r="AF75" s="395"/>
      <c r="AG75" s="395"/>
      <c r="AH75" s="395"/>
      <c r="AI75" s="395"/>
      <c r="AJ75" s="395"/>
      <c r="AK75" s="789" t="str">
        <f>IF(Obliczenia!E45="10","",Obliczenia!E45)</f>
        <v/>
      </c>
      <c r="AL75" s="289"/>
      <c r="AM75" s="289"/>
      <c r="AN75" s="289"/>
      <c r="AO75" s="289"/>
      <c r="AP75" s="409"/>
      <c r="AQ75" s="409"/>
      <c r="AR75" s="409"/>
      <c r="AS75" s="409"/>
      <c r="AT75" s="418" t="str">
        <f t="shared" si="25"/>
        <v/>
      </c>
      <c r="AU75" s="409"/>
      <c r="AV75" s="418" t="str">
        <f t="shared" si="21"/>
        <v/>
      </c>
      <c r="AW75" s="409"/>
      <c r="AX75" s="418" t="str">
        <f t="shared" si="26"/>
        <v>1</v>
      </c>
      <c r="AY75" s="409"/>
      <c r="AZ75" s="418" t="str">
        <f t="shared" si="23"/>
        <v>1</v>
      </c>
      <c r="BA75" s="409"/>
      <c r="BB75" s="418" t="str">
        <f t="shared" si="19"/>
        <v>1</v>
      </c>
      <c r="BC75" s="409"/>
      <c r="BD75" s="418" t="str">
        <f t="shared" si="15"/>
        <v>1</v>
      </c>
      <c r="BE75" s="409"/>
      <c r="BF75" s="418" t="str">
        <f t="shared" si="12"/>
        <v>1</v>
      </c>
      <c r="BG75" s="409"/>
      <c r="BH75" s="418" t="str">
        <f t="shared" si="8"/>
        <v>1</v>
      </c>
      <c r="BI75" s="266"/>
      <c r="BJ75" s="265"/>
    </row>
    <row r="76" spans="1:62" ht="14.4" customHeight="1">
      <c r="A76" s="265"/>
      <c r="B76" s="289"/>
      <c r="C76" s="289"/>
      <c r="D76" s="418" t="str">
        <f t="shared" si="2"/>
        <v>1</v>
      </c>
      <c r="E76" s="418"/>
      <c r="F76" s="418" t="str">
        <f t="shared" si="11"/>
        <v>1</v>
      </c>
      <c r="G76" s="418"/>
      <c r="H76" s="419" t="str">
        <f t="shared" si="5"/>
        <v>1</v>
      </c>
      <c r="I76" s="418"/>
      <c r="J76" s="419" t="str">
        <f t="shared" si="18"/>
        <v>1</v>
      </c>
      <c r="K76" s="418"/>
      <c r="L76" s="419" t="str">
        <f t="shared" si="13"/>
        <v>1</v>
      </c>
      <c r="M76" s="418"/>
      <c r="N76" s="419" t="str">
        <f t="shared" si="16"/>
        <v>1</v>
      </c>
      <c r="O76" s="418"/>
      <c r="P76" s="418" t="str">
        <f t="shared" si="22"/>
        <v>1</v>
      </c>
      <c r="Q76" s="418"/>
      <c r="R76" s="418" t="str">
        <f t="shared" si="24"/>
        <v>1</v>
      </c>
      <c r="S76" s="418"/>
      <c r="T76" s="418"/>
      <c r="U76" s="418"/>
      <c r="V76" s="418"/>
      <c r="W76" s="289"/>
      <c r="X76" s="4" t="str">
        <f>IF(Y75&lt;&gt;"","1","")</f>
        <v/>
      </c>
      <c r="Y76" s="789"/>
      <c r="Z76" s="397"/>
      <c r="AA76" s="772" t="str">
        <f>IF(Y75="","",VLOOKUP(Y75,big_tabela,3,0))</f>
        <v/>
      </c>
      <c r="AB76" s="772"/>
      <c r="AC76" s="773" t="str">
        <f>IF(Y75="","",VLOOKUP(Y75,big_tabela,12,0))</f>
        <v/>
      </c>
      <c r="AD76" s="774" t="s">
        <v>373</v>
      </c>
      <c r="AE76" s="289"/>
      <c r="AF76" s="395"/>
      <c r="AG76" s="783" t="str">
        <f>IF(AK75="","",VLOOKUP(AK75,big_tabela,3,0))</f>
        <v/>
      </c>
      <c r="AH76" s="783"/>
      <c r="AI76" s="784" t="str">
        <f>IF(AK75="","",VLOOKUP(AK75,big_tabela,12,0))</f>
        <v/>
      </c>
      <c r="AJ76" s="767" t="s">
        <v>373</v>
      </c>
      <c r="AK76" s="789"/>
      <c r="AL76" s="4" t="str">
        <f>IF(AK75&lt;&gt;"","1","")</f>
        <v/>
      </c>
      <c r="AM76" s="289"/>
      <c r="AN76" s="289"/>
      <c r="AO76" s="289"/>
      <c r="AP76" s="409"/>
      <c r="AQ76" s="409"/>
      <c r="AR76" s="409"/>
      <c r="AS76" s="409"/>
      <c r="AT76" s="418" t="str">
        <f t="shared" si="25"/>
        <v/>
      </c>
      <c r="AU76" s="409"/>
      <c r="AV76" s="418" t="str">
        <f t="shared" si="21"/>
        <v/>
      </c>
      <c r="AW76" s="409"/>
      <c r="AX76" s="418" t="str">
        <f t="shared" si="26"/>
        <v>1</v>
      </c>
      <c r="AY76" s="409"/>
      <c r="AZ76" s="418" t="str">
        <f t="shared" si="23"/>
        <v>1</v>
      </c>
      <c r="BA76" s="409"/>
      <c r="BB76" s="418" t="str">
        <f t="shared" si="19"/>
        <v>1</v>
      </c>
      <c r="BC76" s="409"/>
      <c r="BD76" s="418" t="str">
        <f t="shared" si="15"/>
        <v>1</v>
      </c>
      <c r="BE76" s="409"/>
      <c r="BF76" s="418" t="str">
        <f t="shared" si="12"/>
        <v>1</v>
      </c>
      <c r="BG76" s="409"/>
      <c r="BH76" s="418" t="str">
        <f t="shared" si="8"/>
        <v>1</v>
      </c>
      <c r="BI76" s="266"/>
      <c r="BJ76" s="265"/>
    </row>
    <row r="77" spans="1:62" ht="14.4" customHeight="1">
      <c r="A77" s="265"/>
      <c r="B77" s="289"/>
      <c r="C77" s="289"/>
      <c r="D77" s="418" t="str">
        <f t="shared" si="2"/>
        <v>1</v>
      </c>
      <c r="E77" s="418"/>
      <c r="F77" s="418" t="str">
        <f t="shared" si="11"/>
        <v>1</v>
      </c>
      <c r="G77" s="418"/>
      <c r="H77" s="419" t="str">
        <f t="shared" si="5"/>
        <v>1</v>
      </c>
      <c r="I77" s="418"/>
      <c r="J77" s="419" t="str">
        <f t="shared" si="18"/>
        <v>1</v>
      </c>
      <c r="K77" s="418"/>
      <c r="L77" s="419" t="str">
        <f t="shared" si="13"/>
        <v>1</v>
      </c>
      <c r="M77" s="418"/>
      <c r="N77" s="419" t="str">
        <f t="shared" si="16"/>
        <v>1</v>
      </c>
      <c r="O77" s="418"/>
      <c r="P77" s="418" t="str">
        <f t="shared" si="22"/>
        <v>1</v>
      </c>
      <c r="Q77" s="418"/>
      <c r="R77" s="418" t="str">
        <f t="shared" si="24"/>
        <v>1</v>
      </c>
      <c r="S77" s="418"/>
      <c r="T77" s="418"/>
      <c r="U77" s="418"/>
      <c r="V77" s="418"/>
      <c r="W77" s="494" t="str">
        <f>IF(Y75="","","Φ75")</f>
        <v/>
      </c>
      <c r="X77" s="495" t="str">
        <f>IF(Y75="","","x"&amp;VLOOKUP(Y75,big_tabela,42,0))</f>
        <v/>
      </c>
      <c r="Y77" s="403" t="str">
        <f>IF(Y75="","","◄")</f>
        <v/>
      </c>
      <c r="Z77" s="397"/>
      <c r="AA77" s="772"/>
      <c r="AB77" s="772"/>
      <c r="AC77" s="773"/>
      <c r="AD77" s="774"/>
      <c r="AE77" s="289"/>
      <c r="AF77" s="395"/>
      <c r="AG77" s="783"/>
      <c r="AH77" s="783"/>
      <c r="AI77" s="784"/>
      <c r="AJ77" s="767"/>
      <c r="AK77" s="402" t="str">
        <f>IF(AK75="","","◄")</f>
        <v/>
      </c>
      <c r="AL77" s="494" t="str">
        <f>IF(AK75="","","Φ75")</f>
        <v/>
      </c>
      <c r="AM77" s="495" t="str">
        <f>IF(AK75="","","x"&amp;VLOOKUP(AK75,big_tabela,41,0))</f>
        <v/>
      </c>
      <c r="AN77" s="289"/>
      <c r="AO77" s="289"/>
      <c r="AP77" s="409"/>
      <c r="AQ77" s="409"/>
      <c r="AR77" s="409"/>
      <c r="AS77" s="409"/>
      <c r="AT77" s="418" t="str">
        <f t="shared" si="25"/>
        <v/>
      </c>
      <c r="AU77" s="409"/>
      <c r="AV77" s="418" t="str">
        <f t="shared" si="21"/>
        <v/>
      </c>
      <c r="AW77" s="409"/>
      <c r="AX77" s="418" t="str">
        <f t="shared" si="26"/>
        <v>1</v>
      </c>
      <c r="AY77" s="409"/>
      <c r="AZ77" s="418" t="str">
        <f t="shared" si="23"/>
        <v>1</v>
      </c>
      <c r="BA77" s="409"/>
      <c r="BB77" s="418" t="str">
        <f t="shared" si="19"/>
        <v>1</v>
      </c>
      <c r="BC77" s="409"/>
      <c r="BD77" s="418" t="str">
        <f t="shared" si="15"/>
        <v>1</v>
      </c>
      <c r="BE77" s="409"/>
      <c r="BF77" s="418" t="str">
        <f t="shared" si="12"/>
        <v>1</v>
      </c>
      <c r="BG77" s="409"/>
      <c r="BH77" s="418" t="str">
        <f t="shared" si="8"/>
        <v>1</v>
      </c>
      <c r="BI77" s="266"/>
      <c r="BJ77" s="265"/>
    </row>
    <row r="78" spans="1:62" ht="3" customHeight="1">
      <c r="A78" s="265"/>
      <c r="B78" s="289"/>
      <c r="C78" s="404"/>
      <c r="D78" s="418" t="str">
        <f t="shared" si="2"/>
        <v>1</v>
      </c>
      <c r="E78" s="418"/>
      <c r="F78" s="418" t="str">
        <f t="shared" si="11"/>
        <v>1</v>
      </c>
      <c r="G78" s="418"/>
      <c r="H78" s="419" t="str">
        <f t="shared" si="5"/>
        <v>1</v>
      </c>
      <c r="I78" s="418"/>
      <c r="J78" s="419" t="str">
        <f t="shared" si="18"/>
        <v>1</v>
      </c>
      <c r="K78" s="418"/>
      <c r="L78" s="419" t="str">
        <f t="shared" si="13"/>
        <v>1</v>
      </c>
      <c r="M78" s="418"/>
      <c r="N78" s="419" t="str">
        <f t="shared" si="16"/>
        <v>1</v>
      </c>
      <c r="O78" s="418"/>
      <c r="P78" s="418" t="str">
        <f t="shared" si="22"/>
        <v>1</v>
      </c>
      <c r="Q78" s="418"/>
      <c r="R78" s="418" t="str">
        <f t="shared" si="24"/>
        <v>1</v>
      </c>
      <c r="S78" s="418"/>
      <c r="T78" s="418" t="str">
        <f t="shared" ref="T78:X87" si="27">$X$76</f>
        <v/>
      </c>
      <c r="U78" s="418" t="str">
        <f t="shared" si="27"/>
        <v/>
      </c>
      <c r="V78" s="418" t="str">
        <f t="shared" si="27"/>
        <v/>
      </c>
      <c r="W78" s="418" t="str">
        <f t="shared" si="27"/>
        <v/>
      </c>
      <c r="X78" s="418" t="str">
        <f t="shared" si="27"/>
        <v/>
      </c>
      <c r="Y78" s="418" t="str">
        <f>$X$76</f>
        <v/>
      </c>
      <c r="Z78" s="397"/>
      <c r="AA78" s="412"/>
      <c r="AB78" s="412"/>
      <c r="AC78" s="415"/>
      <c r="AD78" s="416"/>
      <c r="AE78" s="289"/>
      <c r="AF78" s="395"/>
      <c r="AG78" s="421"/>
      <c r="AH78" s="421"/>
      <c r="AI78" s="413"/>
      <c r="AJ78" s="414"/>
      <c r="AK78" s="418" t="str">
        <f>$AL$76</f>
        <v/>
      </c>
      <c r="AL78" s="418" t="str">
        <f t="shared" ref="AL78:AR87" si="28">$AL$76</f>
        <v/>
      </c>
      <c r="AM78" s="418" t="str">
        <f t="shared" si="28"/>
        <v/>
      </c>
      <c r="AN78" s="418" t="str">
        <f t="shared" si="28"/>
        <v/>
      </c>
      <c r="AO78" s="418" t="str">
        <f t="shared" si="28"/>
        <v/>
      </c>
      <c r="AP78" s="418" t="str">
        <f t="shared" si="28"/>
        <v/>
      </c>
      <c r="AQ78" s="418" t="str">
        <f t="shared" si="28"/>
        <v/>
      </c>
      <c r="AR78" s="418" t="str">
        <f t="shared" si="28"/>
        <v/>
      </c>
      <c r="AS78" s="409"/>
      <c r="AT78" s="418" t="str">
        <f t="shared" si="25"/>
        <v/>
      </c>
      <c r="AU78" s="409"/>
      <c r="AV78" s="418" t="str">
        <f t="shared" si="21"/>
        <v/>
      </c>
      <c r="AW78" s="409"/>
      <c r="AX78" s="418" t="str">
        <f t="shared" si="26"/>
        <v>1</v>
      </c>
      <c r="AY78" s="409"/>
      <c r="AZ78" s="418" t="str">
        <f t="shared" si="23"/>
        <v>1</v>
      </c>
      <c r="BA78" s="409"/>
      <c r="BB78" s="418" t="str">
        <f t="shared" si="19"/>
        <v>1</v>
      </c>
      <c r="BC78" s="409"/>
      <c r="BD78" s="418" t="str">
        <f t="shared" si="15"/>
        <v>1</v>
      </c>
      <c r="BE78" s="409"/>
      <c r="BF78" s="418" t="str">
        <f t="shared" si="12"/>
        <v>1</v>
      </c>
      <c r="BG78" s="409"/>
      <c r="BH78" s="418" t="str">
        <f t="shared" si="8"/>
        <v>1</v>
      </c>
      <c r="BI78" s="266"/>
      <c r="BJ78" s="265"/>
    </row>
    <row r="79" spans="1:62" ht="14.4" customHeight="1">
      <c r="A79" s="265"/>
      <c r="B79" s="289"/>
      <c r="C79" s="289"/>
      <c r="D79" s="418" t="str">
        <f t="shared" si="2"/>
        <v>1</v>
      </c>
      <c r="E79" s="418"/>
      <c r="F79" s="418" t="str">
        <f t="shared" si="11"/>
        <v>1</v>
      </c>
      <c r="G79" s="418"/>
      <c r="H79" s="419" t="str">
        <f t="shared" si="5"/>
        <v>1</v>
      </c>
      <c r="I79" s="418"/>
      <c r="J79" s="419" t="str">
        <f t="shared" si="18"/>
        <v>1</v>
      </c>
      <c r="K79" s="418"/>
      <c r="L79" s="419" t="str">
        <f t="shared" si="13"/>
        <v>1</v>
      </c>
      <c r="M79" s="418"/>
      <c r="N79" s="419" t="str">
        <f t="shared" si="16"/>
        <v>1</v>
      </c>
      <c r="O79" s="418"/>
      <c r="P79" s="418" t="str">
        <f t="shared" si="22"/>
        <v>1</v>
      </c>
      <c r="Q79" s="418"/>
      <c r="R79" s="418" t="str">
        <f t="shared" si="24"/>
        <v>1</v>
      </c>
      <c r="S79" s="418"/>
      <c r="T79" s="418" t="str">
        <f t="shared" si="27"/>
        <v/>
      </c>
      <c r="U79" s="418"/>
      <c r="V79" s="418"/>
      <c r="W79" s="289"/>
      <c r="X79" s="289"/>
      <c r="Y79" s="289"/>
      <c r="Z79" s="397"/>
      <c r="AA79" s="399" t="str">
        <f>IF(Y75="","",VLOOKUP(Y75,big_tabela,4,0))</f>
        <v/>
      </c>
      <c r="AB79" s="400"/>
      <c r="AC79" s="634" t="str">
        <f>IF(Y75="","","anemostat")</f>
        <v/>
      </c>
      <c r="AD79" s="416" t="str">
        <f>IF(Y75="","","x"&amp;VLOOKUP(Y75,big_tabela,45,0))</f>
        <v/>
      </c>
      <c r="AE79" s="289"/>
      <c r="AF79" s="395"/>
      <c r="AG79" s="398" t="str">
        <f>IF(AK75="","",VLOOKUP(AK75,big_tabela,4,0))</f>
        <v/>
      </c>
      <c r="AH79" s="417"/>
      <c r="AI79" s="635" t="str">
        <f>IF(AK75="","","anemostat")</f>
        <v/>
      </c>
      <c r="AJ79" s="414" t="str">
        <f>IF(AK75="","","x"&amp;VLOOKUP(AK75,big_tabela,44,0))</f>
        <v/>
      </c>
      <c r="AK79" s="401"/>
      <c r="AL79" s="289"/>
      <c r="AM79" s="289"/>
      <c r="AN79" s="289"/>
      <c r="AO79" s="289"/>
      <c r="AP79" s="409"/>
      <c r="AQ79" s="409"/>
      <c r="AR79" s="418" t="str">
        <f t="shared" si="28"/>
        <v/>
      </c>
      <c r="AS79" s="409"/>
      <c r="AT79" s="418" t="str">
        <f t="shared" si="25"/>
        <v/>
      </c>
      <c r="AU79" s="409"/>
      <c r="AV79" s="418" t="str">
        <f t="shared" si="21"/>
        <v/>
      </c>
      <c r="AW79" s="409"/>
      <c r="AX79" s="418" t="str">
        <f t="shared" si="26"/>
        <v>1</v>
      </c>
      <c r="AY79" s="409"/>
      <c r="AZ79" s="418" t="str">
        <f t="shared" si="23"/>
        <v>1</v>
      </c>
      <c r="BA79" s="409"/>
      <c r="BB79" s="418" t="str">
        <f t="shared" si="19"/>
        <v>1</v>
      </c>
      <c r="BC79" s="409"/>
      <c r="BD79" s="418" t="str">
        <f t="shared" si="15"/>
        <v>1</v>
      </c>
      <c r="BE79" s="409"/>
      <c r="BF79" s="418" t="str">
        <f t="shared" si="12"/>
        <v>1</v>
      </c>
      <c r="BG79" s="409"/>
      <c r="BH79" s="418" t="str">
        <f t="shared" si="8"/>
        <v>1</v>
      </c>
      <c r="BI79" s="266"/>
      <c r="BJ79" s="265"/>
    </row>
    <row r="80" spans="1:62" ht="6" customHeight="1">
      <c r="A80" s="265"/>
      <c r="B80" s="289"/>
      <c r="C80" s="289"/>
      <c r="D80" s="418" t="str">
        <f t="shared" si="2"/>
        <v>1</v>
      </c>
      <c r="E80" s="418"/>
      <c r="F80" s="418" t="str">
        <f t="shared" si="11"/>
        <v>1</v>
      </c>
      <c r="G80" s="418"/>
      <c r="H80" s="419" t="str">
        <f t="shared" si="5"/>
        <v>1</v>
      </c>
      <c r="I80" s="418"/>
      <c r="J80" s="419" t="str">
        <f t="shared" si="18"/>
        <v>1</v>
      </c>
      <c r="K80" s="418"/>
      <c r="L80" s="419" t="str">
        <f t="shared" si="13"/>
        <v>1</v>
      </c>
      <c r="M80" s="418"/>
      <c r="N80" s="419" t="str">
        <f t="shared" si="16"/>
        <v>1</v>
      </c>
      <c r="O80" s="418"/>
      <c r="P80" s="418" t="str">
        <f t="shared" si="22"/>
        <v>1</v>
      </c>
      <c r="Q80" s="418"/>
      <c r="R80" s="418" t="str">
        <f t="shared" si="24"/>
        <v>1</v>
      </c>
      <c r="S80" s="418"/>
      <c r="T80" s="418" t="str">
        <f t="shared" si="27"/>
        <v/>
      </c>
      <c r="U80" s="418"/>
      <c r="V80" s="418"/>
      <c r="W80" s="289"/>
      <c r="X80" s="289"/>
      <c r="Y80" s="289"/>
      <c r="Z80" s="397"/>
      <c r="AA80" s="397"/>
      <c r="AB80" s="397"/>
      <c r="AC80" s="397"/>
      <c r="AD80" s="397"/>
      <c r="AE80" s="289"/>
      <c r="AF80" s="395"/>
      <c r="AG80" s="395"/>
      <c r="AH80" s="395"/>
      <c r="AI80" s="395"/>
      <c r="AJ80" s="395"/>
      <c r="AK80" s="289"/>
      <c r="AL80" s="289"/>
      <c r="AM80" s="289"/>
      <c r="AN80" s="289"/>
      <c r="AO80" s="289"/>
      <c r="AP80" s="409"/>
      <c r="AQ80" s="409"/>
      <c r="AR80" s="418" t="str">
        <f t="shared" si="28"/>
        <v/>
      </c>
      <c r="AS80" s="409"/>
      <c r="AT80" s="418" t="str">
        <f t="shared" si="25"/>
        <v/>
      </c>
      <c r="AU80" s="409"/>
      <c r="AV80" s="418" t="str">
        <f t="shared" ref="AV80:AV87" si="29">$AL$62</f>
        <v/>
      </c>
      <c r="AW80" s="409"/>
      <c r="AX80" s="418" t="str">
        <f t="shared" si="26"/>
        <v>1</v>
      </c>
      <c r="AY80" s="409"/>
      <c r="AZ80" s="418" t="str">
        <f t="shared" si="23"/>
        <v>1</v>
      </c>
      <c r="BA80" s="409"/>
      <c r="BB80" s="418" t="str">
        <f t="shared" si="19"/>
        <v>1</v>
      </c>
      <c r="BC80" s="409"/>
      <c r="BD80" s="418" t="str">
        <f t="shared" si="15"/>
        <v>1</v>
      </c>
      <c r="BE80" s="409"/>
      <c r="BF80" s="418" t="str">
        <f t="shared" si="12"/>
        <v>1</v>
      </c>
      <c r="BG80" s="409"/>
      <c r="BH80" s="418" t="str">
        <f t="shared" si="8"/>
        <v>1</v>
      </c>
      <c r="BI80" s="266"/>
      <c r="BJ80" s="265"/>
    </row>
    <row r="81" spans="1:62">
      <c r="A81" s="265"/>
      <c r="B81" s="289"/>
      <c r="C81" s="289"/>
      <c r="D81" s="418" t="str">
        <f t="shared" si="2"/>
        <v>1</v>
      </c>
      <c r="E81" s="418"/>
      <c r="F81" s="418" t="str">
        <f t="shared" si="11"/>
        <v>1</v>
      </c>
      <c r="G81" s="418"/>
      <c r="H81" s="419" t="str">
        <f t="shared" si="5"/>
        <v>1</v>
      </c>
      <c r="I81" s="418"/>
      <c r="J81" s="419" t="str">
        <f t="shared" si="18"/>
        <v>1</v>
      </c>
      <c r="K81" s="418"/>
      <c r="L81" s="419" t="str">
        <f t="shared" si="13"/>
        <v>1</v>
      </c>
      <c r="M81" s="418"/>
      <c r="N81" s="419" t="str">
        <f t="shared" si="16"/>
        <v>1</v>
      </c>
      <c r="O81" s="418"/>
      <c r="P81" s="418" t="str">
        <f t="shared" si="22"/>
        <v>1</v>
      </c>
      <c r="Q81" s="418"/>
      <c r="R81" s="418" t="str">
        <f t="shared" si="24"/>
        <v>1</v>
      </c>
      <c r="S81" s="418"/>
      <c r="T81" s="418" t="str">
        <f t="shared" si="27"/>
        <v/>
      </c>
      <c r="U81" s="418"/>
      <c r="V81" s="418"/>
      <c r="W81" s="289"/>
      <c r="X81" s="289"/>
      <c r="Y81" s="289"/>
      <c r="Z81" s="289"/>
      <c r="AA81" s="289"/>
      <c r="AB81" s="289"/>
      <c r="AC81" s="289"/>
      <c r="AD81" s="289"/>
      <c r="AE81" s="289"/>
      <c r="AF81" s="289"/>
      <c r="AG81" s="289"/>
      <c r="AH81" s="289"/>
      <c r="AI81" s="289"/>
      <c r="AJ81" s="289"/>
      <c r="AK81" s="289"/>
      <c r="AL81" s="289"/>
      <c r="AM81" s="289"/>
      <c r="AN81" s="289"/>
      <c r="AO81" s="289"/>
      <c r="AP81" s="409"/>
      <c r="AQ81" s="409"/>
      <c r="AR81" s="418" t="str">
        <f t="shared" si="28"/>
        <v/>
      </c>
      <c r="AS81" s="409"/>
      <c r="AT81" s="418" t="str">
        <f t="shared" si="25"/>
        <v/>
      </c>
      <c r="AU81" s="409"/>
      <c r="AV81" s="418" t="str">
        <f t="shared" si="29"/>
        <v/>
      </c>
      <c r="AW81" s="409"/>
      <c r="AX81" s="418" t="str">
        <f t="shared" si="26"/>
        <v>1</v>
      </c>
      <c r="AY81" s="409"/>
      <c r="AZ81" s="418" t="str">
        <f t="shared" si="23"/>
        <v>1</v>
      </c>
      <c r="BA81" s="409"/>
      <c r="BB81" s="418" t="str">
        <f t="shared" si="19"/>
        <v>1</v>
      </c>
      <c r="BC81" s="409"/>
      <c r="BD81" s="418" t="str">
        <f t="shared" si="15"/>
        <v>1</v>
      </c>
      <c r="BE81" s="409"/>
      <c r="BF81" s="418" t="str">
        <f t="shared" si="12"/>
        <v>1</v>
      </c>
      <c r="BG81" s="409"/>
      <c r="BH81" s="418" t="str">
        <f t="shared" si="8"/>
        <v>1</v>
      </c>
      <c r="BI81" s="266"/>
      <c r="BJ81" s="265"/>
    </row>
    <row r="82" spans="1:62" ht="6" customHeight="1">
      <c r="A82" s="265"/>
      <c r="B82" s="289"/>
      <c r="C82" s="289"/>
      <c r="D82" s="418" t="str">
        <f t="shared" si="2"/>
        <v>1</v>
      </c>
      <c r="E82" s="418"/>
      <c r="F82" s="418" t="str">
        <f t="shared" si="11"/>
        <v>1</v>
      </c>
      <c r="G82" s="418"/>
      <c r="H82" s="419" t="str">
        <f t="shared" si="5"/>
        <v>1</v>
      </c>
      <c r="I82" s="418"/>
      <c r="J82" s="419" t="str">
        <f t="shared" si="18"/>
        <v>1</v>
      </c>
      <c r="K82" s="418"/>
      <c r="L82" s="419" t="str">
        <f t="shared" si="13"/>
        <v>1</v>
      </c>
      <c r="M82" s="418"/>
      <c r="N82" s="419" t="str">
        <f t="shared" si="16"/>
        <v>1</v>
      </c>
      <c r="O82" s="418"/>
      <c r="P82" s="418" t="str">
        <f t="shared" si="22"/>
        <v>1</v>
      </c>
      <c r="Q82" s="418"/>
      <c r="R82" s="418" t="str">
        <f t="shared" si="24"/>
        <v>1</v>
      </c>
      <c r="S82" s="418"/>
      <c r="T82" s="418" t="str">
        <f t="shared" si="27"/>
        <v/>
      </c>
      <c r="U82" s="418"/>
      <c r="V82" s="418"/>
      <c r="W82" s="289"/>
      <c r="X82" s="289"/>
      <c r="Y82" s="789" t="str">
        <f>IF(Obliczenia!E70="10","",Obliczenia!E70)</f>
        <v/>
      </c>
      <c r="Z82" s="397"/>
      <c r="AA82" s="397"/>
      <c r="AB82" s="397"/>
      <c r="AC82" s="397"/>
      <c r="AD82" s="397"/>
      <c r="AE82" s="289"/>
      <c r="AF82" s="395"/>
      <c r="AG82" s="395"/>
      <c r="AH82" s="395"/>
      <c r="AI82" s="395"/>
      <c r="AJ82" s="395"/>
      <c r="AK82" s="789" t="str">
        <f>IF(Obliczenia!E46="10","",Obliczenia!E46)</f>
        <v/>
      </c>
      <c r="AL82" s="289"/>
      <c r="AM82" s="289"/>
      <c r="AN82" s="289"/>
      <c r="AO82" s="289"/>
      <c r="AP82" s="409"/>
      <c r="AQ82" s="409"/>
      <c r="AR82" s="418" t="str">
        <f t="shared" si="28"/>
        <v/>
      </c>
      <c r="AS82" s="409"/>
      <c r="AT82" s="418" t="str">
        <f t="shared" si="25"/>
        <v/>
      </c>
      <c r="AU82" s="409"/>
      <c r="AV82" s="418" t="str">
        <f t="shared" si="29"/>
        <v/>
      </c>
      <c r="AW82" s="409"/>
      <c r="AX82" s="418" t="str">
        <f t="shared" si="26"/>
        <v>1</v>
      </c>
      <c r="AY82" s="409"/>
      <c r="AZ82" s="418" t="str">
        <f t="shared" si="23"/>
        <v>1</v>
      </c>
      <c r="BA82" s="409"/>
      <c r="BB82" s="418" t="str">
        <f t="shared" si="19"/>
        <v>1</v>
      </c>
      <c r="BC82" s="409"/>
      <c r="BD82" s="418" t="str">
        <f t="shared" si="15"/>
        <v>1</v>
      </c>
      <c r="BE82" s="409"/>
      <c r="BF82" s="418" t="str">
        <f t="shared" si="12"/>
        <v>1</v>
      </c>
      <c r="BG82" s="409"/>
      <c r="BH82" s="418" t="str">
        <f t="shared" si="8"/>
        <v>1</v>
      </c>
      <c r="BI82" s="266"/>
      <c r="BJ82" s="265"/>
    </row>
    <row r="83" spans="1:62" ht="14.4" customHeight="1">
      <c r="A83" s="265"/>
      <c r="B83" s="289"/>
      <c r="C83" s="289"/>
      <c r="D83" s="418" t="str">
        <f t="shared" si="2"/>
        <v>1</v>
      </c>
      <c r="E83" s="418"/>
      <c r="F83" s="418" t="str">
        <f t="shared" si="11"/>
        <v>1</v>
      </c>
      <c r="G83" s="418"/>
      <c r="H83" s="419" t="str">
        <f t="shared" si="5"/>
        <v>1</v>
      </c>
      <c r="I83" s="418"/>
      <c r="J83" s="419" t="str">
        <f t="shared" si="18"/>
        <v>1</v>
      </c>
      <c r="K83" s="418"/>
      <c r="L83" s="419" t="str">
        <f t="shared" si="13"/>
        <v>1</v>
      </c>
      <c r="M83" s="418"/>
      <c r="N83" s="419" t="str">
        <f t="shared" si="16"/>
        <v>1</v>
      </c>
      <c r="O83" s="418"/>
      <c r="P83" s="418" t="str">
        <f t="shared" si="22"/>
        <v>1</v>
      </c>
      <c r="Q83" s="418"/>
      <c r="R83" s="418" t="str">
        <f t="shared" si="24"/>
        <v>1</v>
      </c>
      <c r="S83" s="418"/>
      <c r="T83" s="418" t="str">
        <f t="shared" si="27"/>
        <v/>
      </c>
      <c r="U83" s="418"/>
      <c r="V83" s="418"/>
      <c r="W83" s="289"/>
      <c r="X83" s="4" t="str">
        <f>IF(Y82&lt;&gt;"","1","")</f>
        <v/>
      </c>
      <c r="Y83" s="789"/>
      <c r="Z83" s="397"/>
      <c r="AA83" s="772" t="str">
        <f>IF(Y82="","",VLOOKUP(Y82,big_tabela,3,0))</f>
        <v/>
      </c>
      <c r="AB83" s="772"/>
      <c r="AC83" s="773" t="str">
        <f>IF(Y82="","",VLOOKUP(Y82,big_tabela,12,0))</f>
        <v/>
      </c>
      <c r="AD83" s="774" t="s">
        <v>373</v>
      </c>
      <c r="AE83" s="289"/>
      <c r="AF83" s="395"/>
      <c r="AG83" s="783" t="str">
        <f>IF(AK82="","",VLOOKUP(AK82,big_tabela,3,0))</f>
        <v/>
      </c>
      <c r="AH83" s="783"/>
      <c r="AI83" s="784" t="str">
        <f>IF(AK82="","",VLOOKUP(AK82,big_tabela,12,0))</f>
        <v/>
      </c>
      <c r="AJ83" s="767" t="s">
        <v>373</v>
      </c>
      <c r="AK83" s="789"/>
      <c r="AL83" s="4" t="str">
        <f>IF(AK82&lt;&gt;"","1","")</f>
        <v/>
      </c>
      <c r="AM83" s="289"/>
      <c r="AN83" s="289"/>
      <c r="AO83" s="289"/>
      <c r="AP83" s="409"/>
      <c r="AQ83" s="409"/>
      <c r="AR83" s="418" t="str">
        <f t="shared" si="28"/>
        <v/>
      </c>
      <c r="AS83" s="409"/>
      <c r="AT83" s="418" t="str">
        <f t="shared" si="25"/>
        <v/>
      </c>
      <c r="AU83" s="409"/>
      <c r="AV83" s="418" t="str">
        <f t="shared" si="29"/>
        <v/>
      </c>
      <c r="AW83" s="409"/>
      <c r="AX83" s="418" t="str">
        <f t="shared" si="26"/>
        <v>1</v>
      </c>
      <c r="AY83" s="409"/>
      <c r="AZ83" s="418" t="str">
        <f t="shared" si="23"/>
        <v>1</v>
      </c>
      <c r="BA83" s="409"/>
      <c r="BB83" s="418" t="str">
        <f t="shared" si="19"/>
        <v>1</v>
      </c>
      <c r="BC83" s="409"/>
      <c r="BD83" s="418" t="str">
        <f t="shared" si="15"/>
        <v>1</v>
      </c>
      <c r="BE83" s="409"/>
      <c r="BF83" s="418" t="str">
        <f t="shared" si="12"/>
        <v>1</v>
      </c>
      <c r="BG83" s="409"/>
      <c r="BH83" s="418" t="str">
        <f t="shared" si="8"/>
        <v>1</v>
      </c>
      <c r="BI83" s="266"/>
      <c r="BJ83" s="265"/>
    </row>
    <row r="84" spans="1:62" ht="14.4" customHeight="1">
      <c r="A84" s="265"/>
      <c r="B84" s="289"/>
      <c r="C84" s="289"/>
      <c r="D84" s="418" t="str">
        <f t="shared" si="2"/>
        <v>1</v>
      </c>
      <c r="E84" s="418"/>
      <c r="F84" s="418" t="str">
        <f t="shared" si="11"/>
        <v>1</v>
      </c>
      <c r="G84" s="418"/>
      <c r="H84" s="419" t="str">
        <f t="shared" si="5"/>
        <v>1</v>
      </c>
      <c r="I84" s="418"/>
      <c r="J84" s="419" t="str">
        <f t="shared" si="18"/>
        <v>1</v>
      </c>
      <c r="K84" s="418"/>
      <c r="L84" s="419" t="str">
        <f t="shared" si="13"/>
        <v>1</v>
      </c>
      <c r="M84" s="418"/>
      <c r="N84" s="419" t="str">
        <f t="shared" si="16"/>
        <v>1</v>
      </c>
      <c r="O84" s="418"/>
      <c r="P84" s="418" t="str">
        <f t="shared" si="22"/>
        <v>1</v>
      </c>
      <c r="Q84" s="418"/>
      <c r="R84" s="418" t="str">
        <f t="shared" si="24"/>
        <v>1</v>
      </c>
      <c r="S84" s="418"/>
      <c r="T84" s="418" t="str">
        <f t="shared" si="27"/>
        <v/>
      </c>
      <c r="U84" s="418"/>
      <c r="V84" s="418"/>
      <c r="W84" s="494" t="str">
        <f>IF(Y82="","","Φ75")</f>
        <v/>
      </c>
      <c r="X84" s="495" t="str">
        <f>IF(Y82="","","x"&amp;VLOOKUP(Y82,big_tabela,42,0))</f>
        <v/>
      </c>
      <c r="Y84" s="403" t="str">
        <f>IF(Y82="","","◄")</f>
        <v/>
      </c>
      <c r="Z84" s="397"/>
      <c r="AA84" s="772"/>
      <c r="AB84" s="772"/>
      <c r="AC84" s="773"/>
      <c r="AD84" s="774"/>
      <c r="AE84" s="289"/>
      <c r="AF84" s="395"/>
      <c r="AG84" s="783"/>
      <c r="AH84" s="783"/>
      <c r="AI84" s="784"/>
      <c r="AJ84" s="767"/>
      <c r="AK84" s="402" t="str">
        <f>IF(AK82="","","◄")</f>
        <v/>
      </c>
      <c r="AL84" s="494" t="str">
        <f>IF(AK82="","","Φ75")</f>
        <v/>
      </c>
      <c r="AM84" s="495" t="str">
        <f>IF(AK82="","","x"&amp;VLOOKUP(AK82,big_tabela,41,0))</f>
        <v/>
      </c>
      <c r="AN84" s="289"/>
      <c r="AO84" s="289"/>
      <c r="AP84" s="409"/>
      <c r="AQ84" s="409"/>
      <c r="AR84" s="418" t="str">
        <f t="shared" si="28"/>
        <v/>
      </c>
      <c r="AS84" s="409"/>
      <c r="AT84" s="418" t="str">
        <f t="shared" si="25"/>
        <v/>
      </c>
      <c r="AU84" s="409"/>
      <c r="AV84" s="418" t="str">
        <f t="shared" si="29"/>
        <v/>
      </c>
      <c r="AW84" s="409"/>
      <c r="AX84" s="418" t="str">
        <f t="shared" si="26"/>
        <v>1</v>
      </c>
      <c r="AY84" s="409"/>
      <c r="AZ84" s="418" t="str">
        <f t="shared" si="23"/>
        <v>1</v>
      </c>
      <c r="BA84" s="409"/>
      <c r="BB84" s="418" t="str">
        <f t="shared" si="19"/>
        <v>1</v>
      </c>
      <c r="BC84" s="409"/>
      <c r="BD84" s="418" t="str">
        <f t="shared" si="15"/>
        <v>1</v>
      </c>
      <c r="BE84" s="409"/>
      <c r="BF84" s="418" t="str">
        <f t="shared" si="12"/>
        <v>1</v>
      </c>
      <c r="BG84" s="409"/>
      <c r="BH84" s="418" t="str">
        <f t="shared" si="8"/>
        <v>1</v>
      </c>
      <c r="BI84" s="266"/>
      <c r="BJ84" s="265"/>
    </row>
    <row r="85" spans="1:62" ht="3" customHeight="1">
      <c r="A85" s="265"/>
      <c r="B85" s="289"/>
      <c r="C85" s="404"/>
      <c r="D85" s="418" t="str">
        <f t="shared" si="2"/>
        <v>1</v>
      </c>
      <c r="E85" s="418"/>
      <c r="F85" s="418" t="str">
        <f t="shared" si="11"/>
        <v>1</v>
      </c>
      <c r="G85" s="418"/>
      <c r="H85" s="419" t="str">
        <f t="shared" si="5"/>
        <v>1</v>
      </c>
      <c r="I85" s="418"/>
      <c r="J85" s="419" t="str">
        <f t="shared" si="18"/>
        <v>1</v>
      </c>
      <c r="K85" s="418"/>
      <c r="L85" s="419" t="str">
        <f t="shared" si="13"/>
        <v>1</v>
      </c>
      <c r="M85" s="418"/>
      <c r="N85" s="419" t="str">
        <f t="shared" si="16"/>
        <v>1</v>
      </c>
      <c r="O85" s="418"/>
      <c r="P85" s="418" t="str">
        <f t="shared" si="22"/>
        <v>1</v>
      </c>
      <c r="Q85" s="418"/>
      <c r="R85" s="418" t="str">
        <f t="shared" si="24"/>
        <v>1</v>
      </c>
      <c r="S85" s="418"/>
      <c r="T85" s="418" t="str">
        <f t="shared" si="27"/>
        <v/>
      </c>
      <c r="U85" s="418"/>
      <c r="V85" s="418" t="str">
        <f t="shared" ref="V85:X87" si="30">$X$83</f>
        <v/>
      </c>
      <c r="W85" s="418" t="str">
        <f t="shared" si="30"/>
        <v/>
      </c>
      <c r="X85" s="418" t="str">
        <f t="shared" si="30"/>
        <v/>
      </c>
      <c r="Y85" s="418" t="str">
        <f>$X$83</f>
        <v/>
      </c>
      <c r="Z85" s="397"/>
      <c r="AA85" s="412"/>
      <c r="AB85" s="412"/>
      <c r="AC85" s="415"/>
      <c r="AD85" s="416"/>
      <c r="AE85" s="289"/>
      <c r="AF85" s="395"/>
      <c r="AG85" s="421"/>
      <c r="AH85" s="421"/>
      <c r="AI85" s="413"/>
      <c r="AJ85" s="414"/>
      <c r="AK85" s="418" t="str">
        <f t="shared" ref="AK85:AP85" si="31">$AL$83</f>
        <v/>
      </c>
      <c r="AL85" s="418" t="str">
        <f t="shared" si="31"/>
        <v/>
      </c>
      <c r="AM85" s="418" t="str">
        <f t="shared" si="31"/>
        <v/>
      </c>
      <c r="AN85" s="418" t="str">
        <f t="shared" si="31"/>
        <v/>
      </c>
      <c r="AO85" s="418" t="str">
        <f t="shared" si="31"/>
        <v/>
      </c>
      <c r="AP85" s="418" t="str">
        <f t="shared" si="31"/>
        <v/>
      </c>
      <c r="AQ85" s="409"/>
      <c r="AR85" s="418" t="str">
        <f t="shared" si="28"/>
        <v/>
      </c>
      <c r="AS85" s="409"/>
      <c r="AT85" s="418" t="str">
        <f t="shared" si="25"/>
        <v/>
      </c>
      <c r="AU85" s="409"/>
      <c r="AV85" s="418" t="str">
        <f t="shared" si="29"/>
        <v/>
      </c>
      <c r="AW85" s="409"/>
      <c r="AX85" s="418" t="str">
        <f t="shared" si="26"/>
        <v>1</v>
      </c>
      <c r="AY85" s="409"/>
      <c r="AZ85" s="418" t="str">
        <f t="shared" si="23"/>
        <v>1</v>
      </c>
      <c r="BA85" s="409"/>
      <c r="BB85" s="418" t="str">
        <f t="shared" si="19"/>
        <v>1</v>
      </c>
      <c r="BC85" s="409"/>
      <c r="BD85" s="418" t="str">
        <f t="shared" si="15"/>
        <v>1</v>
      </c>
      <c r="BE85" s="409"/>
      <c r="BF85" s="418" t="str">
        <f t="shared" si="12"/>
        <v>1</v>
      </c>
      <c r="BG85" s="409"/>
      <c r="BH85" s="418" t="str">
        <f t="shared" si="8"/>
        <v>1</v>
      </c>
      <c r="BI85" s="266"/>
      <c r="BJ85" s="265"/>
    </row>
    <row r="86" spans="1:62" ht="14.4" customHeight="1">
      <c r="A86" s="265"/>
      <c r="B86" s="289"/>
      <c r="C86" s="289"/>
      <c r="D86" s="418" t="str">
        <f t="shared" si="2"/>
        <v>1</v>
      </c>
      <c r="E86" s="418"/>
      <c r="F86" s="418" t="str">
        <f t="shared" si="11"/>
        <v>1</v>
      </c>
      <c r="G86" s="418"/>
      <c r="H86" s="419" t="str">
        <f t="shared" si="5"/>
        <v>1</v>
      </c>
      <c r="I86" s="418"/>
      <c r="J86" s="419" t="str">
        <f t="shared" si="18"/>
        <v>1</v>
      </c>
      <c r="K86" s="418"/>
      <c r="L86" s="419" t="str">
        <f t="shared" si="13"/>
        <v>1</v>
      </c>
      <c r="M86" s="418"/>
      <c r="N86" s="419" t="str">
        <f t="shared" si="16"/>
        <v>1</v>
      </c>
      <c r="O86" s="418"/>
      <c r="P86" s="418" t="str">
        <f t="shared" si="22"/>
        <v>1</v>
      </c>
      <c r="Q86" s="418"/>
      <c r="R86" s="418" t="str">
        <f t="shared" si="24"/>
        <v>1</v>
      </c>
      <c r="S86" s="418"/>
      <c r="T86" s="418" t="str">
        <f t="shared" si="27"/>
        <v/>
      </c>
      <c r="U86" s="418"/>
      <c r="V86" s="418" t="str">
        <f t="shared" si="30"/>
        <v/>
      </c>
      <c r="W86" s="289"/>
      <c r="X86" s="289"/>
      <c r="Y86" s="289"/>
      <c r="Z86" s="397"/>
      <c r="AA86" s="399" t="str">
        <f>IF(Y82="","",VLOOKUP(Y82,big_tabela,4,0))</f>
        <v/>
      </c>
      <c r="AB86" s="400"/>
      <c r="AC86" s="634" t="str">
        <f>IF(Y82="","","anemostat")</f>
        <v/>
      </c>
      <c r="AD86" s="416" t="str">
        <f>IF(Y82="","","x"&amp;VLOOKUP(Y82,big_tabela,45,0))</f>
        <v/>
      </c>
      <c r="AE86" s="289"/>
      <c r="AF86" s="395"/>
      <c r="AG86" s="398" t="str">
        <f>IF(AK82="","",VLOOKUP(AK82,big_tabela,4,0))</f>
        <v/>
      </c>
      <c r="AH86" s="417"/>
      <c r="AI86" s="635" t="str">
        <f>IF(AK82="","","anemostat")</f>
        <v/>
      </c>
      <c r="AJ86" s="414" t="str">
        <f>IF(AK82="","","x"&amp;VLOOKUP(AK82,big_tabela,44,0))</f>
        <v/>
      </c>
      <c r="AK86" s="401"/>
      <c r="AL86" s="289"/>
      <c r="AM86" s="289"/>
      <c r="AN86" s="289"/>
      <c r="AO86" s="289"/>
      <c r="AP86" s="418" t="str">
        <f>$AL$83</f>
        <v/>
      </c>
      <c r="AQ86" s="409"/>
      <c r="AR86" s="418" t="str">
        <f t="shared" si="28"/>
        <v/>
      </c>
      <c r="AS86" s="409"/>
      <c r="AT86" s="418" t="str">
        <f t="shared" si="25"/>
        <v/>
      </c>
      <c r="AU86" s="409"/>
      <c r="AV86" s="418" t="str">
        <f t="shared" si="29"/>
        <v/>
      </c>
      <c r="AW86" s="409"/>
      <c r="AX86" s="418" t="str">
        <f t="shared" si="26"/>
        <v>1</v>
      </c>
      <c r="AY86" s="409"/>
      <c r="AZ86" s="418" t="str">
        <f t="shared" si="23"/>
        <v>1</v>
      </c>
      <c r="BA86" s="409"/>
      <c r="BB86" s="418" t="str">
        <f t="shared" si="19"/>
        <v>1</v>
      </c>
      <c r="BC86" s="409"/>
      <c r="BD86" s="418" t="str">
        <f t="shared" si="15"/>
        <v>1</v>
      </c>
      <c r="BE86" s="409"/>
      <c r="BF86" s="418" t="str">
        <f t="shared" si="12"/>
        <v>1</v>
      </c>
      <c r="BG86" s="409"/>
      <c r="BH86" s="418" t="str">
        <f t="shared" si="8"/>
        <v>1</v>
      </c>
      <c r="BI86" s="266"/>
      <c r="BJ86" s="265"/>
    </row>
    <row r="87" spans="1:62" ht="6" customHeight="1">
      <c r="A87" s="265"/>
      <c r="B87" s="289"/>
      <c r="C87" s="289"/>
      <c r="D87" s="418" t="str">
        <f t="shared" ref="D87" si="32">$X$20</f>
        <v>1</v>
      </c>
      <c r="E87" s="418"/>
      <c r="F87" s="418" t="str">
        <f t="shared" si="11"/>
        <v>1</v>
      </c>
      <c r="G87" s="418"/>
      <c r="H87" s="419" t="str">
        <f t="shared" si="5"/>
        <v>1</v>
      </c>
      <c r="I87" s="418"/>
      <c r="J87" s="419" t="str">
        <f t="shared" si="18"/>
        <v>1</v>
      </c>
      <c r="K87" s="418"/>
      <c r="L87" s="419" t="str">
        <f t="shared" si="13"/>
        <v>1</v>
      </c>
      <c r="M87" s="418"/>
      <c r="N87" s="419" t="str">
        <f t="shared" si="16"/>
        <v>1</v>
      </c>
      <c r="O87" s="418"/>
      <c r="P87" s="418" t="str">
        <f t="shared" si="22"/>
        <v>1</v>
      </c>
      <c r="Q87" s="418"/>
      <c r="R87" s="418" t="str">
        <f t="shared" si="24"/>
        <v>1</v>
      </c>
      <c r="S87" s="418"/>
      <c r="T87" s="418" t="str">
        <f t="shared" si="27"/>
        <v/>
      </c>
      <c r="U87" s="418"/>
      <c r="V87" s="418" t="str">
        <f t="shared" si="30"/>
        <v/>
      </c>
      <c r="W87" s="289"/>
      <c r="X87" s="289"/>
      <c r="Y87" s="289"/>
      <c r="Z87" s="397"/>
      <c r="AA87" s="397"/>
      <c r="AB87" s="397"/>
      <c r="AC87" s="397"/>
      <c r="AD87" s="397"/>
      <c r="AE87" s="289"/>
      <c r="AF87" s="395"/>
      <c r="AG87" s="395"/>
      <c r="AH87" s="395"/>
      <c r="AI87" s="395"/>
      <c r="AJ87" s="395"/>
      <c r="AK87" s="289"/>
      <c r="AL87" s="289"/>
      <c r="AM87" s="289"/>
      <c r="AN87" s="289"/>
      <c r="AO87" s="289"/>
      <c r="AP87" s="418" t="str">
        <f>$AL$83</f>
        <v/>
      </c>
      <c r="AQ87" s="409"/>
      <c r="AR87" s="418" t="str">
        <f t="shared" si="28"/>
        <v/>
      </c>
      <c r="AS87" s="409"/>
      <c r="AT87" s="418" t="str">
        <f t="shared" ref="AT87" si="33">$AL$69</f>
        <v/>
      </c>
      <c r="AU87" s="409"/>
      <c r="AV87" s="418" t="str">
        <f t="shared" si="29"/>
        <v/>
      </c>
      <c r="AW87" s="409"/>
      <c r="AX87" s="418" t="str">
        <f t="shared" si="26"/>
        <v>1</v>
      </c>
      <c r="AY87" s="409"/>
      <c r="AZ87" s="418" t="str">
        <f t="shared" si="23"/>
        <v>1</v>
      </c>
      <c r="BA87" s="409"/>
      <c r="BB87" s="418" t="str">
        <f t="shared" si="19"/>
        <v>1</v>
      </c>
      <c r="BC87" s="409"/>
      <c r="BD87" s="418" t="str">
        <f t="shared" si="15"/>
        <v>1</v>
      </c>
      <c r="BE87" s="409"/>
      <c r="BF87" s="418" t="str">
        <f t="shared" si="12"/>
        <v>1</v>
      </c>
      <c r="BG87" s="409"/>
      <c r="BH87" s="418" t="str">
        <f t="shared" si="8"/>
        <v>1</v>
      </c>
      <c r="BI87" s="266"/>
      <c r="BJ87" s="265"/>
    </row>
    <row r="88" spans="1:62" ht="14.4" customHeight="1">
      <c r="A88" s="265"/>
      <c r="B88" s="289"/>
      <c r="C88" s="289"/>
      <c r="D88" s="461"/>
      <c r="E88" s="808" t="str">
        <f>Obliczenia!AX31</f>
        <v>12x75</v>
      </c>
      <c r="F88" s="808"/>
      <c r="G88" s="808"/>
      <c r="H88" s="808"/>
      <c r="I88" s="808"/>
      <c r="J88" s="808"/>
      <c r="K88" s="808"/>
      <c r="L88" s="808"/>
      <c r="M88" s="808"/>
      <c r="N88" s="808"/>
      <c r="O88" s="808"/>
      <c r="P88" s="808"/>
      <c r="Q88" s="808"/>
      <c r="R88" s="808"/>
      <c r="S88" s="808"/>
      <c r="T88" s="808"/>
      <c r="U88" s="808"/>
      <c r="V88" s="463"/>
      <c r="W88" s="13"/>
      <c r="X88" s="289"/>
      <c r="Y88" s="289"/>
      <c r="Z88" s="289"/>
      <c r="AA88" s="289"/>
      <c r="AB88" s="289"/>
      <c r="AC88" s="289"/>
      <c r="AD88" s="289"/>
      <c r="AE88" s="289"/>
      <c r="AF88" s="289"/>
      <c r="AG88" s="289"/>
      <c r="AH88" s="289"/>
      <c r="AI88" s="289"/>
      <c r="AJ88" s="289"/>
      <c r="AK88" s="289"/>
      <c r="AL88" s="289"/>
      <c r="AM88" s="13"/>
      <c r="AN88" s="13"/>
      <c r="AO88" s="13"/>
      <c r="AP88" s="458"/>
      <c r="AQ88" s="810" t="str">
        <f>Obliczenia!AV31</f>
        <v>12x75</v>
      </c>
      <c r="AR88" s="810"/>
      <c r="AS88" s="810"/>
      <c r="AT88" s="810"/>
      <c r="AU88" s="810"/>
      <c r="AV88" s="810"/>
      <c r="AW88" s="810"/>
      <c r="AX88" s="810"/>
      <c r="AY88" s="810"/>
      <c r="AZ88" s="810"/>
      <c r="BA88" s="810"/>
      <c r="BB88" s="810"/>
      <c r="BC88" s="810"/>
      <c r="BD88" s="810"/>
      <c r="BE88" s="810"/>
      <c r="BF88" s="810"/>
      <c r="BG88" s="810"/>
      <c r="BH88" s="459"/>
      <c r="BI88" s="266"/>
      <c r="BJ88" s="265"/>
    </row>
    <row r="89" spans="1:62">
      <c r="A89" s="265"/>
      <c r="B89" s="289"/>
      <c r="C89" s="289"/>
      <c r="D89" s="464"/>
      <c r="E89" s="812" t="str">
        <f>IF(E90&lt;&gt;"","+","")</f>
        <v/>
      </c>
      <c r="F89" s="812"/>
      <c r="G89" s="812"/>
      <c r="H89" s="812"/>
      <c r="I89" s="812"/>
      <c r="J89" s="812"/>
      <c r="K89" s="812"/>
      <c r="L89" s="812"/>
      <c r="M89" s="812"/>
      <c r="N89" s="812"/>
      <c r="O89" s="812"/>
      <c r="P89" s="812"/>
      <c r="Q89" s="812"/>
      <c r="R89" s="812"/>
      <c r="S89" s="812"/>
      <c r="T89" s="812"/>
      <c r="U89" s="812"/>
      <c r="V89" s="466"/>
      <c r="W89" s="515" t="str">
        <f>"  "&amp;Obliczenia!AQ30&amp;"x kanał DN75"</f>
        <v xml:space="preserve">  11x kanał DN75</v>
      </c>
      <c r="X89" s="289"/>
      <c r="Y89" s="289"/>
      <c r="Z89" s="289"/>
      <c r="AA89" s="289"/>
      <c r="AB89" s="289"/>
      <c r="AC89" s="289"/>
      <c r="AD89" s="289"/>
      <c r="AE89" s="289"/>
      <c r="AF89" s="289"/>
      <c r="AG89" s="289"/>
      <c r="AH89" s="289"/>
      <c r="AI89" s="289"/>
      <c r="AJ89" s="289"/>
      <c r="AK89" s="289"/>
      <c r="AL89" s="515"/>
      <c r="AM89" s="814" t="str">
        <f>Obliczenia!AP30&amp;"x kanał DN75"</f>
        <v>10x kanał DN75</v>
      </c>
      <c r="AN89" s="814"/>
      <c r="AO89" s="815"/>
      <c r="AP89" s="455"/>
      <c r="AQ89" s="813" t="str">
        <f>IF(AQ90&lt;&gt;"","+","")</f>
        <v/>
      </c>
      <c r="AR89" s="813"/>
      <c r="AS89" s="813"/>
      <c r="AT89" s="813"/>
      <c r="AU89" s="813"/>
      <c r="AV89" s="813"/>
      <c r="AW89" s="813"/>
      <c r="AX89" s="813"/>
      <c r="AY89" s="813"/>
      <c r="AZ89" s="813"/>
      <c r="BA89" s="813"/>
      <c r="BB89" s="813"/>
      <c r="BC89" s="813"/>
      <c r="BD89" s="813"/>
      <c r="BE89" s="813"/>
      <c r="BF89" s="813"/>
      <c r="BG89" s="813"/>
      <c r="BH89" s="456"/>
      <c r="BI89" s="266"/>
      <c r="BJ89" s="265"/>
    </row>
    <row r="90" spans="1:62">
      <c r="A90" s="265"/>
      <c r="B90" s="289"/>
      <c r="C90" s="289"/>
      <c r="D90" s="467"/>
      <c r="E90" s="809" t="str">
        <f>Obliczenia!AX34</f>
        <v/>
      </c>
      <c r="F90" s="809"/>
      <c r="G90" s="809"/>
      <c r="H90" s="809"/>
      <c r="I90" s="809"/>
      <c r="J90" s="809"/>
      <c r="K90" s="809"/>
      <c r="L90" s="809"/>
      <c r="M90" s="809"/>
      <c r="N90" s="809"/>
      <c r="O90" s="809"/>
      <c r="P90" s="809"/>
      <c r="Q90" s="809"/>
      <c r="R90" s="809"/>
      <c r="S90" s="809"/>
      <c r="T90" s="809"/>
      <c r="U90" s="809"/>
      <c r="V90" s="469"/>
      <c r="W90" s="651" t="str">
        <f>IF(Obliczenia!AX29=2,"! Należy zastosować dwa rozdzielacze lub inną średnicę systemu","")</f>
        <v/>
      </c>
      <c r="X90" s="289"/>
      <c r="Y90" s="289"/>
      <c r="Z90" s="289"/>
      <c r="AA90" s="289"/>
      <c r="AB90" s="289"/>
      <c r="AC90" s="289"/>
      <c r="AD90" s="289"/>
      <c r="AE90" s="289"/>
      <c r="AF90" s="289"/>
      <c r="AG90" s="289"/>
      <c r="AH90" s="289"/>
      <c r="AI90" s="765" t="str">
        <f>IF(Obliczenia!AV29=2,"! Należy zastosować dwa rozdzielacze lub inną średnicę systemu","")</f>
        <v/>
      </c>
      <c r="AJ90" s="765"/>
      <c r="AK90" s="765"/>
      <c r="AL90" s="765"/>
      <c r="AM90" s="765"/>
      <c r="AN90" s="765"/>
      <c r="AO90" s="766"/>
      <c r="AP90" s="460"/>
      <c r="AQ90" s="811" t="str">
        <f>Obliczenia!AV34</f>
        <v/>
      </c>
      <c r="AR90" s="811"/>
      <c r="AS90" s="811"/>
      <c r="AT90" s="811"/>
      <c r="AU90" s="811"/>
      <c r="AV90" s="811"/>
      <c r="AW90" s="811"/>
      <c r="AX90" s="811"/>
      <c r="AY90" s="811"/>
      <c r="AZ90" s="811"/>
      <c r="BA90" s="811"/>
      <c r="BB90" s="811"/>
      <c r="BC90" s="811"/>
      <c r="BD90" s="811"/>
      <c r="BE90" s="811"/>
      <c r="BF90" s="811"/>
      <c r="BG90" s="811"/>
      <c r="BH90" s="457"/>
      <c r="BI90" s="266"/>
      <c r="BJ90" s="265"/>
    </row>
    <row r="91" spans="1:62" ht="6" customHeight="1">
      <c r="A91" s="265"/>
      <c r="B91" s="289"/>
      <c r="C91" s="289"/>
      <c r="D91" s="409"/>
      <c r="E91" s="409"/>
      <c r="F91" s="409"/>
      <c r="G91" s="464"/>
      <c r="H91" s="465"/>
      <c r="I91" s="465"/>
      <c r="J91" s="465"/>
      <c r="K91" s="466"/>
      <c r="L91" s="409"/>
      <c r="M91" s="409"/>
      <c r="N91" s="409"/>
      <c r="O91" s="409"/>
      <c r="P91" s="418" t="str">
        <f t="shared" ref="P91:X115" si="34">$X$113</f>
        <v/>
      </c>
      <c r="Q91" s="409"/>
      <c r="R91" s="418" t="str">
        <f t="shared" ref="R91:X108" si="35">$X$106</f>
        <v/>
      </c>
      <c r="S91" s="409"/>
      <c r="T91" s="418" t="str">
        <f t="shared" ref="T91:X101" si="36">$X$99</f>
        <v/>
      </c>
      <c r="U91" s="409"/>
      <c r="V91" s="418" t="str">
        <f t="shared" ref="V91:X94" si="37">$X$92</f>
        <v/>
      </c>
      <c r="W91" s="289"/>
      <c r="X91" s="420"/>
      <c r="Y91" s="789" t="str">
        <f>IF(Obliczenia!E71="10","",Obliczenia!E71)</f>
        <v/>
      </c>
      <c r="Z91" s="397"/>
      <c r="AA91" s="397"/>
      <c r="AB91" s="397"/>
      <c r="AC91" s="397"/>
      <c r="AD91" s="397"/>
      <c r="AE91" s="289"/>
      <c r="AF91" s="395"/>
      <c r="AG91" s="395"/>
      <c r="AH91" s="395"/>
      <c r="AI91" s="395"/>
      <c r="AJ91" s="395"/>
      <c r="AK91" s="789" t="str">
        <f>IF(Obliczenia!E47="10","",Obliczenia!E47)</f>
        <v/>
      </c>
      <c r="AL91" s="289"/>
      <c r="AM91" s="289"/>
      <c r="AN91" s="289"/>
      <c r="AO91" s="289"/>
      <c r="AP91" s="418" t="str">
        <f t="shared" ref="AP91:AP94" si="38">$AL$92</f>
        <v/>
      </c>
      <c r="AQ91" s="409"/>
      <c r="AR91" s="418" t="str">
        <f t="shared" ref="AR91:AR101" si="39">$AL$99</f>
        <v/>
      </c>
      <c r="AS91" s="409"/>
      <c r="AT91" s="418" t="str">
        <f t="shared" ref="AT91:AT108" si="40">$AL$106</f>
        <v/>
      </c>
      <c r="AU91" s="409"/>
      <c r="AV91" s="418" t="str">
        <f t="shared" ref="AV91:AV115" si="41">$AL$113</f>
        <v/>
      </c>
      <c r="AW91" s="409"/>
      <c r="AX91" s="409"/>
      <c r="AY91" s="409"/>
      <c r="AZ91" s="409"/>
      <c r="BA91" s="455"/>
      <c r="BB91" s="411"/>
      <c r="BC91" s="411"/>
      <c r="BD91" s="411"/>
      <c r="BE91" s="456"/>
      <c r="BF91" s="409"/>
      <c r="BG91" s="409"/>
      <c r="BH91" s="409"/>
      <c r="BI91" s="266"/>
      <c r="BJ91" s="265"/>
    </row>
    <row r="92" spans="1:62" ht="14.4" customHeight="1">
      <c r="A92" s="265"/>
      <c r="B92" s="289"/>
      <c r="C92" s="289"/>
      <c r="D92" s="409"/>
      <c r="E92" s="409"/>
      <c r="F92" s="409"/>
      <c r="G92" s="464"/>
      <c r="H92" s="465"/>
      <c r="I92" s="465"/>
      <c r="J92" s="465"/>
      <c r="K92" s="466"/>
      <c r="L92" s="409"/>
      <c r="M92" s="409"/>
      <c r="N92" s="409"/>
      <c r="O92" s="409"/>
      <c r="P92" s="418" t="str">
        <f t="shared" si="34"/>
        <v/>
      </c>
      <c r="Q92" s="409"/>
      <c r="R92" s="418" t="str">
        <f t="shared" si="35"/>
        <v/>
      </c>
      <c r="S92" s="409"/>
      <c r="T92" s="418" t="str">
        <f t="shared" si="36"/>
        <v/>
      </c>
      <c r="U92" s="409"/>
      <c r="V92" s="418" t="str">
        <f t="shared" si="37"/>
        <v/>
      </c>
      <c r="W92" s="289"/>
      <c r="X92" s="4" t="str">
        <f>IF(Y91&lt;&gt;"","1","")</f>
        <v/>
      </c>
      <c r="Y92" s="789"/>
      <c r="Z92" s="397"/>
      <c r="AA92" s="772" t="str">
        <f>IF(Y91="","",VLOOKUP(Y91,big_tabela,3,0))</f>
        <v/>
      </c>
      <c r="AB92" s="772"/>
      <c r="AC92" s="773" t="str">
        <f>IF(Y91="","",VLOOKUP(Y91,big_tabela,12,0))</f>
        <v/>
      </c>
      <c r="AD92" s="774" t="s">
        <v>373</v>
      </c>
      <c r="AE92" s="289"/>
      <c r="AF92" s="395"/>
      <c r="AG92" s="783" t="str">
        <f>IF(AK91="","",VLOOKUP(AK91,big_tabela,3,0))</f>
        <v/>
      </c>
      <c r="AH92" s="783"/>
      <c r="AI92" s="784" t="str">
        <f>IF(AK91="","",VLOOKUP(AK91,big_tabela,12,0))</f>
        <v/>
      </c>
      <c r="AJ92" s="767" t="s">
        <v>373</v>
      </c>
      <c r="AK92" s="789"/>
      <c r="AL92" t="str">
        <f>IF(AK91&lt;&gt;"","1","")</f>
        <v/>
      </c>
      <c r="AM92" s="289"/>
      <c r="AN92" s="289"/>
      <c r="AO92" s="289"/>
      <c r="AP92" s="418" t="str">
        <f t="shared" si="38"/>
        <v/>
      </c>
      <c r="AQ92" s="409"/>
      <c r="AR92" s="418" t="str">
        <f t="shared" si="39"/>
        <v/>
      </c>
      <c r="AS92" s="409"/>
      <c r="AT92" s="418" t="str">
        <f t="shared" si="40"/>
        <v/>
      </c>
      <c r="AU92" s="409"/>
      <c r="AV92" s="418" t="str">
        <f t="shared" si="41"/>
        <v/>
      </c>
      <c r="AW92" s="409"/>
      <c r="AX92" s="409"/>
      <c r="AY92" s="409"/>
      <c r="AZ92" s="409"/>
      <c r="BA92" s="455"/>
      <c r="BB92" s="411"/>
      <c r="BC92" s="411"/>
      <c r="BD92" s="411"/>
      <c r="BE92" s="456"/>
      <c r="BF92" s="409"/>
      <c r="BG92" s="409"/>
      <c r="BH92" s="409"/>
      <c r="BI92" s="266"/>
      <c r="BJ92" s="265"/>
    </row>
    <row r="93" spans="1:62" ht="14.4" customHeight="1">
      <c r="A93" s="265"/>
      <c r="B93" s="289"/>
      <c r="C93" s="289"/>
      <c r="D93" s="409"/>
      <c r="E93" s="409"/>
      <c r="F93" s="409"/>
      <c r="G93" s="464"/>
      <c r="H93" s="465"/>
      <c r="I93" s="465"/>
      <c r="J93" s="465"/>
      <c r="K93" s="466"/>
      <c r="L93" s="409"/>
      <c r="M93" s="409"/>
      <c r="N93" s="409"/>
      <c r="O93" s="409"/>
      <c r="P93" s="418" t="str">
        <f t="shared" si="34"/>
        <v/>
      </c>
      <c r="Q93" s="409"/>
      <c r="R93" s="418" t="str">
        <f t="shared" si="35"/>
        <v/>
      </c>
      <c r="S93" s="409"/>
      <c r="T93" s="418" t="str">
        <f t="shared" si="36"/>
        <v/>
      </c>
      <c r="U93" s="409"/>
      <c r="V93" s="418" t="str">
        <f t="shared" si="37"/>
        <v/>
      </c>
      <c r="W93" s="494" t="str">
        <f>IF(Y91="","","Φ75")</f>
        <v/>
      </c>
      <c r="X93" s="495" t="str">
        <f>IF(Y91="","","x"&amp;VLOOKUP(Y91,big_tabela,42,0))</f>
        <v/>
      </c>
      <c r="Y93" s="403" t="str">
        <f>IF(Y91="","","◄")</f>
        <v/>
      </c>
      <c r="Z93" s="397"/>
      <c r="AA93" s="772"/>
      <c r="AB93" s="772"/>
      <c r="AC93" s="773"/>
      <c r="AD93" s="774"/>
      <c r="AE93" s="289"/>
      <c r="AF93" s="395"/>
      <c r="AG93" s="783"/>
      <c r="AH93" s="783"/>
      <c r="AI93" s="784"/>
      <c r="AJ93" s="767"/>
      <c r="AK93" s="402" t="str">
        <f>IF(AK91="","","◄")</f>
        <v/>
      </c>
      <c r="AL93" s="494" t="str">
        <f>IF(AK91="","","Φ75")</f>
        <v/>
      </c>
      <c r="AM93" s="495" t="str">
        <f>IF(AK91="","","x"&amp;VLOOKUP(AK91,big_tabela,41,0))</f>
        <v/>
      </c>
      <c r="AN93" s="289"/>
      <c r="AO93" s="289"/>
      <c r="AP93" s="418" t="str">
        <f t="shared" si="38"/>
        <v/>
      </c>
      <c r="AQ93" s="409"/>
      <c r="AR93" s="418" t="str">
        <f t="shared" si="39"/>
        <v/>
      </c>
      <c r="AS93" s="409"/>
      <c r="AT93" s="418" t="str">
        <f t="shared" si="40"/>
        <v/>
      </c>
      <c r="AU93" s="409"/>
      <c r="AV93" s="418" t="str">
        <f t="shared" si="41"/>
        <v/>
      </c>
      <c r="AW93" s="409"/>
      <c r="AX93" s="409"/>
      <c r="AY93" s="409"/>
      <c r="AZ93" s="409"/>
      <c r="BA93" s="455"/>
      <c r="BB93" s="411"/>
      <c r="BC93" s="411"/>
      <c r="BD93" s="411"/>
      <c r="BE93" s="456"/>
      <c r="BF93" s="409"/>
      <c r="BG93" s="409"/>
      <c r="BH93" s="409"/>
      <c r="BI93" s="266"/>
      <c r="BJ93" s="265"/>
    </row>
    <row r="94" spans="1:62" ht="3" customHeight="1">
      <c r="A94" s="265"/>
      <c r="B94" s="289"/>
      <c r="C94" s="404"/>
      <c r="D94" s="409"/>
      <c r="E94" s="409"/>
      <c r="F94" s="409"/>
      <c r="G94" s="464"/>
      <c r="H94" s="465"/>
      <c r="I94" s="465"/>
      <c r="J94" s="465"/>
      <c r="K94" s="466"/>
      <c r="L94" s="409"/>
      <c r="M94" s="409"/>
      <c r="N94" s="409"/>
      <c r="O94" s="409"/>
      <c r="P94" s="418" t="str">
        <f t="shared" si="34"/>
        <v/>
      </c>
      <c r="Q94" s="409"/>
      <c r="R94" s="418" t="str">
        <f t="shared" si="35"/>
        <v/>
      </c>
      <c r="S94" s="409"/>
      <c r="T94" s="418" t="str">
        <f t="shared" si="36"/>
        <v/>
      </c>
      <c r="U94" s="409"/>
      <c r="V94" s="418" t="str">
        <f t="shared" si="37"/>
        <v/>
      </c>
      <c r="W94" s="418" t="str">
        <f t="shared" si="37"/>
        <v/>
      </c>
      <c r="X94" s="418" t="str">
        <f t="shared" si="37"/>
        <v/>
      </c>
      <c r="Y94" s="418" t="str">
        <f>$X$92</f>
        <v/>
      </c>
      <c r="Z94" s="397"/>
      <c r="AA94" s="412"/>
      <c r="AB94" s="412"/>
      <c r="AC94" s="415"/>
      <c r="AD94" s="416"/>
      <c r="AE94" s="289"/>
      <c r="AF94" s="395"/>
      <c r="AG94" s="421"/>
      <c r="AH94" s="421"/>
      <c r="AI94" s="413"/>
      <c r="AJ94" s="414"/>
      <c r="AK94" s="418" t="str">
        <f>$AL$92</f>
        <v/>
      </c>
      <c r="AL94" s="418" t="str">
        <f>$AL$92</f>
        <v/>
      </c>
      <c r="AM94" s="418" t="str">
        <f>$AL$92</f>
        <v/>
      </c>
      <c r="AN94" s="418" t="str">
        <f>$AL$92</f>
        <v/>
      </c>
      <c r="AO94" s="418" t="str">
        <f>$AL$92</f>
        <v/>
      </c>
      <c r="AP94" s="418" t="str">
        <f t="shared" si="38"/>
        <v/>
      </c>
      <c r="AQ94" s="409"/>
      <c r="AR94" s="418" t="str">
        <f t="shared" si="39"/>
        <v/>
      </c>
      <c r="AS94" s="409"/>
      <c r="AT94" s="418" t="str">
        <f t="shared" si="40"/>
        <v/>
      </c>
      <c r="AU94" s="409"/>
      <c r="AV94" s="418" t="str">
        <f t="shared" si="41"/>
        <v/>
      </c>
      <c r="AW94" s="409"/>
      <c r="AX94" s="409"/>
      <c r="AY94" s="409"/>
      <c r="AZ94" s="409"/>
      <c r="BA94" s="455"/>
      <c r="BB94" s="411"/>
      <c r="BC94" s="411"/>
      <c r="BD94" s="411"/>
      <c r="BE94" s="456"/>
      <c r="BF94" s="409"/>
      <c r="BG94" s="409"/>
      <c r="BH94" s="409"/>
      <c r="BI94" s="266"/>
      <c r="BJ94" s="265"/>
    </row>
    <row r="95" spans="1:62" ht="14.4" customHeight="1">
      <c r="A95" s="265"/>
      <c r="B95" s="289"/>
      <c r="C95" s="289"/>
      <c r="D95" s="409"/>
      <c r="E95" s="409"/>
      <c r="F95" s="409"/>
      <c r="G95" s="464"/>
      <c r="H95" s="465"/>
      <c r="I95" s="465"/>
      <c r="J95" s="465"/>
      <c r="K95" s="466"/>
      <c r="L95" s="409"/>
      <c r="M95" s="409"/>
      <c r="N95" s="409"/>
      <c r="O95" s="409"/>
      <c r="P95" s="418" t="str">
        <f t="shared" si="34"/>
        <v/>
      </c>
      <c r="Q95" s="409"/>
      <c r="R95" s="418" t="str">
        <f t="shared" si="35"/>
        <v/>
      </c>
      <c r="S95" s="409"/>
      <c r="T95" s="418" t="str">
        <f t="shared" si="36"/>
        <v/>
      </c>
      <c r="U95" s="409"/>
      <c r="V95" s="409"/>
      <c r="W95" s="289"/>
      <c r="X95" s="289"/>
      <c r="Y95" s="289"/>
      <c r="Z95" s="397"/>
      <c r="AA95" s="399" t="str">
        <f>IF(Y91="","",VLOOKUP(Y91,big_tabela,4,0))</f>
        <v/>
      </c>
      <c r="AB95" s="400"/>
      <c r="AC95" s="634" t="str">
        <f>IF(Y91="","","anemostat")</f>
        <v/>
      </c>
      <c r="AD95" s="416" t="str">
        <f>IF(Y91="","","x"&amp;VLOOKUP(Y91,big_tabela,45,0))</f>
        <v/>
      </c>
      <c r="AE95" s="289"/>
      <c r="AF95" s="395"/>
      <c r="AG95" s="398" t="str">
        <f>IF(AK91="","",VLOOKUP(AK91,big_tabela,4,0))</f>
        <v/>
      </c>
      <c r="AH95" s="417"/>
      <c r="AI95" s="635" t="str">
        <f>IF(AK91="","","anemostat")</f>
        <v/>
      </c>
      <c r="AJ95" s="414" t="str">
        <f>IF(AK91="","","x"&amp;VLOOKUP(AK91,big_tabela,44,0))</f>
        <v/>
      </c>
      <c r="AK95" s="401"/>
      <c r="AL95" s="289"/>
      <c r="AM95" s="289"/>
      <c r="AN95" s="289"/>
      <c r="AO95" s="289"/>
      <c r="AP95" s="409"/>
      <c r="AQ95" s="409"/>
      <c r="AR95" s="418" t="str">
        <f t="shared" si="39"/>
        <v/>
      </c>
      <c r="AS95" s="409"/>
      <c r="AT95" s="418" t="str">
        <f t="shared" si="40"/>
        <v/>
      </c>
      <c r="AU95" s="409"/>
      <c r="AV95" s="418" t="str">
        <f t="shared" si="41"/>
        <v/>
      </c>
      <c r="AW95" s="409"/>
      <c r="AX95" s="409"/>
      <c r="AY95" s="409"/>
      <c r="AZ95" s="409"/>
      <c r="BA95" s="455"/>
      <c r="BB95" s="411"/>
      <c r="BC95" s="411"/>
      <c r="BD95" s="411"/>
      <c r="BE95" s="456"/>
      <c r="BF95" s="409"/>
      <c r="BG95" s="409"/>
      <c r="BH95" s="409"/>
      <c r="BI95" s="266"/>
      <c r="BJ95" s="265"/>
    </row>
    <row r="96" spans="1:62" ht="6" customHeight="1">
      <c r="A96" s="265"/>
      <c r="B96" s="289"/>
      <c r="C96" s="289"/>
      <c r="D96" s="409"/>
      <c r="E96" s="409"/>
      <c r="F96" s="409"/>
      <c r="G96" s="464"/>
      <c r="H96" s="465"/>
      <c r="I96" s="465"/>
      <c r="J96" s="465"/>
      <c r="K96" s="466"/>
      <c r="L96" s="409"/>
      <c r="M96" s="409"/>
      <c r="N96" s="409"/>
      <c r="O96" s="409"/>
      <c r="P96" s="418" t="str">
        <f t="shared" si="34"/>
        <v/>
      </c>
      <c r="Q96" s="409"/>
      <c r="R96" s="418" t="str">
        <f t="shared" si="35"/>
        <v/>
      </c>
      <c r="S96" s="409"/>
      <c r="T96" s="418" t="str">
        <f t="shared" si="36"/>
        <v/>
      </c>
      <c r="U96" s="409"/>
      <c r="V96" s="409"/>
      <c r="W96" s="289"/>
      <c r="X96" s="289"/>
      <c r="Y96" s="289"/>
      <c r="Z96" s="397"/>
      <c r="AA96" s="397"/>
      <c r="AB96" s="397"/>
      <c r="AC96" s="397"/>
      <c r="AD96" s="397"/>
      <c r="AE96" s="289"/>
      <c r="AF96" s="395"/>
      <c r="AG96" s="395"/>
      <c r="AH96" s="395"/>
      <c r="AI96" s="395"/>
      <c r="AJ96" s="395"/>
      <c r="AK96" s="289"/>
      <c r="AL96" s="289"/>
      <c r="AM96" s="289"/>
      <c r="AN96" s="289"/>
      <c r="AO96" s="289"/>
      <c r="AP96" s="409"/>
      <c r="AQ96" s="409"/>
      <c r="AR96" s="418" t="str">
        <f t="shared" si="39"/>
        <v/>
      </c>
      <c r="AS96" s="409"/>
      <c r="AT96" s="418" t="str">
        <f t="shared" si="40"/>
        <v/>
      </c>
      <c r="AU96" s="409"/>
      <c r="AV96" s="418" t="str">
        <f t="shared" si="41"/>
        <v/>
      </c>
      <c r="AW96" s="409"/>
      <c r="AX96" s="409"/>
      <c r="AY96" s="409"/>
      <c r="AZ96" s="409"/>
      <c r="BA96" s="455"/>
      <c r="BB96" s="411"/>
      <c r="BC96" s="411"/>
      <c r="BD96" s="411"/>
      <c r="BE96" s="456"/>
      <c r="BF96" s="409"/>
      <c r="BG96" s="409"/>
      <c r="BH96" s="409"/>
      <c r="BI96" s="266"/>
      <c r="BJ96" s="265"/>
    </row>
    <row r="97" spans="1:62">
      <c r="A97" s="265"/>
      <c r="B97" s="289"/>
      <c r="C97" s="289"/>
      <c r="D97" s="409"/>
      <c r="E97" s="409"/>
      <c r="F97" s="409"/>
      <c r="G97" s="464"/>
      <c r="H97" s="465"/>
      <c r="I97" s="465"/>
      <c r="J97" s="465"/>
      <c r="K97" s="466"/>
      <c r="L97" s="409"/>
      <c r="M97" s="409"/>
      <c r="N97" s="409"/>
      <c r="O97" s="409"/>
      <c r="P97" s="418" t="str">
        <f t="shared" si="34"/>
        <v/>
      </c>
      <c r="Q97" s="409"/>
      <c r="R97" s="418" t="str">
        <f t="shared" si="35"/>
        <v/>
      </c>
      <c r="S97" s="409"/>
      <c r="T97" s="418" t="str">
        <f t="shared" si="36"/>
        <v/>
      </c>
      <c r="U97" s="409"/>
      <c r="V97" s="409"/>
      <c r="W97" s="289"/>
      <c r="X97" s="289"/>
      <c r="Y97" s="289"/>
      <c r="Z97" s="289"/>
      <c r="AA97" s="289"/>
      <c r="AB97" s="289"/>
      <c r="AC97" s="289"/>
      <c r="AD97" s="289"/>
      <c r="AE97" s="289"/>
      <c r="AF97" s="289"/>
      <c r="AG97" s="289"/>
      <c r="AH97" s="289"/>
      <c r="AI97" s="289"/>
      <c r="AJ97" s="289"/>
      <c r="AK97" s="289"/>
      <c r="AL97" s="289"/>
      <c r="AM97" s="289"/>
      <c r="AN97" s="289"/>
      <c r="AO97" s="289"/>
      <c r="AP97" s="409"/>
      <c r="AQ97" s="409"/>
      <c r="AR97" s="418" t="str">
        <f t="shared" si="39"/>
        <v/>
      </c>
      <c r="AS97" s="409"/>
      <c r="AT97" s="418" t="str">
        <f t="shared" si="40"/>
        <v/>
      </c>
      <c r="AU97" s="409"/>
      <c r="AV97" s="418" t="str">
        <f t="shared" si="41"/>
        <v/>
      </c>
      <c r="AW97" s="409"/>
      <c r="AX97" s="409"/>
      <c r="AY97" s="409"/>
      <c r="AZ97" s="409"/>
      <c r="BA97" s="455"/>
      <c r="BB97" s="411"/>
      <c r="BC97" s="411"/>
      <c r="BD97" s="411"/>
      <c r="BE97" s="456"/>
      <c r="BF97" s="409"/>
      <c r="BG97" s="409"/>
      <c r="BH97" s="409"/>
      <c r="BI97" s="266"/>
      <c r="BJ97" s="265"/>
    </row>
    <row r="98" spans="1:62" ht="6" customHeight="1">
      <c r="A98" s="265"/>
      <c r="B98" s="289"/>
      <c r="C98" s="289"/>
      <c r="D98" s="409"/>
      <c r="E98" s="409"/>
      <c r="F98" s="409"/>
      <c r="G98" s="464"/>
      <c r="H98" s="465"/>
      <c r="I98" s="465"/>
      <c r="J98" s="465"/>
      <c r="K98" s="466"/>
      <c r="L98" s="409"/>
      <c r="M98" s="409"/>
      <c r="N98" s="409"/>
      <c r="O98" s="409"/>
      <c r="P98" s="418" t="str">
        <f t="shared" si="34"/>
        <v/>
      </c>
      <c r="Q98" s="409"/>
      <c r="R98" s="418" t="str">
        <f t="shared" si="35"/>
        <v/>
      </c>
      <c r="S98" s="409"/>
      <c r="T98" s="418" t="str">
        <f t="shared" si="36"/>
        <v/>
      </c>
      <c r="U98" s="409"/>
      <c r="V98" s="409"/>
      <c r="W98" s="289"/>
      <c r="X98" s="289"/>
      <c r="Y98" s="789" t="str">
        <f>IF(Obliczenia!E72="10","",Obliczenia!E72)</f>
        <v/>
      </c>
      <c r="Z98" s="397"/>
      <c r="AA98" s="397"/>
      <c r="AB98" s="397"/>
      <c r="AC98" s="397"/>
      <c r="AD98" s="397"/>
      <c r="AE98" s="289"/>
      <c r="AF98" s="395"/>
      <c r="AG98" s="395"/>
      <c r="AH98" s="395"/>
      <c r="AI98" s="395"/>
      <c r="AJ98" s="395"/>
      <c r="AK98" s="789" t="str">
        <f>IF(Obliczenia!E48="10","",Obliczenia!E48)</f>
        <v/>
      </c>
      <c r="AL98" s="289"/>
      <c r="AM98" s="289"/>
      <c r="AN98" s="289"/>
      <c r="AO98" s="289"/>
      <c r="AP98" s="409"/>
      <c r="AQ98" s="409"/>
      <c r="AR98" s="418" t="str">
        <f t="shared" si="39"/>
        <v/>
      </c>
      <c r="AS98" s="409"/>
      <c r="AT98" s="418" t="str">
        <f t="shared" si="40"/>
        <v/>
      </c>
      <c r="AU98" s="409"/>
      <c r="AV98" s="418" t="str">
        <f t="shared" si="41"/>
        <v/>
      </c>
      <c r="AW98" s="409"/>
      <c r="AX98" s="409"/>
      <c r="AY98" s="409"/>
      <c r="AZ98" s="409"/>
      <c r="BA98" s="455"/>
      <c r="BB98" s="411"/>
      <c r="BC98" s="411"/>
      <c r="BD98" s="411"/>
      <c r="BE98" s="456"/>
      <c r="BF98" s="409"/>
      <c r="BG98" s="409"/>
      <c r="BH98" s="409"/>
      <c r="BI98" s="266"/>
      <c r="BJ98" s="265"/>
    </row>
    <row r="99" spans="1:62" ht="14.4" customHeight="1">
      <c r="A99" s="265"/>
      <c r="B99" s="289"/>
      <c r="C99" s="289"/>
      <c r="D99" s="409"/>
      <c r="E99" s="409"/>
      <c r="F99" s="409"/>
      <c r="G99" s="464"/>
      <c r="H99" s="465"/>
      <c r="I99" s="465"/>
      <c r="J99" s="465"/>
      <c r="K99" s="466"/>
      <c r="L99" s="409"/>
      <c r="M99" s="409"/>
      <c r="N99" s="409"/>
      <c r="O99" s="409"/>
      <c r="P99" s="418" t="str">
        <f t="shared" si="34"/>
        <v/>
      </c>
      <c r="Q99" s="409"/>
      <c r="R99" s="418" t="str">
        <f t="shared" si="35"/>
        <v/>
      </c>
      <c r="S99" s="409"/>
      <c r="T99" s="418" t="str">
        <f t="shared" si="36"/>
        <v/>
      </c>
      <c r="U99" s="409"/>
      <c r="V99" s="409"/>
      <c r="W99" s="289"/>
      <c r="X99" s="4" t="str">
        <f>IF(Y98&lt;&gt;"","1","")</f>
        <v/>
      </c>
      <c r="Y99" s="789"/>
      <c r="Z99" s="397"/>
      <c r="AA99" s="772" t="str">
        <f>IF(Y98="","",VLOOKUP(Y98,big_tabela,3,0))</f>
        <v/>
      </c>
      <c r="AB99" s="772"/>
      <c r="AC99" s="773" t="str">
        <f>IF(Y98="","",VLOOKUP(Y98,big_tabela,12,0))</f>
        <v/>
      </c>
      <c r="AD99" s="774" t="s">
        <v>373</v>
      </c>
      <c r="AE99" s="289"/>
      <c r="AF99" s="395"/>
      <c r="AG99" s="783" t="str">
        <f>IF(AK98="","",VLOOKUP(AK98,big_tabela,3,0))</f>
        <v/>
      </c>
      <c r="AH99" s="783"/>
      <c r="AI99" s="784" t="str">
        <f>IF(AK98="","",VLOOKUP(AK98,big_tabela,12,0))</f>
        <v/>
      </c>
      <c r="AJ99" s="767" t="s">
        <v>373</v>
      </c>
      <c r="AK99" s="789"/>
      <c r="AL99" t="str">
        <f>IF(AK98&lt;&gt;"","1","")</f>
        <v/>
      </c>
      <c r="AM99" s="289"/>
      <c r="AN99" s="289"/>
      <c r="AO99" s="289"/>
      <c r="AP99" s="409"/>
      <c r="AQ99" s="409"/>
      <c r="AR99" s="418" t="str">
        <f t="shared" si="39"/>
        <v/>
      </c>
      <c r="AS99" s="409"/>
      <c r="AT99" s="418" t="str">
        <f t="shared" si="40"/>
        <v/>
      </c>
      <c r="AU99" s="409"/>
      <c r="AV99" s="418" t="str">
        <f t="shared" si="41"/>
        <v/>
      </c>
      <c r="AW99" s="409"/>
      <c r="AX99" s="409"/>
      <c r="AY99" s="409"/>
      <c r="AZ99" s="409"/>
      <c r="BA99" s="455"/>
      <c r="BB99" s="411"/>
      <c r="BC99" s="411"/>
      <c r="BD99" s="411"/>
      <c r="BE99" s="456"/>
      <c r="BF99" s="409"/>
      <c r="BG99" s="409"/>
      <c r="BH99" s="409"/>
      <c r="BI99" s="266"/>
      <c r="BJ99" s="265"/>
    </row>
    <row r="100" spans="1:62" ht="14.4" customHeight="1">
      <c r="A100" s="265"/>
      <c r="B100" s="289"/>
      <c r="C100" s="289"/>
      <c r="D100" s="409"/>
      <c r="E100" s="409"/>
      <c r="F100" s="409"/>
      <c r="G100" s="464"/>
      <c r="H100" s="465"/>
      <c r="I100" s="465"/>
      <c r="J100" s="465"/>
      <c r="K100" s="466"/>
      <c r="L100" s="409"/>
      <c r="M100" s="409"/>
      <c r="N100" s="409"/>
      <c r="O100" s="409"/>
      <c r="P100" s="418" t="str">
        <f t="shared" si="34"/>
        <v/>
      </c>
      <c r="Q100" s="409"/>
      <c r="R100" s="418" t="str">
        <f t="shared" si="35"/>
        <v/>
      </c>
      <c r="S100" s="409"/>
      <c r="T100" s="418" t="str">
        <f t="shared" si="36"/>
        <v/>
      </c>
      <c r="U100" s="409"/>
      <c r="V100" s="409"/>
      <c r="W100" s="494" t="str">
        <f>IF(Y98="","","Φ75")</f>
        <v/>
      </c>
      <c r="X100" s="495" t="str">
        <f>IF(Y98="","","x"&amp;VLOOKUP(Y98,big_tabela,42,0))</f>
        <v/>
      </c>
      <c r="Y100" s="403" t="str">
        <f>IF(Y98="","","◄")</f>
        <v/>
      </c>
      <c r="Z100" s="397"/>
      <c r="AA100" s="772"/>
      <c r="AB100" s="772"/>
      <c r="AC100" s="773"/>
      <c r="AD100" s="774"/>
      <c r="AE100" s="289"/>
      <c r="AF100" s="395"/>
      <c r="AG100" s="783"/>
      <c r="AH100" s="783"/>
      <c r="AI100" s="784"/>
      <c r="AJ100" s="767"/>
      <c r="AK100" s="402" t="str">
        <f>IF(AK98="","","◄")</f>
        <v/>
      </c>
      <c r="AL100" s="494" t="str">
        <f>IF(AK98="","","Φ75")</f>
        <v/>
      </c>
      <c r="AM100" s="495" t="str">
        <f>IF(AK98="","","x"&amp;VLOOKUP(AK98,big_tabela,41,0))</f>
        <v/>
      </c>
      <c r="AN100" s="289"/>
      <c r="AO100" s="289"/>
      <c r="AP100" s="409"/>
      <c r="AQ100" s="409"/>
      <c r="AR100" s="418" t="str">
        <f t="shared" si="39"/>
        <v/>
      </c>
      <c r="AS100" s="409"/>
      <c r="AT100" s="418" t="str">
        <f t="shared" si="40"/>
        <v/>
      </c>
      <c r="AU100" s="409"/>
      <c r="AV100" s="418" t="str">
        <f t="shared" si="41"/>
        <v/>
      </c>
      <c r="AW100" s="409"/>
      <c r="AX100" s="409"/>
      <c r="AY100" s="409"/>
      <c r="AZ100" s="409"/>
      <c r="BA100" s="455"/>
      <c r="BB100" s="411"/>
      <c r="BC100" s="411"/>
      <c r="BD100" s="411"/>
      <c r="BE100" s="456"/>
      <c r="BF100" s="409"/>
      <c r="BG100" s="409"/>
      <c r="BH100" s="409"/>
      <c r="BI100" s="266"/>
      <c r="BJ100" s="265"/>
    </row>
    <row r="101" spans="1:62" ht="3" customHeight="1">
      <c r="A101" s="265"/>
      <c r="B101" s="289"/>
      <c r="C101" s="404"/>
      <c r="D101" s="409"/>
      <c r="E101" s="409"/>
      <c r="F101" s="409"/>
      <c r="G101" s="464"/>
      <c r="H101" s="465"/>
      <c r="I101" s="465"/>
      <c r="J101" s="465"/>
      <c r="K101" s="466"/>
      <c r="L101" s="409"/>
      <c r="M101" s="409"/>
      <c r="N101" s="409"/>
      <c r="O101" s="409"/>
      <c r="P101" s="418" t="str">
        <f t="shared" si="34"/>
        <v/>
      </c>
      <c r="Q101" s="409"/>
      <c r="R101" s="418" t="str">
        <f t="shared" si="35"/>
        <v/>
      </c>
      <c r="S101" s="409"/>
      <c r="T101" s="418" t="str">
        <f t="shared" si="36"/>
        <v/>
      </c>
      <c r="U101" s="418" t="str">
        <f t="shared" si="36"/>
        <v/>
      </c>
      <c r="V101" s="418" t="str">
        <f t="shared" si="36"/>
        <v/>
      </c>
      <c r="W101" s="418" t="str">
        <f t="shared" si="36"/>
        <v/>
      </c>
      <c r="X101" s="418" t="str">
        <f t="shared" si="36"/>
        <v/>
      </c>
      <c r="Y101" s="418" t="str">
        <f>$X$99</f>
        <v/>
      </c>
      <c r="Z101" s="397"/>
      <c r="AA101" s="412"/>
      <c r="AB101" s="412"/>
      <c r="AC101" s="415"/>
      <c r="AD101" s="416"/>
      <c r="AE101" s="289"/>
      <c r="AF101" s="395"/>
      <c r="AG101" s="421"/>
      <c r="AH101" s="421"/>
      <c r="AI101" s="413"/>
      <c r="AJ101" s="414"/>
      <c r="AK101" s="418" t="str">
        <f t="shared" ref="AK101:AQ101" si="42">$AL$99</f>
        <v/>
      </c>
      <c r="AL101" s="418" t="str">
        <f t="shared" si="42"/>
        <v/>
      </c>
      <c r="AM101" s="418" t="str">
        <f t="shared" si="42"/>
        <v/>
      </c>
      <c r="AN101" s="418" t="str">
        <f t="shared" si="42"/>
        <v/>
      </c>
      <c r="AO101" s="418" t="str">
        <f t="shared" si="42"/>
        <v/>
      </c>
      <c r="AP101" s="418" t="str">
        <f t="shared" si="42"/>
        <v/>
      </c>
      <c r="AQ101" s="418" t="str">
        <f t="shared" si="42"/>
        <v/>
      </c>
      <c r="AR101" s="418" t="str">
        <f t="shared" si="39"/>
        <v/>
      </c>
      <c r="AS101" s="409"/>
      <c r="AT101" s="418" t="str">
        <f t="shared" si="40"/>
        <v/>
      </c>
      <c r="AU101" s="409"/>
      <c r="AV101" s="418" t="str">
        <f t="shared" si="41"/>
        <v/>
      </c>
      <c r="AW101" s="409"/>
      <c r="AX101" s="409"/>
      <c r="AY101" s="409"/>
      <c r="AZ101" s="409"/>
      <c r="BA101" s="455"/>
      <c r="BB101" s="411"/>
      <c r="BC101" s="411"/>
      <c r="BD101" s="411"/>
      <c r="BE101" s="456"/>
      <c r="BF101" s="409"/>
      <c r="BG101" s="409"/>
      <c r="BH101" s="409"/>
      <c r="BI101" s="266"/>
      <c r="BJ101" s="265"/>
    </row>
    <row r="102" spans="1:62" ht="14.4" customHeight="1">
      <c r="A102" s="265"/>
      <c r="B102" s="289"/>
      <c r="C102" s="289"/>
      <c r="D102" s="409"/>
      <c r="E102" s="409"/>
      <c r="F102" s="409"/>
      <c r="G102" s="464"/>
      <c r="H102" s="465"/>
      <c r="I102" s="465"/>
      <c r="J102" s="465"/>
      <c r="K102" s="466"/>
      <c r="L102" s="409"/>
      <c r="M102" s="409"/>
      <c r="N102" s="409"/>
      <c r="O102" s="409"/>
      <c r="P102" s="418" t="str">
        <f t="shared" si="34"/>
        <v/>
      </c>
      <c r="Q102" s="409"/>
      <c r="R102" s="418" t="str">
        <f t="shared" si="35"/>
        <v/>
      </c>
      <c r="S102" s="409"/>
      <c r="T102" s="409"/>
      <c r="U102" s="409"/>
      <c r="V102" s="409"/>
      <c r="W102" s="289"/>
      <c r="X102" s="289"/>
      <c r="Y102" s="289"/>
      <c r="Z102" s="397"/>
      <c r="AA102" s="399" t="str">
        <f>IF(Y98="","",VLOOKUP(Y98,big_tabela,4,0))</f>
        <v/>
      </c>
      <c r="AB102" s="400"/>
      <c r="AC102" s="634" t="str">
        <f>IF(Y98="","","anemostat")</f>
        <v/>
      </c>
      <c r="AD102" s="416" t="str">
        <f>IF(Y98="","","x"&amp;VLOOKUP(Y98,big_tabela,45,0))</f>
        <v/>
      </c>
      <c r="AE102" s="289"/>
      <c r="AF102" s="395"/>
      <c r="AG102" s="398" t="str">
        <f>IF(AK98="","",VLOOKUP(AK98,big_tabela,4,0))</f>
        <v/>
      </c>
      <c r="AH102" s="417"/>
      <c r="AI102" s="635" t="str">
        <f>IF(AK98="","","anemostat")</f>
        <v/>
      </c>
      <c r="AJ102" s="414" t="str">
        <f>IF(AK98="","","x"&amp;VLOOKUP(AK98,big_tabela,44,0))</f>
        <v/>
      </c>
      <c r="AK102" s="401"/>
      <c r="AL102" s="289"/>
      <c r="AM102" s="289"/>
      <c r="AN102" s="289"/>
      <c r="AO102" s="289"/>
      <c r="AP102" s="409"/>
      <c r="AQ102" s="409"/>
      <c r="AR102" s="409"/>
      <c r="AS102" s="409"/>
      <c r="AT102" s="418" t="str">
        <f t="shared" si="40"/>
        <v/>
      </c>
      <c r="AU102" s="409"/>
      <c r="AV102" s="418" t="str">
        <f t="shared" si="41"/>
        <v/>
      </c>
      <c r="AW102" s="409"/>
      <c r="AX102" s="409"/>
      <c r="AY102" s="409"/>
      <c r="AZ102" s="409"/>
      <c r="BA102" s="455"/>
      <c r="BB102" s="411"/>
      <c r="BC102" s="411"/>
      <c r="BD102" s="411"/>
      <c r="BE102" s="456"/>
      <c r="BF102" s="409"/>
      <c r="BG102" s="409"/>
      <c r="BH102" s="409"/>
      <c r="BI102" s="266"/>
      <c r="BJ102" s="265"/>
    </row>
    <row r="103" spans="1:62" ht="6" customHeight="1">
      <c r="A103" s="265"/>
      <c r="B103" s="289"/>
      <c r="C103" s="289"/>
      <c r="D103" s="409"/>
      <c r="E103" s="409"/>
      <c r="F103" s="409"/>
      <c r="G103" s="464"/>
      <c r="H103" s="465"/>
      <c r="I103" s="465"/>
      <c r="J103" s="465"/>
      <c r="K103" s="466"/>
      <c r="L103" s="409"/>
      <c r="M103" s="409"/>
      <c r="N103" s="409"/>
      <c r="O103" s="409"/>
      <c r="P103" s="418" t="str">
        <f t="shared" si="34"/>
        <v/>
      </c>
      <c r="Q103" s="409"/>
      <c r="R103" s="418" t="str">
        <f t="shared" si="35"/>
        <v/>
      </c>
      <c r="S103" s="409"/>
      <c r="T103" s="409"/>
      <c r="U103" s="409"/>
      <c r="V103" s="409"/>
      <c r="W103" s="289"/>
      <c r="X103" s="289"/>
      <c r="Y103" s="289"/>
      <c r="Z103" s="397"/>
      <c r="AA103" s="397"/>
      <c r="AB103" s="397"/>
      <c r="AC103" s="397"/>
      <c r="AD103" s="397"/>
      <c r="AE103" s="289"/>
      <c r="AF103" s="395"/>
      <c r="AG103" s="395"/>
      <c r="AH103" s="395"/>
      <c r="AI103" s="395"/>
      <c r="AJ103" s="395"/>
      <c r="AK103" s="289"/>
      <c r="AL103" s="289"/>
      <c r="AM103" s="289"/>
      <c r="AN103" s="289"/>
      <c r="AO103" s="289"/>
      <c r="AP103" s="409"/>
      <c r="AQ103" s="409"/>
      <c r="AR103" s="409"/>
      <c r="AS103" s="409"/>
      <c r="AT103" s="418" t="str">
        <f t="shared" si="40"/>
        <v/>
      </c>
      <c r="AU103" s="409"/>
      <c r="AV103" s="418" t="str">
        <f t="shared" si="41"/>
        <v/>
      </c>
      <c r="AW103" s="409"/>
      <c r="AX103" s="409"/>
      <c r="AY103" s="409"/>
      <c r="AZ103" s="409"/>
      <c r="BA103" s="455"/>
      <c r="BB103" s="411"/>
      <c r="BC103" s="411"/>
      <c r="BD103" s="411"/>
      <c r="BE103" s="456"/>
      <c r="BF103" s="409"/>
      <c r="BG103" s="409"/>
      <c r="BH103" s="409"/>
      <c r="BI103" s="266"/>
      <c r="BJ103" s="265"/>
    </row>
    <row r="104" spans="1:62">
      <c r="A104" s="265"/>
      <c r="B104" s="289"/>
      <c r="C104" s="289"/>
      <c r="D104" s="409"/>
      <c r="E104" s="409"/>
      <c r="F104" s="409"/>
      <c r="G104" s="464"/>
      <c r="H104" s="465"/>
      <c r="I104" s="465"/>
      <c r="J104" s="465"/>
      <c r="K104" s="466"/>
      <c r="L104" s="409"/>
      <c r="M104" s="409"/>
      <c r="N104" s="409"/>
      <c r="O104" s="409"/>
      <c r="P104" s="418" t="str">
        <f t="shared" si="34"/>
        <v/>
      </c>
      <c r="Q104" s="409"/>
      <c r="R104" s="418" t="str">
        <f t="shared" si="35"/>
        <v/>
      </c>
      <c r="S104" s="409"/>
      <c r="T104" s="409"/>
      <c r="U104" s="409"/>
      <c r="V104" s="409"/>
      <c r="W104" s="289"/>
      <c r="X104" s="289"/>
      <c r="Y104" s="289"/>
      <c r="Z104" s="289"/>
      <c r="AA104" s="289"/>
      <c r="AB104" s="289"/>
      <c r="AC104" s="289"/>
      <c r="AD104" s="289"/>
      <c r="AE104" s="289"/>
      <c r="AF104" s="289"/>
      <c r="AG104" s="289"/>
      <c r="AH104" s="289"/>
      <c r="AI104" s="289"/>
      <c r="AJ104" s="289"/>
      <c r="AK104" s="289"/>
      <c r="AL104" s="289"/>
      <c r="AM104" s="289"/>
      <c r="AN104" s="289"/>
      <c r="AO104" s="289"/>
      <c r="AP104" s="409"/>
      <c r="AQ104" s="409"/>
      <c r="AR104" s="409"/>
      <c r="AS104" s="409"/>
      <c r="AT104" s="418" t="str">
        <f t="shared" si="40"/>
        <v/>
      </c>
      <c r="AU104" s="409"/>
      <c r="AV104" s="418" t="str">
        <f t="shared" si="41"/>
        <v/>
      </c>
      <c r="AW104" s="409"/>
      <c r="AX104" s="409"/>
      <c r="AY104" s="409"/>
      <c r="AZ104" s="409"/>
      <c r="BA104" s="455"/>
      <c r="BB104" s="411"/>
      <c r="BC104" s="411"/>
      <c r="BD104" s="411"/>
      <c r="BE104" s="456"/>
      <c r="BF104" s="409"/>
      <c r="BG104" s="409"/>
      <c r="BH104" s="409"/>
      <c r="BI104" s="266"/>
      <c r="BJ104" s="265"/>
    </row>
    <row r="105" spans="1:62" ht="6" customHeight="1">
      <c r="A105" s="265"/>
      <c r="B105" s="289"/>
      <c r="C105" s="289"/>
      <c r="D105" s="409"/>
      <c r="E105" s="409"/>
      <c r="F105" s="409"/>
      <c r="G105" s="464"/>
      <c r="H105" s="465"/>
      <c r="I105" s="465"/>
      <c r="J105" s="465"/>
      <c r="K105" s="466"/>
      <c r="L105" s="409"/>
      <c r="M105" s="409"/>
      <c r="N105" s="409"/>
      <c r="O105" s="409"/>
      <c r="P105" s="418" t="str">
        <f t="shared" si="34"/>
        <v/>
      </c>
      <c r="Q105" s="409"/>
      <c r="R105" s="418" t="str">
        <f t="shared" si="35"/>
        <v/>
      </c>
      <c r="S105" s="409"/>
      <c r="T105" s="409"/>
      <c r="U105" s="409"/>
      <c r="V105" s="409"/>
      <c r="W105" s="289"/>
      <c r="X105" s="289"/>
      <c r="Y105" s="789" t="str">
        <f>IF(Obliczenia!E73="10","",Obliczenia!E73)</f>
        <v/>
      </c>
      <c r="Z105" s="397"/>
      <c r="AA105" s="397"/>
      <c r="AB105" s="397"/>
      <c r="AC105" s="397"/>
      <c r="AD105" s="397"/>
      <c r="AE105" s="289"/>
      <c r="AF105" s="395"/>
      <c r="AG105" s="395"/>
      <c r="AH105" s="395"/>
      <c r="AI105" s="395"/>
      <c r="AJ105" s="395"/>
      <c r="AK105" s="789" t="str">
        <f>IF(Obliczenia!E49="10","",Obliczenia!E49)</f>
        <v/>
      </c>
      <c r="AL105" s="289"/>
      <c r="AM105" s="289"/>
      <c r="AN105" s="289"/>
      <c r="AO105" s="289"/>
      <c r="AP105" s="409"/>
      <c r="AQ105" s="409"/>
      <c r="AR105" s="409"/>
      <c r="AS105" s="409"/>
      <c r="AT105" s="418" t="str">
        <f t="shared" si="40"/>
        <v/>
      </c>
      <c r="AU105" s="409"/>
      <c r="AV105" s="418" t="str">
        <f t="shared" si="41"/>
        <v/>
      </c>
      <c r="AW105" s="409"/>
      <c r="AX105" s="409"/>
      <c r="AY105" s="409"/>
      <c r="AZ105" s="409"/>
      <c r="BA105" s="455"/>
      <c r="BB105" s="411"/>
      <c r="BC105" s="411"/>
      <c r="BD105" s="411"/>
      <c r="BE105" s="456"/>
      <c r="BF105" s="409"/>
      <c r="BG105" s="409"/>
      <c r="BH105" s="409"/>
      <c r="BI105" s="266"/>
      <c r="BJ105" s="265"/>
    </row>
    <row r="106" spans="1:62" ht="14.4" customHeight="1">
      <c r="A106" s="265"/>
      <c r="B106" s="289"/>
      <c r="C106" s="289"/>
      <c r="D106" s="409"/>
      <c r="E106" s="409"/>
      <c r="F106" s="409"/>
      <c r="G106" s="464"/>
      <c r="H106" s="465"/>
      <c r="I106" s="465"/>
      <c r="J106" s="465"/>
      <c r="K106" s="466"/>
      <c r="L106" s="409"/>
      <c r="M106" s="409"/>
      <c r="N106" s="409"/>
      <c r="O106" s="409"/>
      <c r="P106" s="418" t="str">
        <f t="shared" si="34"/>
        <v/>
      </c>
      <c r="Q106" s="409"/>
      <c r="R106" s="418" t="str">
        <f t="shared" si="35"/>
        <v/>
      </c>
      <c r="S106" s="409"/>
      <c r="T106" s="409"/>
      <c r="U106" s="409"/>
      <c r="V106" s="409"/>
      <c r="W106" s="289"/>
      <c r="X106" s="4" t="str">
        <f>IF(Y105&lt;&gt;"","1","")</f>
        <v/>
      </c>
      <c r="Y106" s="789"/>
      <c r="Z106" s="397"/>
      <c r="AA106" s="772" t="str">
        <f>IF(Y105="","",VLOOKUP(Y105,big_tabela,3,0))</f>
        <v/>
      </c>
      <c r="AB106" s="772"/>
      <c r="AC106" s="773" t="str">
        <f>IF(Y105="","",VLOOKUP(Y105,big_tabela,12,0))</f>
        <v/>
      </c>
      <c r="AD106" s="774" t="s">
        <v>373</v>
      </c>
      <c r="AE106" s="289"/>
      <c r="AF106" s="395"/>
      <c r="AG106" s="783" t="str">
        <f>IF(AK105="","",VLOOKUP(AK105,big_tabela,3,0))</f>
        <v/>
      </c>
      <c r="AH106" s="783"/>
      <c r="AI106" s="784" t="str">
        <f>IF(AK105="","",VLOOKUP(AK105,big_tabela,12,0))</f>
        <v/>
      </c>
      <c r="AJ106" s="767" t="s">
        <v>373</v>
      </c>
      <c r="AK106" s="789"/>
      <c r="AL106" t="str">
        <f>IF(AK105&lt;&gt;"","1","")</f>
        <v/>
      </c>
      <c r="AM106" s="289"/>
      <c r="AN106" s="289"/>
      <c r="AO106" s="289"/>
      <c r="AP106" s="409"/>
      <c r="AQ106" s="409"/>
      <c r="AR106" s="409"/>
      <c r="AS106" s="409"/>
      <c r="AT106" s="418" t="str">
        <f t="shared" si="40"/>
        <v/>
      </c>
      <c r="AU106" s="409"/>
      <c r="AV106" s="418" t="str">
        <f t="shared" si="41"/>
        <v/>
      </c>
      <c r="AW106" s="409"/>
      <c r="AX106" s="409"/>
      <c r="AY106" s="409"/>
      <c r="AZ106" s="409"/>
      <c r="BA106" s="455"/>
      <c r="BB106" s="411"/>
      <c r="BC106" s="411"/>
      <c r="BD106" s="411"/>
      <c r="BE106" s="456"/>
      <c r="BF106" s="409"/>
      <c r="BG106" s="409"/>
      <c r="BH106" s="409"/>
      <c r="BI106" s="266"/>
      <c r="BJ106" s="265"/>
    </row>
    <row r="107" spans="1:62" ht="14.4" customHeight="1">
      <c r="A107" s="265"/>
      <c r="B107" s="289"/>
      <c r="C107" s="289"/>
      <c r="D107" s="409"/>
      <c r="E107" s="409"/>
      <c r="F107" s="409"/>
      <c r="G107" s="464"/>
      <c r="H107" s="465"/>
      <c r="I107" s="465"/>
      <c r="J107" s="465"/>
      <c r="K107" s="466"/>
      <c r="L107" s="409"/>
      <c r="M107" s="409"/>
      <c r="N107" s="409"/>
      <c r="O107" s="409"/>
      <c r="P107" s="418" t="str">
        <f t="shared" si="34"/>
        <v/>
      </c>
      <c r="Q107" s="409"/>
      <c r="R107" s="418" t="str">
        <f t="shared" si="35"/>
        <v/>
      </c>
      <c r="S107" s="409"/>
      <c r="T107" s="409"/>
      <c r="U107" s="409"/>
      <c r="V107" s="409"/>
      <c r="W107" s="494" t="str">
        <f>IF(Y105="","","Φ75")</f>
        <v/>
      </c>
      <c r="X107" s="495" t="str">
        <f>IF(Y105="","","x"&amp;VLOOKUP(Y105,big_tabela,42,0))</f>
        <v/>
      </c>
      <c r="Y107" s="403" t="str">
        <f>IF(Y105="","","◄")</f>
        <v/>
      </c>
      <c r="Z107" s="397"/>
      <c r="AA107" s="772"/>
      <c r="AB107" s="772"/>
      <c r="AC107" s="773"/>
      <c r="AD107" s="774"/>
      <c r="AE107" s="289"/>
      <c r="AF107" s="395"/>
      <c r="AG107" s="783"/>
      <c r="AH107" s="783"/>
      <c r="AI107" s="784"/>
      <c r="AJ107" s="767"/>
      <c r="AK107" s="402" t="str">
        <f>IF(AK105="","","◄")</f>
        <v/>
      </c>
      <c r="AL107" s="494" t="str">
        <f>IF(AK105="","","Φ75")</f>
        <v/>
      </c>
      <c r="AM107" s="495" t="str">
        <f>IF(AK105="","","x"&amp;VLOOKUP(AK105,big_tabela,41,0))</f>
        <v/>
      </c>
      <c r="AN107" s="289"/>
      <c r="AO107" s="289"/>
      <c r="AP107" s="409"/>
      <c r="AQ107" s="409"/>
      <c r="AR107" s="409"/>
      <c r="AS107" s="409"/>
      <c r="AT107" s="418" t="str">
        <f t="shared" si="40"/>
        <v/>
      </c>
      <c r="AU107" s="409"/>
      <c r="AV107" s="418" t="str">
        <f t="shared" si="41"/>
        <v/>
      </c>
      <c r="AW107" s="409"/>
      <c r="AX107" s="409"/>
      <c r="AY107" s="409"/>
      <c r="AZ107" s="409"/>
      <c r="BA107" s="455"/>
      <c r="BB107" s="411"/>
      <c r="BC107" s="411"/>
      <c r="BD107" s="411"/>
      <c r="BE107" s="456"/>
      <c r="BF107" s="409"/>
      <c r="BG107" s="409"/>
      <c r="BH107" s="409"/>
      <c r="BI107" s="266"/>
      <c r="BJ107" s="265"/>
    </row>
    <row r="108" spans="1:62" ht="3" customHeight="1">
      <c r="A108" s="265"/>
      <c r="B108" s="289"/>
      <c r="C108" s="404"/>
      <c r="D108" s="409"/>
      <c r="E108" s="409"/>
      <c r="F108" s="409"/>
      <c r="G108" s="464"/>
      <c r="H108" s="465"/>
      <c r="I108" s="465"/>
      <c r="J108" s="465"/>
      <c r="K108" s="466"/>
      <c r="L108" s="409"/>
      <c r="M108" s="409"/>
      <c r="N108" s="409"/>
      <c r="O108" s="409"/>
      <c r="P108" s="418" t="str">
        <f t="shared" si="34"/>
        <v/>
      </c>
      <c r="Q108" s="409"/>
      <c r="R108" s="418" t="str">
        <f t="shared" si="35"/>
        <v/>
      </c>
      <c r="S108" s="418" t="str">
        <f t="shared" si="35"/>
        <v/>
      </c>
      <c r="T108" s="418" t="str">
        <f t="shared" si="35"/>
        <v/>
      </c>
      <c r="U108" s="418" t="str">
        <f t="shared" si="35"/>
        <v/>
      </c>
      <c r="V108" s="418" t="str">
        <f t="shared" si="35"/>
        <v/>
      </c>
      <c r="W108" s="418" t="str">
        <f t="shared" si="35"/>
        <v/>
      </c>
      <c r="X108" s="418" t="str">
        <f t="shared" si="35"/>
        <v/>
      </c>
      <c r="Y108" s="418" t="str">
        <f>$X$106</f>
        <v/>
      </c>
      <c r="Z108" s="397"/>
      <c r="AA108" s="412"/>
      <c r="AB108" s="412"/>
      <c r="AC108" s="415"/>
      <c r="AD108" s="416"/>
      <c r="AE108" s="289"/>
      <c r="AF108" s="395"/>
      <c r="AG108" s="421"/>
      <c r="AH108" s="421"/>
      <c r="AI108" s="413"/>
      <c r="AJ108" s="414"/>
      <c r="AK108" s="418" t="str">
        <f t="shared" ref="AK108:AS108" si="43">$AL$106</f>
        <v/>
      </c>
      <c r="AL108" s="418" t="str">
        <f t="shared" si="43"/>
        <v/>
      </c>
      <c r="AM108" s="418" t="str">
        <f t="shared" si="43"/>
        <v/>
      </c>
      <c r="AN108" s="418" t="str">
        <f t="shared" si="43"/>
        <v/>
      </c>
      <c r="AO108" s="418" t="str">
        <f t="shared" si="43"/>
        <v/>
      </c>
      <c r="AP108" s="418" t="str">
        <f t="shared" si="43"/>
        <v/>
      </c>
      <c r="AQ108" s="418" t="str">
        <f t="shared" si="43"/>
        <v/>
      </c>
      <c r="AR108" s="418" t="str">
        <f t="shared" si="43"/>
        <v/>
      </c>
      <c r="AS108" s="418" t="str">
        <f t="shared" si="43"/>
        <v/>
      </c>
      <c r="AT108" s="418" t="str">
        <f t="shared" si="40"/>
        <v/>
      </c>
      <c r="AU108" s="409"/>
      <c r="AV108" s="418" t="str">
        <f t="shared" si="41"/>
        <v/>
      </c>
      <c r="AW108" s="409"/>
      <c r="AX108" s="409"/>
      <c r="AY108" s="409"/>
      <c r="AZ108" s="409"/>
      <c r="BA108" s="455"/>
      <c r="BB108" s="411"/>
      <c r="BC108" s="411"/>
      <c r="BD108" s="411"/>
      <c r="BE108" s="456"/>
      <c r="BF108" s="409"/>
      <c r="BG108" s="409"/>
      <c r="BH108" s="409"/>
      <c r="BI108" s="266"/>
      <c r="BJ108" s="265"/>
    </row>
    <row r="109" spans="1:62" ht="14.4" customHeight="1">
      <c r="A109" s="265"/>
      <c r="B109" s="289"/>
      <c r="C109" s="289"/>
      <c r="D109" s="409"/>
      <c r="E109" s="409"/>
      <c r="F109" s="409"/>
      <c r="G109" s="464"/>
      <c r="H109" s="465"/>
      <c r="I109" s="465"/>
      <c r="J109" s="465"/>
      <c r="K109" s="466"/>
      <c r="L109" s="409"/>
      <c r="M109" s="409"/>
      <c r="N109" s="409"/>
      <c r="O109" s="409"/>
      <c r="P109" s="418" t="str">
        <f t="shared" si="34"/>
        <v/>
      </c>
      <c r="Q109" s="409"/>
      <c r="R109" s="409"/>
      <c r="S109" s="409"/>
      <c r="T109" s="409"/>
      <c r="U109" s="409"/>
      <c r="V109" s="409"/>
      <c r="W109" s="289"/>
      <c r="X109" s="289"/>
      <c r="Y109" s="289"/>
      <c r="Z109" s="397"/>
      <c r="AA109" s="399" t="str">
        <f>IF(Y105="","",VLOOKUP(Y105,big_tabela,4,0))</f>
        <v/>
      </c>
      <c r="AB109" s="400"/>
      <c r="AC109" s="634" t="str">
        <f>IF(Y105="","","anemostat")</f>
        <v/>
      </c>
      <c r="AD109" s="416" t="str">
        <f>IF(Y105="","","x"&amp;VLOOKUP(Y105,big_tabela,45,0))</f>
        <v/>
      </c>
      <c r="AE109" s="289"/>
      <c r="AF109" s="395"/>
      <c r="AG109" s="398" t="str">
        <f>IF(AK105="","",VLOOKUP(AK105,big_tabela,4,0))</f>
        <v/>
      </c>
      <c r="AH109" s="417"/>
      <c r="AI109" s="635" t="str">
        <f>IF(AK105="","","anemostat")</f>
        <v/>
      </c>
      <c r="AJ109" s="414" t="str">
        <f>IF(AK105="","","x"&amp;VLOOKUP(AK105,big_tabela,44,0))</f>
        <v/>
      </c>
      <c r="AK109" s="401"/>
      <c r="AL109" s="289"/>
      <c r="AM109" s="289"/>
      <c r="AN109" s="289"/>
      <c r="AO109" s="289"/>
      <c r="AP109" s="409"/>
      <c r="AQ109" s="409"/>
      <c r="AR109" s="409"/>
      <c r="AS109" s="409"/>
      <c r="AT109" s="409"/>
      <c r="AU109" s="409"/>
      <c r="AV109" s="418" t="str">
        <f t="shared" si="41"/>
        <v/>
      </c>
      <c r="AW109" s="409"/>
      <c r="AX109" s="409"/>
      <c r="AY109" s="409"/>
      <c r="AZ109" s="409"/>
      <c r="BA109" s="455"/>
      <c r="BB109" s="411"/>
      <c r="BC109" s="411"/>
      <c r="BD109" s="411"/>
      <c r="BE109" s="456"/>
      <c r="BF109" s="409"/>
      <c r="BG109" s="409"/>
      <c r="BH109" s="409"/>
      <c r="BI109" s="266"/>
      <c r="BJ109" s="265"/>
    </row>
    <row r="110" spans="1:62" ht="6" customHeight="1">
      <c r="A110" s="265"/>
      <c r="B110" s="289"/>
      <c r="C110" s="289"/>
      <c r="D110" s="409"/>
      <c r="E110" s="409"/>
      <c r="F110" s="409"/>
      <c r="G110" s="464"/>
      <c r="H110" s="465"/>
      <c r="I110" s="465"/>
      <c r="J110" s="465"/>
      <c r="K110" s="466"/>
      <c r="L110" s="409"/>
      <c r="M110" s="409"/>
      <c r="N110" s="409"/>
      <c r="O110" s="409"/>
      <c r="P110" s="418" t="str">
        <f t="shared" si="34"/>
        <v/>
      </c>
      <c r="Q110" s="409"/>
      <c r="R110" s="409"/>
      <c r="S110" s="409"/>
      <c r="T110" s="409"/>
      <c r="U110" s="409"/>
      <c r="V110" s="409"/>
      <c r="W110" s="289"/>
      <c r="X110" s="289"/>
      <c r="Y110" s="289"/>
      <c r="Z110" s="397"/>
      <c r="AA110" s="397"/>
      <c r="AB110" s="397"/>
      <c r="AC110" s="397"/>
      <c r="AD110" s="397"/>
      <c r="AE110" s="289"/>
      <c r="AF110" s="395"/>
      <c r="AG110" s="395"/>
      <c r="AH110" s="395"/>
      <c r="AI110" s="395"/>
      <c r="AJ110" s="395"/>
      <c r="AK110" s="289"/>
      <c r="AL110" s="289"/>
      <c r="AM110" s="289"/>
      <c r="AN110" s="289"/>
      <c r="AO110" s="289"/>
      <c r="AP110" s="409"/>
      <c r="AQ110" s="409"/>
      <c r="AR110" s="409"/>
      <c r="AS110" s="409"/>
      <c r="AT110" s="409"/>
      <c r="AU110" s="409"/>
      <c r="AV110" s="418" t="str">
        <f t="shared" si="41"/>
        <v/>
      </c>
      <c r="AW110" s="409"/>
      <c r="AX110" s="409"/>
      <c r="AY110" s="409"/>
      <c r="AZ110" s="409"/>
      <c r="BA110" s="455"/>
      <c r="BB110" s="411"/>
      <c r="BC110" s="411"/>
      <c r="BD110" s="411"/>
      <c r="BE110" s="456"/>
      <c r="BF110" s="409"/>
      <c r="BG110" s="409"/>
      <c r="BH110" s="409"/>
      <c r="BI110" s="266"/>
      <c r="BJ110" s="265"/>
    </row>
    <row r="111" spans="1:62">
      <c r="A111" s="265"/>
      <c r="B111" s="289"/>
      <c r="C111" s="289"/>
      <c r="D111" s="409"/>
      <c r="E111" s="409"/>
      <c r="F111" s="409"/>
      <c r="G111" s="464"/>
      <c r="H111" s="465"/>
      <c r="I111" s="465"/>
      <c r="J111" s="465"/>
      <c r="K111" s="466"/>
      <c r="L111" s="409"/>
      <c r="M111" s="409"/>
      <c r="N111" s="409"/>
      <c r="O111" s="409"/>
      <c r="P111" s="418" t="str">
        <f t="shared" si="34"/>
        <v/>
      </c>
      <c r="Q111" s="409"/>
      <c r="R111" s="409"/>
      <c r="S111" s="409"/>
      <c r="T111" s="409"/>
      <c r="U111" s="409"/>
      <c r="V111" s="409"/>
      <c r="W111" s="289"/>
      <c r="X111" s="289"/>
      <c r="Y111" s="289"/>
      <c r="Z111" s="289"/>
      <c r="AA111" s="289"/>
      <c r="AB111" s="289"/>
      <c r="AC111" s="289"/>
      <c r="AD111" s="289"/>
      <c r="AE111" s="289"/>
      <c r="AF111" s="289"/>
      <c r="AG111" s="289"/>
      <c r="AH111" s="289"/>
      <c r="AI111" s="289"/>
      <c r="AJ111" s="289"/>
      <c r="AK111" s="289"/>
      <c r="AL111" s="289"/>
      <c r="AM111" s="289"/>
      <c r="AN111" s="289"/>
      <c r="AO111" s="289"/>
      <c r="AP111" s="409"/>
      <c r="AQ111" s="409"/>
      <c r="AR111" s="409"/>
      <c r="AS111" s="409"/>
      <c r="AT111" s="409"/>
      <c r="AU111" s="409"/>
      <c r="AV111" s="418" t="str">
        <f t="shared" si="41"/>
        <v/>
      </c>
      <c r="AW111" s="409"/>
      <c r="AX111" s="409"/>
      <c r="AY111" s="409"/>
      <c r="AZ111" s="409"/>
      <c r="BA111" s="455"/>
      <c r="BB111" s="411"/>
      <c r="BC111" s="411"/>
      <c r="BD111" s="411"/>
      <c r="BE111" s="456"/>
      <c r="BF111" s="409"/>
      <c r="BG111" s="409"/>
      <c r="BH111" s="409"/>
      <c r="BI111" s="266"/>
      <c r="BJ111" s="265"/>
    </row>
    <row r="112" spans="1:62" ht="6" customHeight="1">
      <c r="A112" s="265"/>
      <c r="B112" s="289"/>
      <c r="C112" s="289"/>
      <c r="D112" s="409"/>
      <c r="E112" s="409"/>
      <c r="F112" s="409"/>
      <c r="G112" s="464"/>
      <c r="H112" s="465"/>
      <c r="I112" s="465"/>
      <c r="J112" s="465"/>
      <c r="K112" s="466"/>
      <c r="L112" s="409"/>
      <c r="M112" s="409"/>
      <c r="N112" s="409"/>
      <c r="O112" s="409"/>
      <c r="P112" s="418" t="str">
        <f t="shared" si="34"/>
        <v/>
      </c>
      <c r="Q112" s="409"/>
      <c r="R112" s="409"/>
      <c r="S112" s="409"/>
      <c r="T112" s="409"/>
      <c r="U112" s="409"/>
      <c r="V112" s="409"/>
      <c r="W112" s="289"/>
      <c r="X112" s="289"/>
      <c r="Y112" s="789" t="str">
        <f>IF(Obliczenia!E74="10","",Obliczenia!E74)</f>
        <v/>
      </c>
      <c r="Z112" s="397"/>
      <c r="AA112" s="397"/>
      <c r="AB112" s="397"/>
      <c r="AC112" s="397"/>
      <c r="AD112" s="397"/>
      <c r="AE112" s="289"/>
      <c r="AF112" s="395"/>
      <c r="AG112" s="395"/>
      <c r="AH112" s="395"/>
      <c r="AI112" s="395"/>
      <c r="AJ112" s="395"/>
      <c r="AK112" s="789" t="str">
        <f>IF(Obliczenia!E50="10","",Obliczenia!E50)</f>
        <v/>
      </c>
      <c r="AL112" s="289"/>
      <c r="AM112" s="289"/>
      <c r="AN112" s="289"/>
      <c r="AO112" s="289"/>
      <c r="AP112" s="409"/>
      <c r="AQ112" s="409"/>
      <c r="AR112" s="409"/>
      <c r="AS112" s="409"/>
      <c r="AT112" s="409"/>
      <c r="AU112" s="409"/>
      <c r="AV112" s="418" t="str">
        <f t="shared" si="41"/>
        <v/>
      </c>
      <c r="AW112" s="409"/>
      <c r="AX112" s="409"/>
      <c r="AY112" s="409"/>
      <c r="AZ112" s="409"/>
      <c r="BA112" s="455"/>
      <c r="BB112" s="411"/>
      <c r="BC112" s="411"/>
      <c r="BD112" s="411"/>
      <c r="BE112" s="456"/>
      <c r="BF112" s="409"/>
      <c r="BG112" s="409"/>
      <c r="BH112" s="409"/>
      <c r="BI112" s="266"/>
      <c r="BJ112" s="265"/>
    </row>
    <row r="113" spans="1:62" ht="14.4" customHeight="1">
      <c r="A113" s="265"/>
      <c r="B113" s="289"/>
      <c r="C113" s="289"/>
      <c r="D113" s="409"/>
      <c r="E113" s="409"/>
      <c r="F113" s="409"/>
      <c r="G113" s="464"/>
      <c r="H113" s="465"/>
      <c r="I113" s="465"/>
      <c r="J113" s="465"/>
      <c r="K113" s="466"/>
      <c r="L113" s="409"/>
      <c r="M113" s="409"/>
      <c r="N113" s="409"/>
      <c r="O113" s="409"/>
      <c r="P113" s="418" t="str">
        <f t="shared" si="34"/>
        <v/>
      </c>
      <c r="Q113" s="409"/>
      <c r="R113" s="409"/>
      <c r="S113" s="409"/>
      <c r="T113" s="409"/>
      <c r="U113" s="409"/>
      <c r="V113" s="409"/>
      <c r="W113" s="289"/>
      <c r="X113" s="4" t="str">
        <f>IF(Y112&lt;&gt;"","1","")</f>
        <v/>
      </c>
      <c r="Y113" s="789"/>
      <c r="Z113" s="397"/>
      <c r="AA113" s="772" t="str">
        <f>IF(Y112="","",VLOOKUP(Y112,big_tabela,3,0))</f>
        <v/>
      </c>
      <c r="AB113" s="772"/>
      <c r="AC113" s="773" t="str">
        <f>IF(Y112="","",VLOOKUP(Y112,big_tabela,12,0))</f>
        <v/>
      </c>
      <c r="AD113" s="774" t="s">
        <v>373</v>
      </c>
      <c r="AE113" s="289"/>
      <c r="AF113" s="395"/>
      <c r="AG113" s="783" t="str">
        <f>IF(AK112="","",VLOOKUP(AK112,big_tabela,3,0))</f>
        <v/>
      </c>
      <c r="AH113" s="783"/>
      <c r="AI113" s="784" t="str">
        <f>IF(AK112="","",VLOOKUP(AK112,big_tabela,12,0))</f>
        <v/>
      </c>
      <c r="AJ113" s="767" t="s">
        <v>373</v>
      </c>
      <c r="AK113" s="789"/>
      <c r="AL113" t="str">
        <f>IF(AK112&lt;&gt;"","1","")</f>
        <v/>
      </c>
      <c r="AM113" s="289"/>
      <c r="AN113" s="289"/>
      <c r="AO113" s="289"/>
      <c r="AP113" s="409"/>
      <c r="AQ113" s="409"/>
      <c r="AR113" s="409"/>
      <c r="AS113" s="409"/>
      <c r="AT113" s="409"/>
      <c r="AU113" s="409"/>
      <c r="AV113" s="418" t="str">
        <f t="shared" si="41"/>
        <v/>
      </c>
      <c r="AW113" s="409"/>
      <c r="AX113" s="409"/>
      <c r="AY113" s="409"/>
      <c r="AZ113" s="409"/>
      <c r="BA113" s="455"/>
      <c r="BB113" s="411"/>
      <c r="BC113" s="411"/>
      <c r="BD113" s="411"/>
      <c r="BE113" s="456"/>
      <c r="BF113" s="409"/>
      <c r="BG113" s="409"/>
      <c r="BH113" s="409"/>
      <c r="BI113" s="266"/>
      <c r="BJ113" s="265"/>
    </row>
    <row r="114" spans="1:62" ht="14.4" customHeight="1">
      <c r="A114" s="265"/>
      <c r="B114" s="289"/>
      <c r="C114" s="289"/>
      <c r="D114" s="409"/>
      <c r="E114" s="409"/>
      <c r="F114" s="409"/>
      <c r="G114" s="464"/>
      <c r="H114" s="465"/>
      <c r="I114" s="465"/>
      <c r="J114" s="465"/>
      <c r="K114" s="466"/>
      <c r="L114" s="409"/>
      <c r="M114" s="409"/>
      <c r="N114" s="409"/>
      <c r="O114" s="409"/>
      <c r="P114" s="418" t="str">
        <f t="shared" si="34"/>
        <v/>
      </c>
      <c r="Q114" s="409"/>
      <c r="R114" s="409"/>
      <c r="S114" s="409"/>
      <c r="T114" s="409"/>
      <c r="U114" s="409"/>
      <c r="V114" s="409"/>
      <c r="W114" s="494" t="str">
        <f>IF(Y112="","","Φ75")</f>
        <v/>
      </c>
      <c r="X114" s="495" t="str">
        <f>IF(Y112="","","x"&amp;VLOOKUP(Y112,big_tabela,42,0))</f>
        <v/>
      </c>
      <c r="Y114" s="403" t="str">
        <f>IF(Y112="","","◄")</f>
        <v/>
      </c>
      <c r="Z114" s="397"/>
      <c r="AA114" s="772"/>
      <c r="AB114" s="772"/>
      <c r="AC114" s="773"/>
      <c r="AD114" s="774"/>
      <c r="AE114" s="289"/>
      <c r="AF114" s="395"/>
      <c r="AG114" s="783"/>
      <c r="AH114" s="783"/>
      <c r="AI114" s="784"/>
      <c r="AJ114" s="767"/>
      <c r="AK114" s="402" t="str">
        <f>IF(AK112="","","◄")</f>
        <v/>
      </c>
      <c r="AL114" s="494" t="str">
        <f>IF(AK112="","","Φ75")</f>
        <v/>
      </c>
      <c r="AM114" s="495" t="str">
        <f>IF(AK112="","","x"&amp;VLOOKUP(AK112,big_tabela,41,0))</f>
        <v/>
      </c>
      <c r="AN114" s="289"/>
      <c r="AO114" s="289"/>
      <c r="AP114" s="409"/>
      <c r="AQ114" s="409"/>
      <c r="AR114" s="409"/>
      <c r="AS114" s="409"/>
      <c r="AT114" s="409"/>
      <c r="AU114" s="409"/>
      <c r="AV114" s="418" t="str">
        <f t="shared" si="41"/>
        <v/>
      </c>
      <c r="AW114" s="409"/>
      <c r="AX114" s="409"/>
      <c r="AY114" s="409"/>
      <c r="AZ114" s="409"/>
      <c r="BA114" s="455"/>
      <c r="BB114" s="411"/>
      <c r="BC114" s="411"/>
      <c r="BD114" s="411"/>
      <c r="BE114" s="456"/>
      <c r="BF114" s="409"/>
      <c r="BG114" s="409"/>
      <c r="BH114" s="409"/>
      <c r="BI114" s="266"/>
      <c r="BJ114" s="265"/>
    </row>
    <row r="115" spans="1:62" ht="3" customHeight="1">
      <c r="A115" s="265"/>
      <c r="B115" s="289"/>
      <c r="C115" s="404"/>
      <c r="D115" s="409"/>
      <c r="E115" s="409"/>
      <c r="F115" s="409"/>
      <c r="G115" s="464"/>
      <c r="H115" s="465"/>
      <c r="I115" s="465"/>
      <c r="J115" s="465"/>
      <c r="K115" s="466"/>
      <c r="L115" s="409"/>
      <c r="M115" s="409"/>
      <c r="N115" s="409"/>
      <c r="O115" s="409"/>
      <c r="P115" s="418" t="str">
        <f t="shared" si="34"/>
        <v/>
      </c>
      <c r="Q115" s="418" t="str">
        <f t="shared" si="34"/>
        <v/>
      </c>
      <c r="R115" s="418" t="str">
        <f t="shared" si="34"/>
        <v/>
      </c>
      <c r="S115" s="418" t="str">
        <f t="shared" si="34"/>
        <v/>
      </c>
      <c r="T115" s="418" t="str">
        <f t="shared" si="34"/>
        <v/>
      </c>
      <c r="U115" s="418" t="str">
        <f t="shared" si="34"/>
        <v/>
      </c>
      <c r="V115" s="418" t="str">
        <f t="shared" si="34"/>
        <v/>
      </c>
      <c r="W115" s="418" t="str">
        <f t="shared" si="34"/>
        <v/>
      </c>
      <c r="X115" s="418" t="str">
        <f t="shared" si="34"/>
        <v/>
      </c>
      <c r="Y115" s="418" t="str">
        <f>$X$113</f>
        <v/>
      </c>
      <c r="Z115" s="397"/>
      <c r="AA115" s="412"/>
      <c r="AB115" s="412"/>
      <c r="AC115" s="415"/>
      <c r="AD115" s="416"/>
      <c r="AE115" s="289"/>
      <c r="AF115" s="395"/>
      <c r="AG115" s="421"/>
      <c r="AH115" s="421"/>
      <c r="AI115" s="413"/>
      <c r="AJ115" s="414"/>
      <c r="AK115" s="418" t="str">
        <f t="shared" ref="AK115:AU115" si="44">$AL$113</f>
        <v/>
      </c>
      <c r="AL115" s="418" t="str">
        <f t="shared" si="44"/>
        <v/>
      </c>
      <c r="AM115" s="418" t="str">
        <f t="shared" si="44"/>
        <v/>
      </c>
      <c r="AN115" s="418" t="str">
        <f t="shared" si="44"/>
        <v/>
      </c>
      <c r="AO115" s="418" t="str">
        <f t="shared" si="44"/>
        <v/>
      </c>
      <c r="AP115" s="418" t="str">
        <f t="shared" si="44"/>
        <v/>
      </c>
      <c r="AQ115" s="418" t="str">
        <f t="shared" si="44"/>
        <v/>
      </c>
      <c r="AR115" s="418" t="str">
        <f t="shared" si="44"/>
        <v/>
      </c>
      <c r="AS115" s="418" t="str">
        <f t="shared" si="44"/>
        <v/>
      </c>
      <c r="AT115" s="418" t="str">
        <f t="shared" si="44"/>
        <v/>
      </c>
      <c r="AU115" s="418" t="str">
        <f t="shared" si="44"/>
        <v/>
      </c>
      <c r="AV115" s="418" t="str">
        <f t="shared" si="41"/>
        <v/>
      </c>
      <c r="AW115" s="409"/>
      <c r="AX115" s="409"/>
      <c r="AY115" s="409"/>
      <c r="AZ115" s="409"/>
      <c r="BA115" s="455"/>
      <c r="BB115" s="411"/>
      <c r="BC115" s="411"/>
      <c r="BD115" s="411"/>
      <c r="BE115" s="456"/>
      <c r="BF115" s="409"/>
      <c r="BG115" s="409"/>
      <c r="BH115" s="409"/>
      <c r="BI115" s="266"/>
      <c r="BJ115" s="265"/>
    </row>
    <row r="116" spans="1:62" ht="14.4" customHeight="1">
      <c r="A116" s="265"/>
      <c r="B116" s="289"/>
      <c r="C116" s="289"/>
      <c r="D116" s="409"/>
      <c r="E116" s="409"/>
      <c r="F116" s="409"/>
      <c r="G116" s="464"/>
      <c r="H116" s="465"/>
      <c r="I116" s="465"/>
      <c r="J116" s="465"/>
      <c r="K116" s="466"/>
      <c r="L116" s="409"/>
      <c r="M116" s="409"/>
      <c r="N116" s="409"/>
      <c r="O116" s="409"/>
      <c r="P116" s="409"/>
      <c r="Q116" s="409"/>
      <c r="R116" s="409"/>
      <c r="S116" s="409"/>
      <c r="T116" s="409"/>
      <c r="U116" s="409"/>
      <c r="V116" s="409"/>
      <c r="W116" s="289"/>
      <c r="X116" s="289"/>
      <c r="Y116" s="289"/>
      <c r="Z116" s="397"/>
      <c r="AA116" s="399" t="str">
        <f>IF(Y112="","",VLOOKUP(Y112,big_tabela,4,0))</f>
        <v/>
      </c>
      <c r="AB116" s="400"/>
      <c r="AC116" s="634" t="str">
        <f>IF(Y112="","","anemostat")</f>
        <v/>
      </c>
      <c r="AD116" s="416" t="str">
        <f>IF(Y112="","","x"&amp;VLOOKUP(Y112,big_tabela,45,0))</f>
        <v/>
      </c>
      <c r="AE116" s="289"/>
      <c r="AF116" s="395"/>
      <c r="AG116" s="398" t="str">
        <f>IF(AK112="","",VLOOKUP(AK112,big_tabela,4,0))</f>
        <v/>
      </c>
      <c r="AH116" s="417"/>
      <c r="AI116" s="635" t="str">
        <f>IF(AK112="","","anemostat")</f>
        <v/>
      </c>
      <c r="AJ116" s="414" t="str">
        <f>IF(AK112="","","x"&amp;VLOOKUP(AK112,big_tabela,44,0))</f>
        <v/>
      </c>
      <c r="AK116" s="401"/>
      <c r="AL116" s="289"/>
      <c r="AM116" s="289"/>
      <c r="AN116" s="289"/>
      <c r="AO116" s="289"/>
      <c r="AP116" s="409"/>
      <c r="AQ116" s="409"/>
      <c r="AR116" s="409"/>
      <c r="AS116" s="409"/>
      <c r="AT116" s="409"/>
      <c r="AU116" s="409"/>
      <c r="AV116" s="409"/>
      <c r="AW116" s="409"/>
      <c r="AX116" s="409"/>
      <c r="AY116" s="409"/>
      <c r="AZ116" s="409"/>
      <c r="BA116" s="455"/>
      <c r="BB116" s="411"/>
      <c r="BC116" s="411"/>
      <c r="BD116" s="411"/>
      <c r="BE116" s="456"/>
      <c r="BF116" s="409"/>
      <c r="BG116" s="409"/>
      <c r="BH116" s="409"/>
      <c r="BI116" s="266"/>
      <c r="BJ116" s="265"/>
    </row>
    <row r="117" spans="1:62" ht="6" customHeight="1">
      <c r="A117" s="265"/>
      <c r="B117" s="289"/>
      <c r="C117" s="289"/>
      <c r="D117" s="409"/>
      <c r="E117" s="409"/>
      <c r="F117" s="409"/>
      <c r="G117" s="464"/>
      <c r="H117" s="465"/>
      <c r="I117" s="465"/>
      <c r="J117" s="465"/>
      <c r="K117" s="466"/>
      <c r="L117" s="409"/>
      <c r="M117" s="409"/>
      <c r="N117" s="409"/>
      <c r="O117" s="409"/>
      <c r="P117" s="409"/>
      <c r="Q117" s="409"/>
      <c r="R117" s="409"/>
      <c r="S117" s="409"/>
      <c r="T117" s="409"/>
      <c r="U117" s="409"/>
      <c r="V117" s="409"/>
      <c r="W117" s="289"/>
      <c r="X117" s="289"/>
      <c r="Y117" s="289"/>
      <c r="Z117" s="397"/>
      <c r="AA117" s="397"/>
      <c r="AB117" s="397"/>
      <c r="AC117" s="397"/>
      <c r="AD117" s="397"/>
      <c r="AE117" s="289"/>
      <c r="AF117" s="395"/>
      <c r="AG117" s="395"/>
      <c r="AH117" s="395"/>
      <c r="AI117" s="395"/>
      <c r="AJ117" s="395"/>
      <c r="AK117" s="289"/>
      <c r="AL117" s="289"/>
      <c r="AM117" s="289"/>
      <c r="AN117" s="289"/>
      <c r="AO117" s="289"/>
      <c r="AP117" s="409"/>
      <c r="AQ117" s="409"/>
      <c r="AR117" s="409"/>
      <c r="AS117" s="409"/>
      <c r="AT117" s="409"/>
      <c r="AU117" s="409"/>
      <c r="AV117" s="409"/>
      <c r="AW117" s="409"/>
      <c r="AX117" s="409"/>
      <c r="AY117" s="409"/>
      <c r="AZ117" s="409"/>
      <c r="BA117" s="455"/>
      <c r="BB117" s="411"/>
      <c r="BC117" s="411"/>
      <c r="BD117" s="411"/>
      <c r="BE117" s="456"/>
      <c r="BF117" s="409"/>
      <c r="BG117" s="409"/>
      <c r="BH117" s="409"/>
      <c r="BI117" s="266"/>
      <c r="BJ117" s="265"/>
    </row>
    <row r="118" spans="1:62">
      <c r="A118" s="265"/>
      <c r="B118" s="289"/>
      <c r="C118" s="289"/>
      <c r="D118" s="409"/>
      <c r="E118" s="409"/>
      <c r="F118" s="409"/>
      <c r="G118" s="464"/>
      <c r="H118" s="465"/>
      <c r="I118" s="465"/>
      <c r="J118" s="465"/>
      <c r="K118" s="466"/>
      <c r="L118" s="409"/>
      <c r="M118" s="409"/>
      <c r="N118" s="409"/>
      <c r="O118" s="409"/>
      <c r="P118" s="409"/>
      <c r="Q118" s="409"/>
      <c r="R118" s="409"/>
      <c r="S118" s="409"/>
      <c r="T118" s="409"/>
      <c r="U118" s="409"/>
      <c r="V118" s="409"/>
      <c r="W118" s="289"/>
      <c r="X118" s="289"/>
      <c r="Y118" s="289"/>
      <c r="Z118" s="289"/>
      <c r="AA118" s="289"/>
      <c r="AB118" s="289"/>
      <c r="AC118" s="289"/>
      <c r="AD118" s="289"/>
      <c r="AE118" s="289"/>
      <c r="AF118" s="289"/>
      <c r="AG118" s="289"/>
      <c r="AH118" s="289"/>
      <c r="AI118" s="289"/>
      <c r="AJ118" s="289"/>
      <c r="AK118" s="289"/>
      <c r="AL118" s="289"/>
      <c r="AM118" s="289"/>
      <c r="AN118" s="289"/>
      <c r="AO118" s="289"/>
      <c r="AP118" s="409"/>
      <c r="AQ118" s="409"/>
      <c r="AR118" s="409"/>
      <c r="AS118" s="409"/>
      <c r="AT118" s="409"/>
      <c r="AU118" s="409"/>
      <c r="AV118" s="409"/>
      <c r="AW118" s="409"/>
      <c r="AX118" s="409"/>
      <c r="AY118" s="409"/>
      <c r="AZ118" s="409"/>
      <c r="BA118" s="455"/>
      <c r="BB118" s="411"/>
      <c r="BC118" s="411"/>
      <c r="BD118" s="411"/>
      <c r="BE118" s="456"/>
      <c r="BF118" s="409"/>
      <c r="BG118" s="409"/>
      <c r="BH118" s="409"/>
      <c r="BI118" s="266"/>
      <c r="BJ118" s="265"/>
    </row>
    <row r="119" spans="1:62">
      <c r="A119" s="265"/>
      <c r="B119" s="289"/>
      <c r="C119" s="289"/>
      <c r="D119" s="409"/>
      <c r="E119" s="409"/>
      <c r="F119" s="409"/>
      <c r="G119" s="464"/>
      <c r="H119" s="465"/>
      <c r="I119" s="465"/>
      <c r="J119" s="465"/>
      <c r="K119" s="466"/>
      <c r="L119" s="409"/>
      <c r="M119" s="409"/>
      <c r="N119" s="409"/>
      <c r="O119" s="409"/>
      <c r="P119" s="409"/>
      <c r="Q119" s="409"/>
      <c r="R119" s="409"/>
      <c r="S119" s="409"/>
      <c r="T119" s="409"/>
      <c r="U119" s="409"/>
      <c r="V119" s="409"/>
      <c r="W119" s="289"/>
      <c r="X119" s="289"/>
      <c r="Y119" s="289"/>
      <c r="Z119" s="289"/>
      <c r="AA119" s="289"/>
      <c r="AB119" s="289"/>
      <c r="AC119" s="792" t="str">
        <f>X137</f>
        <v>Vitovent 300-W 400m3/h lewa</v>
      </c>
      <c r="AD119" s="792"/>
      <c r="AE119" s="792"/>
      <c r="AF119" s="792"/>
      <c r="AG119" s="792"/>
      <c r="AH119" s="792"/>
      <c r="AI119" s="289"/>
      <c r="AJ119" s="289"/>
      <c r="AK119" s="289"/>
      <c r="AL119" s="289"/>
      <c r="AM119" s="289"/>
      <c r="AN119" s="289"/>
      <c r="AO119" s="289"/>
      <c r="AP119" s="409"/>
      <c r="AQ119" s="409"/>
      <c r="AR119" s="409"/>
      <c r="AS119" s="409"/>
      <c r="AT119" s="409"/>
      <c r="AU119" s="409"/>
      <c r="AV119" s="409"/>
      <c r="AW119" s="409"/>
      <c r="AX119" s="409"/>
      <c r="AY119" s="409"/>
      <c r="AZ119" s="409"/>
      <c r="BA119" s="455"/>
      <c r="BB119" s="411"/>
      <c r="BC119" s="411"/>
      <c r="BD119" s="411"/>
      <c r="BE119" s="456"/>
      <c r="BF119" s="409"/>
      <c r="BG119" s="409"/>
      <c r="BH119" s="409"/>
      <c r="BI119" s="266"/>
      <c r="BJ119" s="265"/>
    </row>
    <row r="120" spans="1:62">
      <c r="A120" s="265"/>
      <c r="B120" s="289"/>
      <c r="C120" s="289"/>
      <c r="D120" s="409"/>
      <c r="E120" s="409"/>
      <c r="F120" s="409"/>
      <c r="G120" s="464"/>
      <c r="H120" s="465"/>
      <c r="I120" s="465"/>
      <c r="J120" s="465"/>
      <c r="K120" s="466"/>
      <c r="L120" s="409"/>
      <c r="M120" s="409"/>
      <c r="N120" s="409"/>
      <c r="O120" s="409"/>
      <c r="P120" s="409"/>
      <c r="Q120" s="409"/>
      <c r="R120" s="409"/>
      <c r="S120" s="409"/>
      <c r="T120" s="409"/>
      <c r="U120" s="409"/>
      <c r="V120" s="409"/>
      <c r="W120" s="289"/>
      <c r="X120" s="289"/>
      <c r="Y120" s="289"/>
      <c r="Z120" s="289"/>
      <c r="AA120" s="289"/>
      <c r="AB120" s="289"/>
      <c r="AC120" s="289"/>
      <c r="AD120" s="289"/>
      <c r="AE120" s="289"/>
      <c r="AF120" s="289"/>
      <c r="AG120" s="289"/>
      <c r="AH120" s="289"/>
      <c r="AI120" s="289"/>
      <c r="AJ120" s="289"/>
      <c r="AK120" s="289"/>
      <c r="AL120" s="289"/>
      <c r="AM120" s="289"/>
      <c r="AN120" s="289"/>
      <c r="AO120" s="289"/>
      <c r="AP120" s="409"/>
      <c r="AQ120" s="409"/>
      <c r="AR120" s="409"/>
      <c r="AS120" s="409"/>
      <c r="AT120" s="409"/>
      <c r="AU120" s="409"/>
      <c r="AV120" s="409"/>
      <c r="AW120" s="409"/>
      <c r="AX120" s="409"/>
      <c r="AY120" s="409"/>
      <c r="AZ120" s="409"/>
      <c r="BA120" s="455"/>
      <c r="BB120" s="411"/>
      <c r="BC120" s="411"/>
      <c r="BD120" s="411"/>
      <c r="BE120" s="456"/>
      <c r="BF120" s="409"/>
      <c r="BG120" s="409"/>
      <c r="BH120" s="409"/>
      <c r="BI120" s="266"/>
      <c r="BJ120" s="265"/>
    </row>
    <row r="121" spans="1:62">
      <c r="A121" s="265"/>
      <c r="B121" s="289"/>
      <c r="C121" s="289"/>
      <c r="D121" s="409"/>
      <c r="E121" s="409"/>
      <c r="F121" s="409"/>
      <c r="G121" s="464"/>
      <c r="H121" s="465"/>
      <c r="I121" s="465"/>
      <c r="J121" s="465"/>
      <c r="K121" s="466"/>
      <c r="L121" s="409"/>
      <c r="M121" s="409"/>
      <c r="N121" s="409"/>
      <c r="O121" s="409"/>
      <c r="P121" s="409"/>
      <c r="Q121" s="409"/>
      <c r="R121" s="409"/>
      <c r="S121" s="409"/>
      <c r="T121" s="409"/>
      <c r="U121" s="409"/>
      <c r="V121" s="409"/>
      <c r="W121" s="289"/>
      <c r="X121" s="289"/>
      <c r="Y121" s="289"/>
      <c r="Z121" s="289"/>
      <c r="AA121" s="289"/>
      <c r="AB121" s="289"/>
      <c r="AC121" s="289"/>
      <c r="AD121" s="289"/>
      <c r="AE121" s="289"/>
      <c r="AF121" s="289"/>
      <c r="AG121" s="289"/>
      <c r="AH121" s="289"/>
      <c r="AI121" s="289"/>
      <c r="AJ121" s="289"/>
      <c r="AK121" s="289"/>
      <c r="AL121" s="289"/>
      <c r="AM121" s="289"/>
      <c r="AN121" s="289"/>
      <c r="AO121" s="289"/>
      <c r="AP121" s="409"/>
      <c r="AQ121" s="409"/>
      <c r="AR121" s="409"/>
      <c r="AS121" s="409"/>
      <c r="AT121" s="409"/>
      <c r="AU121" s="409"/>
      <c r="AV121" s="409"/>
      <c r="AW121" s="409"/>
      <c r="AX121" s="409"/>
      <c r="AY121" s="409"/>
      <c r="AZ121" s="409"/>
      <c r="BA121" s="455"/>
      <c r="BB121" s="411"/>
      <c r="BC121" s="411"/>
      <c r="BD121" s="411"/>
      <c r="BE121" s="456"/>
      <c r="BF121" s="409"/>
      <c r="BG121" s="409"/>
      <c r="BH121" s="409"/>
      <c r="BI121" s="266"/>
      <c r="BJ121" s="265"/>
    </row>
    <row r="122" spans="1:62" ht="19.2" customHeight="1">
      <c r="A122" s="265"/>
      <c r="B122" s="289"/>
      <c r="C122" s="289"/>
      <c r="D122" s="409"/>
      <c r="E122" s="409"/>
      <c r="F122" s="409"/>
      <c r="G122" s="467"/>
      <c r="H122" s="468"/>
      <c r="I122" s="468"/>
      <c r="J122" s="468"/>
      <c r="K122" s="468"/>
      <c r="L122" s="470"/>
      <c r="M122" s="470"/>
      <c r="N122" s="470"/>
      <c r="O122" s="470"/>
      <c r="P122" s="470"/>
      <c r="Q122" s="470"/>
      <c r="R122" s="470"/>
      <c r="S122" s="470"/>
      <c r="T122" s="470"/>
      <c r="U122" s="470"/>
      <c r="V122" s="470"/>
      <c r="W122" s="471"/>
      <c r="X122" s="669" t="str">
        <f>"Kanał zbiorczy 200/174, króciec przyłączeniowy Φ "&amp;Obliczenia!Y59</f>
        <v>Kanał zbiorczy 200/174, króciec przyłączeniowy Φ 180</v>
      </c>
      <c r="Y122" s="471"/>
      <c r="Z122" s="471"/>
      <c r="AA122" s="471"/>
      <c r="AB122" s="471"/>
      <c r="AC122" s="599"/>
      <c r="AD122" s="289"/>
      <c r="AE122" s="289"/>
      <c r="AF122" s="289"/>
      <c r="AG122" s="289"/>
      <c r="AH122" s="668" t="str">
        <f>"            Kanał zbiorczy 200/174, króciec przyłączeniowy Φ "&amp;Obliczenia!Y59</f>
        <v xml:space="preserve">            Kanał zbiorczy 200/174, króciec przyłączeniowy Φ 180</v>
      </c>
      <c r="AI122" s="453"/>
      <c r="AJ122" s="453"/>
      <c r="AK122" s="453"/>
      <c r="AL122" s="453"/>
      <c r="AM122" s="453"/>
      <c r="AN122" s="453"/>
      <c r="AO122" s="453"/>
      <c r="AP122" s="454"/>
      <c r="AQ122" s="454"/>
      <c r="AR122" s="454"/>
      <c r="AS122" s="454"/>
      <c r="AT122" s="454"/>
      <c r="AU122" s="454"/>
      <c r="AV122" s="454"/>
      <c r="AW122" s="454"/>
      <c r="AX122" s="454"/>
      <c r="AY122" s="454"/>
      <c r="AZ122" s="454"/>
      <c r="BA122" s="451"/>
      <c r="BB122" s="451"/>
      <c r="BC122" s="451"/>
      <c r="BD122" s="451"/>
      <c r="BE122" s="457"/>
      <c r="BF122" s="409"/>
      <c r="BG122" s="409"/>
      <c r="BH122" s="409"/>
      <c r="BI122" s="266"/>
      <c r="BJ122" s="265"/>
    </row>
    <row r="123" spans="1:62">
      <c r="A123" s="265"/>
      <c r="B123" s="289"/>
      <c r="C123" s="289"/>
      <c r="D123" s="409"/>
      <c r="E123" s="409"/>
      <c r="F123" s="409"/>
      <c r="G123" s="409"/>
      <c r="H123" s="409"/>
      <c r="I123" s="409"/>
      <c r="J123" s="409"/>
      <c r="K123" s="409"/>
      <c r="L123" s="409"/>
      <c r="M123" s="409"/>
      <c r="N123" s="409"/>
      <c r="O123" s="409"/>
      <c r="P123" s="409"/>
      <c r="Q123" s="409"/>
      <c r="R123" s="409"/>
      <c r="S123" s="409"/>
      <c r="T123" s="409"/>
      <c r="U123" s="409"/>
      <c r="V123" s="409"/>
      <c r="W123" s="289"/>
      <c r="X123" s="289"/>
      <c r="Y123" s="289"/>
      <c r="Z123" s="289"/>
      <c r="AA123" s="289"/>
      <c r="AB123" s="289"/>
      <c r="AC123" s="289"/>
      <c r="AD123" s="289"/>
      <c r="AE123" s="289"/>
      <c r="AF123" s="289"/>
      <c r="AG123" s="289"/>
      <c r="AH123" s="289"/>
      <c r="AI123" s="289"/>
      <c r="AJ123" s="289"/>
      <c r="AK123" s="289"/>
      <c r="AL123" s="289"/>
      <c r="AM123" s="289"/>
      <c r="AN123" s="289"/>
      <c r="AO123" s="289"/>
      <c r="AP123" s="409"/>
      <c r="AQ123" s="409"/>
      <c r="AR123" s="409"/>
      <c r="AS123" s="409"/>
      <c r="AT123" s="409"/>
      <c r="AU123" s="409"/>
      <c r="AV123" s="409"/>
      <c r="AW123" s="409"/>
      <c r="AX123" s="409"/>
      <c r="AY123" s="409"/>
      <c r="AZ123" s="409"/>
      <c r="BA123" s="409"/>
      <c r="BB123" s="409"/>
      <c r="BC123" s="409"/>
      <c r="BD123" s="409"/>
      <c r="BE123" s="409"/>
      <c r="BF123" s="409"/>
      <c r="BG123" s="409"/>
      <c r="BH123" s="409"/>
      <c r="BI123" s="266"/>
      <c r="BJ123" s="265"/>
    </row>
    <row r="124" spans="1:62">
      <c r="A124" s="265"/>
      <c r="B124" s="289"/>
      <c r="C124" s="289"/>
      <c r="D124" s="409"/>
      <c r="E124" s="409"/>
      <c r="F124" s="409"/>
      <c r="G124" s="409"/>
      <c r="H124" s="409"/>
      <c r="I124" s="409"/>
      <c r="J124" s="409"/>
      <c r="K124" s="409"/>
      <c r="L124" s="409"/>
      <c r="M124" s="409"/>
      <c r="N124" s="409"/>
      <c r="O124" s="409"/>
      <c r="P124" s="409"/>
      <c r="Q124" s="409"/>
      <c r="R124" s="409"/>
      <c r="S124" s="409"/>
      <c r="T124" s="409"/>
      <c r="U124" s="409"/>
      <c r="V124" s="409"/>
      <c r="W124" s="622"/>
      <c r="X124" s="289"/>
      <c r="Y124" s="289"/>
      <c r="Z124" s="289"/>
      <c r="AA124" s="289"/>
      <c r="AB124" s="289"/>
      <c r="AC124" s="289"/>
      <c r="AD124" s="289"/>
      <c r="AE124" s="289"/>
      <c r="AF124" s="289"/>
      <c r="AG124" s="289"/>
      <c r="AH124" s="289"/>
      <c r="AI124" s="289"/>
      <c r="AJ124" s="289"/>
      <c r="AK124" s="289"/>
      <c r="AL124" s="289"/>
      <c r="AM124" s="538"/>
      <c r="AN124" s="289"/>
      <c r="AO124" s="289"/>
      <c r="AP124" s="409"/>
      <c r="AQ124" s="409"/>
      <c r="AR124" s="409"/>
      <c r="AS124" s="409"/>
      <c r="AT124" s="409"/>
      <c r="AU124" s="409"/>
      <c r="AV124" s="409"/>
      <c r="AW124" s="409"/>
      <c r="AX124" s="409"/>
      <c r="AY124" s="409"/>
      <c r="AZ124" s="409"/>
      <c r="BA124" s="409"/>
      <c r="BB124" s="409"/>
      <c r="BC124" s="409"/>
      <c r="BD124" s="409"/>
      <c r="BE124" s="409"/>
      <c r="BF124" s="409"/>
      <c r="BG124" s="409"/>
      <c r="BH124" s="409"/>
      <c r="BI124" s="266"/>
      <c r="BJ124" s="265"/>
    </row>
    <row r="125" spans="1:62" ht="19.2" customHeight="1">
      <c r="A125" s="265"/>
      <c r="B125" s="289"/>
      <c r="C125" s="289"/>
      <c r="D125" s="409"/>
      <c r="E125" s="409"/>
      <c r="F125" s="409"/>
      <c r="G125" s="409"/>
      <c r="H125" s="409"/>
      <c r="I125" s="409"/>
      <c r="J125" s="409"/>
      <c r="K125" s="409"/>
      <c r="L125" s="409"/>
      <c r="M125" s="409"/>
      <c r="N125" s="409"/>
      <c r="O125" s="409"/>
      <c r="P125" s="409"/>
      <c r="Q125" s="409"/>
      <c r="R125" s="409"/>
      <c r="S125" s="409"/>
      <c r="T125" s="409"/>
      <c r="U125" s="409"/>
      <c r="V125" s="409"/>
      <c r="W125" s="623"/>
      <c r="X125" s="668" t="str">
        <f>"Kanał zbiorczy 200/174, króciec przyłączeniowy Φ "&amp;Obliczenia!Y59</f>
        <v>Kanał zbiorczy 200/174, króciec przyłączeniowy Φ 180</v>
      </c>
      <c r="Y125" s="453"/>
      <c r="Z125" s="453"/>
      <c r="AA125" s="452"/>
      <c r="AB125" s="453"/>
      <c r="AC125" s="493"/>
      <c r="AD125" s="289"/>
      <c r="AE125" s="289"/>
      <c r="AF125" s="289"/>
      <c r="AG125" s="289"/>
      <c r="AH125" s="669" t="str">
        <f>"            Kanał zbiorczy 200/174, króciec przyłączeniowy Φ "&amp;Obliczenia!Y59</f>
        <v xml:space="preserve">            Kanał zbiorczy 200/174, króciec przyłączeniowy Φ 180</v>
      </c>
      <c r="AI125" s="471"/>
      <c r="AJ125" s="471"/>
      <c r="AK125" s="471"/>
      <c r="AL125" s="471"/>
      <c r="AM125" s="624"/>
      <c r="AN125" s="289"/>
      <c r="AO125" s="289"/>
      <c r="AP125" s="409"/>
      <c r="AQ125" s="409"/>
      <c r="AR125" s="409"/>
      <c r="AS125" s="409"/>
      <c r="AT125" s="409"/>
      <c r="AU125" s="409"/>
      <c r="AV125" s="409"/>
      <c r="AW125" s="409"/>
      <c r="AX125" s="409"/>
      <c r="AY125" s="409"/>
      <c r="AZ125" s="409"/>
      <c r="BA125" s="409"/>
      <c r="BB125" s="409"/>
      <c r="BC125" s="409"/>
      <c r="BD125" s="409"/>
      <c r="BE125" s="409"/>
      <c r="BF125" s="409"/>
      <c r="BG125" s="409"/>
      <c r="BH125" s="409"/>
      <c r="BI125" s="266"/>
      <c r="BJ125" s="265"/>
    </row>
    <row r="126" spans="1:62">
      <c r="A126" s="265"/>
      <c r="B126" s="289"/>
      <c r="C126" s="289"/>
      <c r="D126" s="409"/>
      <c r="E126" s="409"/>
      <c r="F126" s="409"/>
      <c r="G126" s="409"/>
      <c r="H126" s="409"/>
      <c r="I126" s="409"/>
      <c r="J126" s="409"/>
      <c r="K126" s="409"/>
      <c r="L126" s="409"/>
      <c r="M126" s="409"/>
      <c r="N126" s="409"/>
      <c r="O126" s="409"/>
      <c r="P126" s="409"/>
      <c r="Q126" s="409"/>
      <c r="R126" s="409"/>
      <c r="S126" s="409"/>
      <c r="T126" s="409"/>
      <c r="U126" s="409"/>
      <c r="V126" s="409"/>
      <c r="W126" s="622"/>
      <c r="X126" s="289"/>
      <c r="Y126" s="289"/>
      <c r="Z126" s="289"/>
      <c r="AA126" s="289"/>
      <c r="AB126" s="289"/>
      <c r="AC126" s="289"/>
      <c r="AD126" s="289"/>
      <c r="AE126" s="289"/>
      <c r="AF126" s="289"/>
      <c r="AG126" s="289"/>
      <c r="AH126" s="289"/>
      <c r="AI126" s="289"/>
      <c r="AJ126" s="289"/>
      <c r="AK126" s="289"/>
      <c r="AL126" s="289"/>
      <c r="AM126" s="538"/>
      <c r="AN126" s="289"/>
      <c r="AO126" s="289"/>
      <c r="AP126" s="409"/>
      <c r="AQ126" s="409"/>
      <c r="AR126" s="409"/>
      <c r="AS126" s="409"/>
      <c r="AT126" s="409"/>
      <c r="AU126" s="409"/>
      <c r="AV126" s="409"/>
      <c r="AW126" s="409"/>
      <c r="AX126" s="409"/>
      <c r="AY126" s="409"/>
      <c r="AZ126" s="409"/>
      <c r="BA126" s="409"/>
      <c r="BB126" s="409"/>
      <c r="BC126" s="409"/>
      <c r="BD126" s="409"/>
      <c r="BE126" s="409"/>
      <c r="BF126" s="409"/>
      <c r="BG126" s="409"/>
      <c r="BH126" s="409"/>
      <c r="BI126" s="266"/>
      <c r="BJ126" s="265"/>
    </row>
    <row r="127" spans="1:62" ht="10.95" customHeight="1">
      <c r="A127" s="265"/>
      <c r="B127" s="289"/>
      <c r="C127" s="289"/>
      <c r="D127" s="409"/>
      <c r="E127" s="409"/>
      <c r="F127" s="409"/>
      <c r="G127" s="409"/>
      <c r="H127" s="409"/>
      <c r="I127" s="409"/>
      <c r="J127" s="409"/>
      <c r="K127" s="409"/>
      <c r="L127" s="409"/>
      <c r="M127" s="409"/>
      <c r="N127" s="409"/>
      <c r="O127" s="409"/>
      <c r="P127" s="409"/>
      <c r="Q127" s="409"/>
      <c r="R127" s="409"/>
      <c r="S127" s="409"/>
      <c r="T127" s="409"/>
      <c r="U127" s="409"/>
      <c r="V127" s="409"/>
      <c r="W127" s="289"/>
      <c r="X127" s="289"/>
      <c r="Y127" s="289"/>
      <c r="Z127" s="289"/>
      <c r="AA127" s="289"/>
      <c r="AB127" s="289"/>
      <c r="AC127" s="289"/>
      <c r="AD127" s="289"/>
      <c r="AE127" s="289"/>
      <c r="AF127" s="289"/>
      <c r="AG127" s="289"/>
      <c r="AH127" s="289"/>
      <c r="AI127" s="289"/>
      <c r="AJ127" s="289"/>
      <c r="AK127" s="289"/>
      <c r="AL127" s="289"/>
      <c r="AM127" s="289"/>
      <c r="AN127" s="289"/>
      <c r="AO127" s="289"/>
      <c r="AP127" s="409"/>
      <c r="AQ127" s="409"/>
      <c r="AR127" s="409"/>
      <c r="AS127" s="409"/>
      <c r="AT127" s="409"/>
      <c r="AU127" s="409"/>
      <c r="AV127" s="409"/>
      <c r="AW127" s="409"/>
      <c r="AX127" s="409"/>
      <c r="AY127" s="409"/>
      <c r="AZ127" s="409"/>
      <c r="BA127" s="409"/>
      <c r="BB127" s="409"/>
      <c r="BC127" s="409"/>
      <c r="BD127" s="409"/>
      <c r="BE127" s="409"/>
      <c r="BF127" s="409"/>
      <c r="BG127" s="409"/>
      <c r="BH127" s="409"/>
      <c r="BI127" s="266"/>
      <c r="BJ127" s="265"/>
    </row>
    <row r="128" spans="1:62">
      <c r="A128" s="261"/>
      <c r="B128" s="263"/>
      <c r="C128" s="777" t="s">
        <v>399</v>
      </c>
      <c r="D128" s="777"/>
      <c r="E128" s="777"/>
      <c r="F128" s="777"/>
      <c r="G128" s="777"/>
      <c r="H128" s="777"/>
      <c r="I128" s="777"/>
      <c r="J128" s="777"/>
      <c r="K128" s="777"/>
      <c r="L128" s="777"/>
      <c r="M128" s="777"/>
      <c r="N128" s="777"/>
      <c r="O128" s="777"/>
      <c r="P128" s="777"/>
      <c r="Q128" s="777"/>
      <c r="R128" s="777"/>
      <c r="S128" s="777"/>
      <c r="T128" s="777"/>
      <c r="U128" s="777"/>
      <c r="V128" s="777"/>
      <c r="W128" s="777"/>
      <c r="X128" s="777"/>
      <c r="Y128" s="777"/>
      <c r="Z128" s="777"/>
      <c r="AA128" s="777"/>
      <c r="AB128" s="777"/>
      <c r="AC128" s="777"/>
      <c r="AD128" s="777"/>
      <c r="AE128" s="777"/>
      <c r="AF128" s="777"/>
      <c r="AG128" s="777"/>
      <c r="AH128" s="777"/>
      <c r="AI128" s="777"/>
      <c r="AJ128" s="777"/>
      <c r="AK128" s="777"/>
      <c r="AL128" s="777"/>
      <c r="AM128" s="777"/>
      <c r="AN128" s="777"/>
      <c r="AO128" s="263"/>
      <c r="AP128" s="263"/>
      <c r="AQ128" s="263"/>
      <c r="AR128" s="263"/>
      <c r="AS128" s="263"/>
      <c r="AT128" s="263"/>
      <c r="AU128" s="263"/>
      <c r="AV128" s="263"/>
      <c r="AW128" s="263"/>
      <c r="AX128" s="263"/>
      <c r="AY128" s="263"/>
      <c r="AZ128" s="263"/>
      <c r="BA128" s="263"/>
      <c r="BB128" s="263"/>
      <c r="BC128" s="263"/>
      <c r="BD128" s="263"/>
      <c r="BE128" s="263"/>
      <c r="BF128" s="263"/>
      <c r="BG128" s="263"/>
      <c r="BH128" s="263"/>
      <c r="BI128" s="263"/>
      <c r="BJ128" s="265"/>
    </row>
    <row r="129" spans="1:64" ht="21" customHeight="1">
      <c r="A129" s="261"/>
      <c r="B129" s="263"/>
      <c r="C129" s="777"/>
      <c r="D129" s="777"/>
      <c r="E129" s="777"/>
      <c r="F129" s="777"/>
      <c r="G129" s="777"/>
      <c r="H129" s="777"/>
      <c r="I129" s="777"/>
      <c r="J129" s="777"/>
      <c r="K129" s="777"/>
      <c r="L129" s="777"/>
      <c r="M129" s="777"/>
      <c r="N129" s="777"/>
      <c r="O129" s="777"/>
      <c r="P129" s="777"/>
      <c r="Q129" s="777"/>
      <c r="R129" s="777"/>
      <c r="S129" s="777"/>
      <c r="T129" s="777"/>
      <c r="U129" s="777"/>
      <c r="V129" s="777"/>
      <c r="W129" s="777"/>
      <c r="X129" s="777"/>
      <c r="Y129" s="777"/>
      <c r="Z129" s="777"/>
      <c r="AA129" s="777"/>
      <c r="AB129" s="777"/>
      <c r="AC129" s="777"/>
      <c r="AD129" s="777"/>
      <c r="AE129" s="777"/>
      <c r="AF129" s="777"/>
      <c r="AG129" s="777"/>
      <c r="AH129" s="777"/>
      <c r="AI129" s="777"/>
      <c r="AJ129" s="777"/>
      <c r="AK129" s="777"/>
      <c r="AL129" s="777"/>
      <c r="AM129" s="777"/>
      <c r="AN129" s="777"/>
      <c r="AO129" s="263"/>
      <c r="AP129" s="263"/>
      <c r="AQ129" s="263"/>
      <c r="AR129" s="263"/>
      <c r="AS129" s="263"/>
      <c r="AT129" s="263"/>
      <c r="AU129" s="263"/>
      <c r="AV129" s="263"/>
      <c r="AW129" s="263"/>
      <c r="AX129" s="263"/>
      <c r="AY129" s="263"/>
      <c r="AZ129" s="263"/>
      <c r="BA129" s="263"/>
      <c r="BB129" s="263"/>
      <c r="BC129" s="263"/>
      <c r="BD129" s="263"/>
      <c r="BE129" s="263"/>
      <c r="BF129" s="263"/>
      <c r="BG129" s="263"/>
      <c r="BH129" s="263"/>
      <c r="BI129" s="263"/>
      <c r="BJ129" s="265"/>
    </row>
    <row r="130" spans="1:64" ht="9.6" customHeight="1">
      <c r="A130" s="265"/>
      <c r="B130" s="289"/>
      <c r="C130" s="289"/>
      <c r="D130" s="409"/>
      <c r="E130" s="409"/>
      <c r="F130" s="409"/>
      <c r="G130" s="409"/>
      <c r="H130" s="409"/>
      <c r="I130" s="409"/>
      <c r="J130" s="409"/>
      <c r="K130" s="409"/>
      <c r="L130" s="409"/>
      <c r="M130" s="409"/>
      <c r="N130" s="409"/>
      <c r="O130" s="409"/>
      <c r="P130" s="409"/>
      <c r="Q130" s="409"/>
      <c r="R130" s="409"/>
      <c r="S130" s="409"/>
      <c r="T130" s="409"/>
      <c r="U130" s="409"/>
      <c r="V130" s="409"/>
      <c r="W130" s="289"/>
      <c r="X130" s="289"/>
      <c r="Y130" s="289"/>
      <c r="Z130" s="289"/>
      <c r="AA130" s="289"/>
      <c r="AB130" s="289"/>
      <c r="AC130" s="289"/>
      <c r="AD130" s="289"/>
      <c r="AE130" s="289"/>
      <c r="AF130" s="289"/>
      <c r="AG130" s="289"/>
      <c r="AH130" s="289"/>
      <c r="AI130" s="289"/>
      <c r="AJ130" s="289"/>
      <c r="AK130" s="289"/>
      <c r="AL130" s="289"/>
      <c r="AM130" s="289"/>
      <c r="AN130" s="289"/>
      <c r="AO130" s="289"/>
      <c r="AP130" s="409"/>
      <c r="AQ130" s="409"/>
      <c r="AR130" s="409"/>
      <c r="AS130" s="409"/>
      <c r="AT130" s="409"/>
      <c r="AU130" s="409"/>
      <c r="AV130" s="409"/>
      <c r="AW130" s="409"/>
      <c r="AX130" s="409"/>
      <c r="AY130" s="409"/>
      <c r="AZ130" s="409"/>
      <c r="BA130" s="409"/>
      <c r="BB130" s="409"/>
      <c r="BC130" s="409"/>
      <c r="BD130" s="409"/>
      <c r="BE130" s="409"/>
      <c r="BF130" s="409"/>
      <c r="BG130" s="409"/>
      <c r="BH130" s="409"/>
      <c r="BI130" s="266"/>
      <c r="BJ130" s="265"/>
    </row>
    <row r="131" spans="1:64" ht="9.6" hidden="1" customHeight="1">
      <c r="A131" s="265"/>
      <c r="B131" s="289"/>
      <c r="C131" s="289"/>
      <c r="D131" s="409"/>
      <c r="E131" s="409"/>
      <c r="F131" s="409"/>
      <c r="G131" s="409"/>
      <c r="H131" s="409"/>
      <c r="I131" s="409"/>
      <c r="J131" s="409"/>
      <c r="K131" s="409"/>
      <c r="L131" s="409"/>
      <c r="M131" s="409"/>
      <c r="N131" s="409"/>
      <c r="O131" s="409"/>
      <c r="P131" s="409"/>
      <c r="Q131" s="409"/>
      <c r="R131" s="409"/>
      <c r="S131" s="409"/>
      <c r="T131" s="409"/>
      <c r="U131" s="409"/>
      <c r="V131" s="409"/>
      <c r="W131" s="289"/>
      <c r="X131" s="289"/>
      <c r="Y131" s="289"/>
      <c r="Z131" s="289"/>
      <c r="AA131" s="289"/>
      <c r="AB131" s="289"/>
      <c r="AC131" s="289"/>
      <c r="AD131" s="289"/>
      <c r="AE131" s="289"/>
      <c r="AF131" s="289"/>
      <c r="AG131" s="289"/>
      <c r="AH131" s="289"/>
      <c r="AI131" s="289"/>
      <c r="AJ131" s="289"/>
      <c r="AK131" s="289"/>
      <c r="AL131" s="289"/>
      <c r="AM131" s="289"/>
      <c r="AN131" s="289"/>
      <c r="AO131" s="289"/>
      <c r="AP131" s="409"/>
      <c r="AQ131" s="409"/>
      <c r="AR131" s="409"/>
      <c r="AS131" s="409"/>
      <c r="AT131" s="409"/>
      <c r="AU131" s="409"/>
      <c r="AV131" s="409"/>
      <c r="AW131" s="409"/>
      <c r="AX131" s="409"/>
      <c r="AY131" s="409"/>
      <c r="AZ131" s="409"/>
      <c r="BA131" s="409"/>
      <c r="BB131" s="409"/>
      <c r="BC131" s="409"/>
      <c r="BD131" s="409"/>
      <c r="BE131" s="409"/>
      <c r="BF131" s="409"/>
      <c r="BG131" s="409"/>
      <c r="BH131" s="409"/>
      <c r="BI131" s="266"/>
      <c r="BJ131" s="265"/>
    </row>
    <row r="132" spans="1:64" hidden="1">
      <c r="A132" s="265"/>
      <c r="B132" s="289"/>
      <c r="C132" s="289"/>
      <c r="D132" s="409"/>
      <c r="E132" s="409"/>
      <c r="F132" s="409"/>
      <c r="G132" s="409"/>
      <c r="H132" s="409"/>
      <c r="I132" s="409"/>
      <c r="J132" s="409"/>
      <c r="K132" s="409"/>
      <c r="L132" s="409"/>
      <c r="M132" s="409"/>
      <c r="N132" s="409"/>
      <c r="O132" s="409"/>
      <c r="P132" s="409"/>
      <c r="Q132" s="409"/>
      <c r="R132" s="409"/>
      <c r="S132" s="409"/>
      <c r="T132" s="409"/>
      <c r="U132" s="409"/>
      <c r="V132" s="409"/>
      <c r="AD132" s="289"/>
      <c r="AE132" s="289"/>
      <c r="AF132" s="289"/>
      <c r="AG132" s="289"/>
      <c r="AH132" s="289"/>
      <c r="AI132" s="289"/>
      <c r="AJ132" s="289"/>
      <c r="AK132" s="289"/>
      <c r="AL132" s="289"/>
      <c r="AM132" s="289"/>
      <c r="AN132" s="289"/>
      <c r="AO132" s="289"/>
      <c r="AP132" s="409"/>
      <c r="AQ132" s="409"/>
      <c r="AR132" s="409"/>
      <c r="AS132" s="409"/>
      <c r="AT132" s="409"/>
      <c r="AU132" s="409"/>
      <c r="AV132" s="409"/>
      <c r="AW132" s="409"/>
      <c r="AX132" s="409"/>
      <c r="AY132" s="409"/>
      <c r="AZ132" s="409"/>
      <c r="BA132" s="409"/>
      <c r="BB132" s="409"/>
      <c r="BC132" s="409"/>
      <c r="BD132" s="409"/>
      <c r="BE132" s="409"/>
      <c r="BF132" s="409"/>
      <c r="BG132" s="409"/>
      <c r="BH132" s="409"/>
      <c r="BI132" s="266"/>
      <c r="BJ132" s="265"/>
    </row>
    <row r="133" spans="1:64" ht="14.4" customHeight="1">
      <c r="A133" s="265"/>
      <c r="B133" s="289"/>
      <c r="C133" s="289"/>
      <c r="D133" s="409"/>
      <c r="E133" s="409"/>
      <c r="F133" s="409"/>
      <c r="G133" s="409"/>
      <c r="H133" s="409"/>
      <c r="I133" s="409"/>
      <c r="J133" s="409"/>
      <c r="K133" s="409"/>
      <c r="L133" s="409"/>
      <c r="M133" s="409"/>
      <c r="N133" s="409"/>
      <c r="O133" s="409"/>
      <c r="P133" s="409"/>
      <c r="Q133" s="409"/>
      <c r="R133" s="409"/>
      <c r="S133" s="409"/>
      <c r="T133" s="409"/>
      <c r="U133" s="409"/>
      <c r="V133" s="409"/>
      <c r="W133" s="746" t="s">
        <v>401</v>
      </c>
      <c r="X133" s="746"/>
      <c r="Y133" s="746"/>
      <c r="Z133" s="746"/>
      <c r="AA133" s="427"/>
      <c r="AB133" s="426"/>
      <c r="AC133" s="426"/>
      <c r="AD133" s="289"/>
      <c r="AE133" s="289"/>
      <c r="AF133" s="289"/>
      <c r="AG133" s="289"/>
      <c r="AH133" s="289"/>
      <c r="AI133" s="13"/>
      <c r="AJ133" s="13"/>
      <c r="AK133" s="13"/>
      <c r="AL133" s="13"/>
      <c r="AM133" s="13"/>
      <c r="AN133" s="13"/>
      <c r="AO133" s="13"/>
      <c r="AP133" s="595"/>
      <c r="AQ133" s="595"/>
      <c r="AR133" s="595"/>
      <c r="AS133" s="595"/>
      <c r="AT133" s="595"/>
      <c r="AU133" s="595"/>
      <c r="AV133" s="409"/>
      <c r="AW133" s="409"/>
      <c r="AX133" s="409"/>
      <c r="AY133" s="409"/>
      <c r="AZ133" s="409"/>
      <c r="BA133" s="409"/>
      <c r="BB133" s="409"/>
      <c r="BC133" s="409"/>
      <c r="BD133" s="409"/>
      <c r="BE133" s="409"/>
      <c r="BF133" s="409"/>
      <c r="BG133" s="409"/>
      <c r="BH133" s="409"/>
      <c r="BI133" s="266"/>
      <c r="BJ133" s="265"/>
    </row>
    <row r="134" spans="1:64" ht="14.4" customHeight="1">
      <c r="A134" s="265"/>
      <c r="B134" s="289"/>
      <c r="C134" s="289"/>
      <c r="D134" s="409"/>
      <c r="E134" s="409"/>
      <c r="F134" s="409"/>
      <c r="G134" s="409"/>
      <c r="H134" s="409"/>
      <c r="I134" s="409"/>
      <c r="J134" s="409"/>
      <c r="K134" s="409"/>
      <c r="L134" s="409"/>
      <c r="M134" s="409"/>
      <c r="N134" s="409"/>
      <c r="O134" s="409"/>
      <c r="P134" s="409"/>
      <c r="Q134" s="409"/>
      <c r="R134" s="409"/>
      <c r="S134" s="409"/>
      <c r="T134" s="409"/>
      <c r="U134" s="409"/>
      <c r="V134" s="409"/>
      <c r="W134" s="771"/>
      <c r="X134" s="771"/>
      <c r="Y134" s="771"/>
      <c r="Z134" s="771"/>
      <c r="AA134" s="498"/>
      <c r="AB134" s="499"/>
      <c r="AC134" s="500"/>
      <c r="AD134" s="296"/>
      <c r="AE134" s="296"/>
      <c r="AF134" s="296"/>
      <c r="AG134" s="296"/>
      <c r="AH134" s="296"/>
      <c r="AI134" s="338"/>
      <c r="AJ134" s="338"/>
      <c r="AK134" s="338"/>
      <c r="AL134" s="338"/>
      <c r="AM134" s="338"/>
      <c r="AN134" s="338"/>
      <c r="AO134" s="338"/>
      <c r="AP134" s="596"/>
      <c r="AQ134" s="596"/>
      <c r="AR134" s="596"/>
      <c r="AS134" s="596"/>
      <c r="AT134" s="596"/>
      <c r="AU134" s="596"/>
      <c r="AV134" s="510"/>
      <c r="AW134" s="510"/>
      <c r="AX134" s="510"/>
      <c r="AY134" s="510"/>
      <c r="AZ134" s="510"/>
      <c r="BA134" s="510"/>
      <c r="BB134" s="510"/>
      <c r="BC134" s="510"/>
      <c r="BD134" s="510"/>
      <c r="BE134" s="409"/>
      <c r="BF134" s="409"/>
      <c r="BG134" s="409"/>
      <c r="BH134" s="409"/>
      <c r="BI134" s="266"/>
      <c r="BJ134" s="265"/>
    </row>
    <row r="135" spans="1:64" ht="14.4" customHeight="1">
      <c r="A135" s="265"/>
      <c r="B135" s="289"/>
      <c r="C135" s="289"/>
      <c r="D135" s="409"/>
      <c r="E135" s="409"/>
      <c r="F135" s="409"/>
      <c r="G135" s="409"/>
      <c r="H135" s="409"/>
      <c r="I135" s="409"/>
      <c r="J135" s="409"/>
      <c r="K135" s="409"/>
      <c r="L135" s="409"/>
      <c r="M135" s="409"/>
      <c r="N135" s="409"/>
      <c r="O135" s="409"/>
      <c r="P135" s="409"/>
      <c r="Q135" s="409"/>
      <c r="R135" s="409"/>
      <c r="S135" s="409"/>
      <c r="T135" s="409"/>
      <c r="U135" s="409"/>
      <c r="V135" s="409"/>
      <c r="W135" s="425"/>
      <c r="X135" s="425"/>
      <c r="Y135" s="425"/>
      <c r="Z135" s="425"/>
      <c r="AA135" s="427"/>
      <c r="AB135" s="277"/>
      <c r="AC135" s="426"/>
      <c r="AD135" s="289"/>
      <c r="AE135" s="289"/>
      <c r="AF135" s="289"/>
      <c r="AG135" s="289"/>
      <c r="AH135" s="289"/>
      <c r="AI135" s="13"/>
      <c r="AJ135" s="13"/>
      <c r="AK135" s="13"/>
      <c r="AL135" s="13"/>
      <c r="AM135" s="13"/>
      <c r="AN135" s="13"/>
      <c r="AO135" s="13"/>
      <c r="AP135" s="595"/>
      <c r="AQ135" s="595"/>
      <c r="AR135" s="595"/>
      <c r="AS135" s="595"/>
      <c r="AT135" s="595"/>
      <c r="AU135" s="595"/>
      <c r="AV135" s="409"/>
      <c r="AW135" s="409"/>
      <c r="AX135" s="409"/>
      <c r="AY135" s="409"/>
      <c r="AZ135" s="409"/>
      <c r="BA135" s="409"/>
      <c r="BB135" s="409"/>
      <c r="BC135" s="409"/>
      <c r="BD135" s="409"/>
      <c r="BE135" s="409"/>
      <c r="BF135" s="409"/>
      <c r="BG135" s="409"/>
      <c r="BH135" s="409"/>
      <c r="BI135" s="266"/>
      <c r="BJ135" s="265"/>
    </row>
    <row r="136" spans="1:64" ht="14.4" customHeight="1">
      <c r="A136" s="265"/>
      <c r="B136" s="289"/>
      <c r="C136" s="289"/>
      <c r="D136" s="409"/>
      <c r="E136" s="409"/>
      <c r="F136" s="409"/>
      <c r="G136" s="409"/>
      <c r="H136" s="409"/>
      <c r="I136" s="409"/>
      <c r="J136" s="409"/>
      <c r="K136" s="409"/>
      <c r="L136" s="409"/>
      <c r="M136" s="409"/>
      <c r="N136" s="409"/>
      <c r="O136" s="409"/>
      <c r="P136" s="409"/>
      <c r="Q136" s="409"/>
      <c r="R136" s="409"/>
      <c r="S136" s="409"/>
      <c r="T136" s="409"/>
      <c r="U136" s="409"/>
      <c r="V136" s="409"/>
      <c r="W136" s="425"/>
      <c r="X136" s="425"/>
      <c r="Y136" s="425"/>
      <c r="Z136" s="425"/>
      <c r="AA136" s="427"/>
      <c r="AB136" s="277"/>
      <c r="AC136" s="426"/>
      <c r="AD136" s="289"/>
      <c r="AE136" s="289"/>
      <c r="AF136" s="289"/>
      <c r="AG136" s="289"/>
      <c r="AI136" s="13"/>
      <c r="AJ136" s="13"/>
      <c r="AK136" s="289"/>
      <c r="AL136" s="13"/>
      <c r="AM136" s="369"/>
      <c r="AN136" s="13"/>
      <c r="AO136" s="369"/>
      <c r="AP136" s="369"/>
      <c r="AQ136" s="369"/>
      <c r="AR136" s="369"/>
      <c r="AS136" s="369"/>
      <c r="AT136" s="369"/>
      <c r="AU136" s="369"/>
      <c r="AV136" s="409"/>
      <c r="AW136" s="409"/>
      <c r="AX136" s="409"/>
      <c r="AY136" s="409"/>
      <c r="AZ136" s="409"/>
      <c r="BA136" s="409"/>
      <c r="BB136" s="409"/>
      <c r="BC136" s="409"/>
      <c r="BD136" s="409"/>
      <c r="BE136" s="409"/>
      <c r="BF136" s="409"/>
      <c r="BG136" s="409"/>
      <c r="BH136" s="409"/>
      <c r="BI136" s="266"/>
      <c r="BJ136" s="265"/>
    </row>
    <row r="137" spans="1:64" ht="14.4" customHeight="1">
      <c r="A137" s="265"/>
      <c r="B137" s="289"/>
      <c r="C137" s="289"/>
      <c r="D137" s="289"/>
      <c r="E137" s="289"/>
      <c r="F137" s="289"/>
      <c r="H137" s="518"/>
      <c r="I137" s="518"/>
      <c r="J137" s="518"/>
      <c r="K137" s="770" t="str">
        <f>Obliczenia!V84</f>
        <v/>
      </c>
      <c r="L137" s="770"/>
      <c r="M137" s="770"/>
      <c r="N137" s="770"/>
      <c r="O137" s="770"/>
      <c r="P137" s="770"/>
      <c r="Q137" s="770"/>
      <c r="R137" s="770"/>
      <c r="S137" s="770"/>
      <c r="T137" s="770"/>
      <c r="U137" s="770"/>
      <c r="V137" s="770"/>
      <c r="W137" s="770"/>
      <c r="X137" s="781" t="s">
        <v>287</v>
      </c>
      <c r="Y137" s="781"/>
      <c r="Z137" s="781"/>
      <c r="AA137" s="781"/>
      <c r="AB137" s="781"/>
      <c r="AC137" s="564" t="str">
        <f>"R "&amp;AC138&amp;" %"</f>
        <v>R 0 %</v>
      </c>
      <c r="AD137" s="769">
        <f>VLOOKUP(X137,rozdzial,4,0)-VLOOKUP(X137,rozdzial,4,0)*(AC138/100)</f>
        <v>13685</v>
      </c>
      <c r="AE137" s="769"/>
      <c r="AF137" s="289"/>
      <c r="AG137" s="515" t="s">
        <v>452</v>
      </c>
      <c r="AH137" s="597"/>
      <c r="AI137" s="515"/>
      <c r="AJ137" s="515"/>
      <c r="AK137" s="515"/>
      <c r="AL137" s="517">
        <f>VLOOKUP($X$137,Obliczenia!J37:W45,8,0)</f>
        <v>92</v>
      </c>
      <c r="AM137" s="369" t="s">
        <v>454</v>
      </c>
      <c r="AN137" s="13"/>
      <c r="AO137" s="369"/>
      <c r="AP137" s="369"/>
      <c r="AQ137" s="369"/>
      <c r="AR137" s="369"/>
      <c r="AS137" s="369"/>
      <c r="AT137" s="369"/>
      <c r="AU137" s="369"/>
      <c r="AV137" s="409"/>
      <c r="AW137" s="409"/>
      <c r="AX137" s="409"/>
      <c r="AY137" s="409"/>
      <c r="AZ137" s="409"/>
      <c r="BA137" s="409"/>
      <c r="BB137" s="409"/>
      <c r="BC137" s="409"/>
      <c r="BD137" s="409"/>
      <c r="BE137" s="409"/>
      <c r="BF137" s="409"/>
      <c r="BG137" s="409"/>
      <c r="BH137" s="409"/>
      <c r="BI137" s="266"/>
      <c r="BJ137" s="265"/>
    </row>
    <row r="138" spans="1:64">
      <c r="A138" s="265"/>
      <c r="B138" s="289"/>
      <c r="C138" s="289"/>
      <c r="D138" s="289"/>
      <c r="E138" s="289"/>
      <c r="F138" s="289"/>
      <c r="G138" s="289"/>
      <c r="H138" s="289"/>
      <c r="I138" s="289"/>
      <c r="J138" s="289"/>
      <c r="K138" s="770"/>
      <c r="L138" s="770"/>
      <c r="M138" s="770"/>
      <c r="N138" s="770"/>
      <c r="O138" s="770"/>
      <c r="P138" s="770"/>
      <c r="Q138" s="770"/>
      <c r="R138" s="770"/>
      <c r="S138" s="770"/>
      <c r="T138" s="770"/>
      <c r="U138" s="770"/>
      <c r="V138" s="770"/>
      <c r="W138" s="770"/>
      <c r="X138" s="490" t="str">
        <f>IF(X137="Vitoair FS 300E MA 300m3/h","Centrala wentylacji mechanicznej z odzyskiem ciepła i wilgoci","Centrala wentylacji mechanicznej z odzyskiem ciepła")</f>
        <v>Centrala wentylacji mechanicznej z odzyskiem ciepła</v>
      </c>
      <c r="Y138" s="488"/>
      <c r="Z138" s="488"/>
      <c r="AA138" s="488"/>
      <c r="AB138" s="488"/>
      <c r="AC138" s="568">
        <v>0</v>
      </c>
      <c r="AE138" s="506"/>
      <c r="AF138" s="289"/>
      <c r="AG138" s="515" t="s">
        <v>453</v>
      </c>
      <c r="AH138" s="516"/>
      <c r="AI138" s="515"/>
      <c r="AJ138" s="515"/>
      <c r="AK138" s="515"/>
      <c r="AL138" s="517" t="str">
        <f>VLOOKUP($X$137,Obliczenia!J37:W45,9,0)</f>
        <v>n.d.</v>
      </c>
      <c r="AM138" s="369" t="s">
        <v>454</v>
      </c>
      <c r="AN138" s="13"/>
      <c r="AO138" s="369"/>
      <c r="AP138" s="369"/>
      <c r="AQ138" s="369"/>
      <c r="AR138" s="369"/>
      <c r="AS138" s="369"/>
      <c r="AT138" s="369"/>
      <c r="AU138" s="369"/>
      <c r="AV138" s="409"/>
      <c r="AW138" s="409"/>
      <c r="AX138" s="409"/>
      <c r="AY138" s="409"/>
      <c r="AZ138" s="409"/>
      <c r="BA138" s="409"/>
      <c r="BB138" s="409"/>
      <c r="BC138" s="409"/>
      <c r="BD138" s="409"/>
      <c r="BE138" s="409"/>
      <c r="BF138" s="409"/>
      <c r="BG138" s="409"/>
      <c r="BH138" s="409"/>
      <c r="BI138" s="266"/>
      <c r="BJ138" s="265"/>
    </row>
    <row r="139" spans="1:64">
      <c r="A139" s="265"/>
      <c r="B139" s="289"/>
      <c r="C139" s="289"/>
      <c r="D139" s="289"/>
      <c r="E139" s="289"/>
      <c r="F139" s="289"/>
      <c r="G139" s="289"/>
      <c r="H139" s="289"/>
      <c r="I139" s="289"/>
      <c r="J139" s="289"/>
      <c r="K139" s="770"/>
      <c r="L139" s="770"/>
      <c r="M139" s="770"/>
      <c r="N139" s="770"/>
      <c r="O139" s="770"/>
      <c r="P139" s="770"/>
      <c r="Q139" s="770"/>
      <c r="R139" s="770"/>
      <c r="S139" s="770"/>
      <c r="T139" s="770"/>
      <c r="U139" s="770"/>
      <c r="V139" s="770"/>
      <c r="W139" s="770"/>
      <c r="X139" s="334" t="str">
        <f>VLOOKUP(X137,rozdzial,3,0)</f>
        <v>Z029134</v>
      </c>
      <c r="Z139" s="13"/>
      <c r="AA139" s="514"/>
      <c r="AB139" s="487"/>
      <c r="AC139" s="13"/>
      <c r="AD139" s="507"/>
      <c r="AE139" s="506"/>
      <c r="AF139" s="289"/>
      <c r="AG139" s="515" t="s">
        <v>448</v>
      </c>
      <c r="AH139" s="515"/>
      <c r="AI139" s="515"/>
      <c r="AJ139" s="515"/>
      <c r="AK139" s="515"/>
      <c r="AL139" s="517" t="str">
        <f>VLOOKUP($X$137,Obliczenia!J37:W45,11,0)</f>
        <v>Krzyżowy</v>
      </c>
      <c r="AM139" s="13"/>
      <c r="AN139" s="13"/>
      <c r="AO139" s="13"/>
      <c r="AP139" s="595"/>
      <c r="AQ139" s="595"/>
      <c r="AR139" s="595"/>
      <c r="AS139" s="595"/>
      <c r="AT139" s="595"/>
      <c r="AU139" s="595"/>
      <c r="AV139" s="409"/>
      <c r="AW139" s="409"/>
      <c r="AX139" s="409"/>
      <c r="AY139" s="409"/>
      <c r="AZ139" s="409"/>
      <c r="BA139" s="409"/>
      <c r="BB139" s="409"/>
      <c r="BC139" s="409"/>
      <c r="BD139" s="409"/>
      <c r="BE139" s="409"/>
      <c r="BF139" s="409"/>
      <c r="BG139" s="409"/>
      <c r="BH139" s="409"/>
      <c r="BI139" s="266"/>
      <c r="BJ139" s="265"/>
    </row>
    <row r="140" spans="1:64" ht="14.4" customHeight="1">
      <c r="A140" s="265"/>
      <c r="B140" s="289"/>
      <c r="C140" s="289"/>
      <c r="D140" s="409"/>
      <c r="E140" s="409"/>
      <c r="F140" s="409"/>
      <c r="G140" s="409"/>
      <c r="H140" s="409"/>
      <c r="I140" s="409"/>
      <c r="J140" s="409"/>
      <c r="K140" s="409"/>
      <c r="L140" s="409"/>
      <c r="M140" s="409"/>
      <c r="N140" s="409"/>
      <c r="O140" s="409"/>
      <c r="P140" s="409"/>
      <c r="Q140" s="409"/>
      <c r="R140" s="409"/>
      <c r="S140" s="409"/>
      <c r="T140" s="409"/>
      <c r="U140" s="409"/>
      <c r="V140" s="409"/>
      <c r="W140" s="13"/>
      <c r="X140" s="13"/>
      <c r="Y140" s="13"/>
      <c r="Z140" s="13"/>
      <c r="AA140" s="13"/>
      <c r="AC140" s="267"/>
      <c r="AD140" s="13"/>
      <c r="AE140" s="506"/>
      <c r="AF140" s="289"/>
      <c r="AG140" s="515" t="s">
        <v>449</v>
      </c>
      <c r="AH140" s="515"/>
      <c r="AI140" s="515"/>
      <c r="AJ140" s="515"/>
      <c r="AK140" s="515"/>
      <c r="AL140" s="517" t="str">
        <f>VLOOKUP($X$137,Obliczenia!J37:W45,13,0)</f>
        <v>Tak</v>
      </c>
      <c r="AM140" s="289"/>
      <c r="AN140" s="289"/>
      <c r="AO140" s="289"/>
      <c r="AP140" s="409"/>
      <c r="AQ140" s="409"/>
      <c r="AR140" s="409"/>
      <c r="AS140" s="409"/>
      <c r="AT140" s="409"/>
      <c r="AU140" s="409"/>
      <c r="AV140" s="409"/>
      <c r="AW140" s="409"/>
      <c r="AX140" s="409"/>
      <c r="AY140" s="409"/>
      <c r="AZ140" s="409"/>
      <c r="BA140" s="409"/>
      <c r="BB140" s="409"/>
      <c r="BC140" s="409"/>
      <c r="BD140" s="409"/>
      <c r="BE140" s="409"/>
      <c r="BF140" s="409"/>
      <c r="BG140" s="409"/>
      <c r="BH140" s="409"/>
      <c r="BI140" s="266"/>
      <c r="BJ140" s="265"/>
    </row>
    <row r="141" spans="1:64" ht="14.4" customHeight="1" thickBot="1">
      <c r="A141" s="265"/>
      <c r="B141" s="289"/>
      <c r="C141" s="289"/>
      <c r="D141" s="409"/>
      <c r="E141" s="409"/>
      <c r="F141" s="409"/>
      <c r="G141" s="409"/>
      <c r="H141" s="409"/>
      <c r="I141" s="409"/>
      <c r="J141" s="409"/>
      <c r="K141" s="409"/>
      <c r="L141" s="409"/>
      <c r="M141" s="409"/>
      <c r="N141" s="409"/>
      <c r="O141" s="409"/>
      <c r="P141" s="409"/>
      <c r="Q141" s="409"/>
      <c r="R141" s="409"/>
      <c r="S141" s="409"/>
      <c r="T141" s="409"/>
      <c r="U141" s="409"/>
      <c r="V141" s="409"/>
      <c r="W141" s="13"/>
      <c r="X141" s="519" t="str">
        <f>"    "&amp;VLOOKUP($X$137,Obliczenia!J37:W45,6,0)</f>
        <v xml:space="preserve">    50</v>
      </c>
      <c r="Y141" s="517" t="str">
        <f>VLOOKUP($X$137,Obliczenia!J37:W45,4,0)&amp;" [m3/h]"</f>
        <v>400 [m3/h]</v>
      </c>
      <c r="Z141" s="13"/>
      <c r="AA141" s="518"/>
      <c r="AB141" s="520" t="str">
        <f>VLOOKUP($X$137,Obliczenia!J37:AA45,16,0)</f>
        <v>A</v>
      </c>
      <c r="AC141" s="587"/>
      <c r="AD141" s="506"/>
      <c r="AE141" s="506"/>
      <c r="AF141" s="289"/>
      <c r="AG141" s="515" t="s">
        <v>450</v>
      </c>
      <c r="AH141" s="515"/>
      <c r="AI141" s="515"/>
      <c r="AJ141" s="515"/>
      <c r="AK141" s="515"/>
      <c r="AL141" s="517" t="str">
        <f>VLOOKUP($X$137,Obliczenia!J37:W45,14,0)</f>
        <v>Tak, 1kW</v>
      </c>
      <c r="AM141" s="289"/>
      <c r="AN141" s="289"/>
      <c r="AO141" s="289"/>
      <c r="AP141" s="409"/>
      <c r="AQ141" s="409"/>
      <c r="AR141" s="409"/>
      <c r="AS141" s="409"/>
      <c r="AT141" s="409"/>
      <c r="AU141" s="409"/>
      <c r="AV141" s="409"/>
      <c r="AW141" s="409"/>
      <c r="AX141" s="409"/>
      <c r="AY141" s="409"/>
      <c r="AZ141" s="409"/>
      <c r="BA141" s="409"/>
      <c r="BB141" s="409"/>
      <c r="BC141" s="409"/>
      <c r="BD141" s="409"/>
      <c r="BE141" s="409"/>
      <c r="BF141" s="409"/>
      <c r="BG141" s="409"/>
      <c r="BH141" s="409"/>
      <c r="BI141" s="266"/>
      <c r="BJ141" s="265"/>
    </row>
    <row r="142" spans="1:64" ht="14.4" customHeight="1" thickBot="1">
      <c r="A142" s="265"/>
      <c r="B142" s="289"/>
      <c r="C142" s="289"/>
      <c r="D142" s="409"/>
      <c r="E142" s="409"/>
      <c r="F142" s="409"/>
      <c r="G142" s="409"/>
      <c r="H142" s="409"/>
      <c r="I142" s="409"/>
      <c r="J142" s="409"/>
      <c r="K142" s="409"/>
      <c r="L142" s="409"/>
      <c r="M142" s="409"/>
      <c r="N142" s="409"/>
      <c r="O142" s="409"/>
      <c r="P142" s="409"/>
      <c r="Q142" s="409"/>
      <c r="R142" s="409"/>
      <c r="S142" s="409"/>
      <c r="T142" s="409"/>
      <c r="U142" s="409"/>
      <c r="V142" s="409"/>
      <c r="W142" s="13"/>
      <c r="X142" s="13"/>
      <c r="Y142" s="13"/>
      <c r="Z142" s="13"/>
      <c r="AA142" s="13"/>
      <c r="AB142" s="520" t="str">
        <f>VLOOKUP($X$137,Obliczenia!J37:AA45,17,0)</f>
        <v>A+</v>
      </c>
      <c r="AC142" s="13"/>
      <c r="AD142" s="506"/>
      <c r="AE142" s="506"/>
      <c r="AF142" s="289"/>
      <c r="AG142" s="515" t="s">
        <v>433</v>
      </c>
      <c r="AH142" s="515"/>
      <c r="AI142" s="515"/>
      <c r="AJ142" s="515"/>
      <c r="AK142" s="515"/>
      <c r="AL142" s="517" t="str">
        <f>VLOOKUP($X$137,Obliczenia!J37:W45,12,0)</f>
        <v>Tak</v>
      </c>
      <c r="AM142" s="289"/>
      <c r="AN142" s="289"/>
      <c r="AO142" s="289"/>
      <c r="AP142" s="409"/>
      <c r="AQ142" s="409"/>
      <c r="AR142" s="409"/>
      <c r="AS142" s="409"/>
      <c r="AT142" s="409"/>
      <c r="AU142" s="409"/>
      <c r="AV142" s="409"/>
      <c r="AW142" s="409"/>
      <c r="AX142" s="409"/>
      <c r="AY142" s="409"/>
      <c r="AZ142" s="409"/>
      <c r="BA142" s="409"/>
      <c r="BB142" s="409"/>
      <c r="BC142" s="409"/>
      <c r="BD142" s="409"/>
      <c r="BE142" s="409"/>
      <c r="BF142" s="409"/>
      <c r="BG142" s="409"/>
      <c r="BH142" s="409"/>
      <c r="BI142" s="266"/>
      <c r="BJ142" s="265"/>
    </row>
    <row r="143" spans="1:64" ht="14.4" customHeight="1">
      <c r="A143" s="265"/>
      <c r="B143" s="289"/>
      <c r="C143" s="289"/>
      <c r="D143" s="409"/>
      <c r="E143" s="409"/>
      <c r="F143" s="409"/>
      <c r="G143" s="409"/>
      <c r="H143" s="409"/>
      <c r="I143" s="409"/>
      <c r="J143" s="409"/>
      <c r="K143" s="409"/>
      <c r="L143" s="409"/>
      <c r="M143" s="409"/>
      <c r="N143" s="409"/>
      <c r="O143" s="409"/>
      <c r="P143" s="409"/>
      <c r="Q143" s="409"/>
      <c r="R143" s="409"/>
      <c r="S143" s="409"/>
      <c r="T143" s="409"/>
      <c r="U143" s="409"/>
      <c r="V143" s="409"/>
      <c r="W143" s="427"/>
      <c r="X143" s="427"/>
      <c r="Y143" s="427"/>
      <c r="Z143" s="427"/>
      <c r="AA143" s="427"/>
      <c r="AB143" s="521" t="str">
        <f>VLOOKUP($X$137,Obliczenia!J37:AA45,18,0)</f>
        <v>A+</v>
      </c>
      <c r="AC143" s="426"/>
      <c r="AD143" s="506"/>
      <c r="AE143" s="506"/>
      <c r="AF143" s="289"/>
      <c r="AG143" s="507" t="s">
        <v>447</v>
      </c>
      <c r="AH143" s="515"/>
      <c r="AI143" s="515"/>
      <c r="AJ143" s="515"/>
      <c r="AK143" s="515"/>
      <c r="AL143" s="517" t="str">
        <f>VLOOKUP($X$137,Obliczenia!J37:W45,10,0)</f>
        <v>560 x 695 x 750</v>
      </c>
      <c r="AM143" s="369" t="s">
        <v>455</v>
      </c>
      <c r="AN143" s="289"/>
      <c r="AO143" s="289"/>
      <c r="AP143" s="409"/>
      <c r="AQ143" s="409"/>
      <c r="AR143" s="409"/>
      <c r="AS143" s="409"/>
      <c r="AT143" s="409"/>
      <c r="AU143" s="409"/>
      <c r="AV143" s="409"/>
      <c r="AW143" s="409"/>
      <c r="AX143" s="409"/>
      <c r="AY143" s="409"/>
      <c r="AZ143" s="409"/>
      <c r="BA143" s="409"/>
      <c r="BB143" s="409"/>
      <c r="BC143" s="409"/>
      <c r="BD143" s="409"/>
      <c r="BE143" s="409"/>
      <c r="BF143" s="409"/>
      <c r="BG143" s="409"/>
      <c r="BH143" s="409"/>
      <c r="BI143" s="266"/>
      <c r="BJ143" s="265"/>
      <c r="BL143" s="289"/>
    </row>
    <row r="144" spans="1:64" ht="14.4" customHeight="1">
      <c r="A144" s="265"/>
      <c r="B144" s="289"/>
      <c r="C144" s="289"/>
      <c r="D144" s="409"/>
      <c r="E144" s="409"/>
      <c r="F144" s="409"/>
      <c r="G144" s="409"/>
      <c r="H144" s="409"/>
      <c r="I144" s="409"/>
      <c r="J144" s="409"/>
      <c r="K144" s="409"/>
      <c r="L144" s="409"/>
      <c r="M144" s="409"/>
      <c r="N144" s="409"/>
      <c r="O144" s="409"/>
      <c r="P144" s="409"/>
      <c r="Q144" s="409"/>
      <c r="R144" s="409"/>
      <c r="S144" s="409"/>
      <c r="T144" s="409"/>
      <c r="U144" s="409"/>
      <c r="V144" s="409"/>
      <c r="W144" s="427"/>
      <c r="X144" s="427"/>
      <c r="Y144" s="427"/>
      <c r="Z144" s="427"/>
      <c r="AB144" s="426"/>
      <c r="AC144" s="426"/>
      <c r="AD144" s="506"/>
      <c r="AE144" s="506"/>
      <c r="AF144" s="289"/>
      <c r="AG144" s="515"/>
      <c r="AH144" s="515"/>
      <c r="AI144" s="515"/>
      <c r="AJ144" s="515"/>
      <c r="AK144" s="515"/>
      <c r="AL144" s="517"/>
      <c r="AM144" s="289"/>
      <c r="AN144" s="289"/>
      <c r="AO144" s="289"/>
      <c r="AP144" s="409"/>
      <c r="AQ144" s="409"/>
      <c r="AR144" s="409"/>
      <c r="AS144" s="409"/>
      <c r="AT144" s="409"/>
      <c r="AU144" s="409"/>
      <c r="AV144" s="409"/>
      <c r="AW144" s="409"/>
      <c r="AX144" s="409"/>
      <c r="AY144" s="409"/>
      <c r="AZ144" s="409"/>
      <c r="BA144" s="409"/>
      <c r="BB144" s="409"/>
      <c r="BC144" s="409"/>
      <c r="BD144" s="409"/>
      <c r="BE144" s="409"/>
      <c r="BF144" s="409"/>
      <c r="BG144" s="409"/>
      <c r="BH144" s="409"/>
      <c r="BI144" s="266"/>
      <c r="BJ144" s="265"/>
      <c r="BL144" s="289"/>
    </row>
    <row r="145" spans="1:70" ht="14.4" customHeight="1">
      <c r="A145" s="265"/>
      <c r="B145" s="289"/>
      <c r="C145" s="289"/>
      <c r="D145" s="409"/>
      <c r="E145" s="409"/>
      <c r="F145" s="409"/>
      <c r="G145" s="409"/>
      <c r="H145" s="409"/>
      <c r="I145" s="409"/>
      <c r="J145" s="409"/>
      <c r="K145" s="409"/>
      <c r="L145" s="409"/>
      <c r="M145" s="409"/>
      <c r="N145" s="409"/>
      <c r="O145" s="409"/>
      <c r="P145" s="409"/>
      <c r="Q145" s="409"/>
      <c r="R145" s="409"/>
      <c r="S145" s="409"/>
      <c r="T145" s="409"/>
      <c r="U145" s="409"/>
      <c r="V145" s="409"/>
      <c r="W145" s="427"/>
      <c r="X145" s="806" t="str">
        <f>IF(X137="Vitoair FS 300E MA 300m3/h","Nagrzewnica elektryczna powietrza 1,8kW","")</f>
        <v/>
      </c>
      <c r="Y145" s="806"/>
      <c r="Z145" s="806"/>
      <c r="AA145" s="806"/>
      <c r="AB145" s="806"/>
      <c r="AC145" s="13"/>
      <c r="AD145" s="769" t="str">
        <f>IFERROR(VLOOKUP(X145,rozdzial,4,0)-VLOOKUP(X145,rozdzial,4,0)*(AC138/100),"")</f>
        <v/>
      </c>
      <c r="AE145" s="769"/>
      <c r="AF145" s="289"/>
      <c r="AG145" s="515"/>
      <c r="AH145" s="515"/>
      <c r="AI145" s="515"/>
      <c r="AJ145" s="515"/>
      <c r="AK145" s="515"/>
      <c r="AL145" s="517"/>
      <c r="AM145" s="289"/>
      <c r="AN145" s="289"/>
      <c r="AO145" s="289"/>
      <c r="AP145" s="409"/>
      <c r="AQ145" s="409"/>
      <c r="AR145" s="409"/>
      <c r="AS145" s="409"/>
      <c r="AT145" s="409"/>
      <c r="AU145" s="409"/>
      <c r="AV145" s="409"/>
      <c r="AW145" s="409"/>
      <c r="AX145" s="409"/>
      <c r="AY145" s="409"/>
      <c r="AZ145" s="409"/>
      <c r="BA145" s="409"/>
      <c r="BB145" s="409"/>
      <c r="BC145" s="409"/>
      <c r="BD145" s="409"/>
      <c r="BE145" s="409"/>
      <c r="BF145" s="409"/>
      <c r="BG145" s="409"/>
      <c r="BH145" s="409"/>
      <c r="BI145" s="266"/>
      <c r="BJ145" s="265"/>
      <c r="BL145" s="289"/>
    </row>
    <row r="146" spans="1:70" ht="14.4" customHeight="1">
      <c r="A146" s="265"/>
      <c r="B146" s="289"/>
      <c r="C146" s="289"/>
      <c r="D146" s="409"/>
      <c r="E146" s="409"/>
      <c r="F146" s="409"/>
      <c r="G146" s="409"/>
      <c r="H146" s="409"/>
      <c r="I146" s="409"/>
      <c r="J146" s="409"/>
      <c r="K146" s="409"/>
      <c r="L146" s="409"/>
      <c r="M146" s="409"/>
      <c r="N146" s="409"/>
      <c r="O146" s="409"/>
      <c r="P146" s="409"/>
      <c r="Q146" s="409"/>
      <c r="R146" s="409"/>
      <c r="S146" s="409"/>
      <c r="T146" s="409"/>
      <c r="U146" s="409"/>
      <c r="V146" s="409"/>
      <c r="W146" s="427"/>
      <c r="X146" s="490" t="str">
        <f>IF(X137="Vitoair FS 300E MA 300m3/h","Do ogrzewania wstępnego powietrza, montaż wewn. centrali","")</f>
        <v/>
      </c>
      <c r="Y146" s="488"/>
      <c r="Z146" s="488"/>
      <c r="AA146" s="488"/>
      <c r="AB146" s="488"/>
      <c r="AC146" s="339"/>
      <c r="AD146" s="503"/>
      <c r="AE146" s="503"/>
      <c r="AF146" s="289"/>
      <c r="AG146" s="563"/>
      <c r="AH146" s="515"/>
      <c r="AI146" s="515"/>
      <c r="AJ146" s="515"/>
      <c r="AK146" s="515"/>
      <c r="AL146" s="517"/>
      <c r="AM146" s="289"/>
      <c r="AN146" s="289"/>
      <c r="AO146" s="289"/>
      <c r="AP146" s="409"/>
      <c r="AQ146" s="409"/>
      <c r="AR146" s="409"/>
      <c r="AS146" s="409"/>
      <c r="AT146" s="409"/>
      <c r="AU146" s="409"/>
      <c r="AV146" s="409"/>
      <c r="AW146" s="409"/>
      <c r="AX146" s="409"/>
      <c r="AY146" s="409"/>
      <c r="AZ146" s="409"/>
      <c r="BA146" s="409"/>
      <c r="BB146" s="409"/>
      <c r="BC146" s="409"/>
      <c r="BD146" s="409"/>
      <c r="BE146" s="409"/>
      <c r="BF146" s="409"/>
      <c r="BG146" s="409"/>
      <c r="BH146" s="409"/>
      <c r="BI146" s="266"/>
      <c r="BJ146" s="265"/>
      <c r="BL146" s="289"/>
    </row>
    <row r="147" spans="1:70" ht="14.4" customHeight="1">
      <c r="A147" s="265"/>
      <c r="B147" s="289"/>
      <c r="C147" s="289"/>
      <c r="D147" s="409"/>
      <c r="E147" s="409"/>
      <c r="F147" s="409"/>
      <c r="G147" s="409"/>
      <c r="H147" s="409"/>
      <c r="I147" s="409"/>
      <c r="J147" s="409"/>
      <c r="K147" s="409"/>
      <c r="L147" s="409"/>
      <c r="M147" s="409"/>
      <c r="N147" s="409"/>
      <c r="O147" s="409"/>
      <c r="P147" s="409"/>
      <c r="Q147" s="409"/>
      <c r="R147" s="409"/>
      <c r="S147" s="409"/>
      <c r="T147" s="409"/>
      <c r="U147" s="409"/>
      <c r="V147" s="409"/>
      <c r="W147" s="427"/>
      <c r="X147" s="334" t="str">
        <f>IFERROR(VLOOKUP(X145,rozdzial,3,0),"")</f>
        <v/>
      </c>
      <c r="Y147" s="497"/>
      <c r="Z147" s="497"/>
      <c r="AA147" s="497"/>
      <c r="AB147" s="497"/>
      <c r="AC147" s="339"/>
      <c r="AD147" s="503"/>
      <c r="AE147" s="503"/>
      <c r="AF147" s="289"/>
      <c r="AG147" s="515"/>
      <c r="AH147" s="515"/>
      <c r="AI147" s="515"/>
      <c r="AJ147" s="515"/>
      <c r="AK147" s="515"/>
      <c r="AL147" s="517"/>
      <c r="AM147" s="289"/>
      <c r="AN147" s="289"/>
      <c r="AO147" s="289"/>
      <c r="AP147" s="409"/>
      <c r="AQ147" s="409"/>
      <c r="AR147" s="409"/>
      <c r="AS147" s="409"/>
      <c r="AT147" s="409"/>
      <c r="AU147" s="409"/>
      <c r="AV147" s="409"/>
      <c r="AW147" s="409"/>
      <c r="AX147" s="409"/>
      <c r="AY147" s="409"/>
      <c r="AZ147" s="409"/>
      <c r="BA147" s="409"/>
      <c r="BB147" s="409"/>
      <c r="BC147" s="409"/>
      <c r="BD147" s="409"/>
      <c r="BE147" s="409"/>
      <c r="BF147" s="409"/>
      <c r="BG147" s="409"/>
      <c r="BH147" s="409"/>
      <c r="BI147" s="266"/>
      <c r="BJ147" s="265"/>
      <c r="BL147" s="289"/>
    </row>
    <row r="148" spans="1:70" ht="14.4" customHeight="1">
      <c r="A148" s="265"/>
      <c r="B148" s="289"/>
      <c r="C148" s="289"/>
      <c r="D148" s="409"/>
      <c r="E148" s="409"/>
      <c r="F148" s="409"/>
      <c r="G148" s="409"/>
      <c r="H148" s="409"/>
      <c r="I148" s="409"/>
      <c r="J148" s="409"/>
      <c r="K148" s="409"/>
      <c r="L148" s="409"/>
      <c r="M148" s="409"/>
      <c r="N148" s="409"/>
      <c r="O148" s="409"/>
      <c r="P148" s="409"/>
      <c r="Q148" s="409"/>
      <c r="R148" s="409"/>
      <c r="S148" s="409"/>
      <c r="T148" s="409"/>
      <c r="U148" s="409"/>
      <c r="V148" s="409"/>
      <c r="W148" s="427"/>
      <c r="X148" s="490"/>
      <c r="Y148" s="497"/>
      <c r="Z148" s="497"/>
      <c r="AA148" s="497"/>
      <c r="AB148" s="497"/>
      <c r="AC148" s="339"/>
      <c r="AD148" s="503"/>
      <c r="AE148" s="503"/>
      <c r="AF148" s="289"/>
      <c r="AG148" s="515"/>
      <c r="AH148" s="515"/>
      <c r="AI148" s="515"/>
      <c r="AJ148" s="515"/>
      <c r="AK148" s="515"/>
      <c r="AL148" s="517"/>
      <c r="AM148" s="289"/>
      <c r="AN148" s="289"/>
      <c r="AO148" s="289"/>
      <c r="AP148" s="409"/>
      <c r="AQ148" s="409"/>
      <c r="AR148" s="409"/>
      <c r="AS148" s="409"/>
      <c r="AT148" s="409"/>
      <c r="AU148" s="409"/>
      <c r="AV148" s="409"/>
      <c r="AW148" s="409"/>
      <c r="AX148" s="409"/>
      <c r="AY148" s="409"/>
      <c r="AZ148" s="409"/>
      <c r="BA148" s="409"/>
      <c r="BB148" s="409"/>
      <c r="BC148" s="409"/>
      <c r="BD148" s="409"/>
      <c r="BE148" s="409"/>
      <c r="BF148" s="409"/>
      <c r="BG148" s="409"/>
      <c r="BH148" s="409"/>
      <c r="BI148" s="266"/>
      <c r="BJ148" s="265"/>
      <c r="BL148" s="289"/>
    </row>
    <row r="149" spans="1:70" ht="14.4" customHeight="1">
      <c r="A149" s="265"/>
      <c r="B149" s="289"/>
      <c r="C149" s="289"/>
      <c r="D149" s="409"/>
      <c r="E149" s="409"/>
      <c r="F149" s="409"/>
      <c r="G149" s="409"/>
      <c r="H149" s="409"/>
      <c r="I149" s="409"/>
      <c r="J149" s="409"/>
      <c r="K149" s="409"/>
      <c r="L149" s="409"/>
      <c r="M149" s="409"/>
      <c r="N149" s="409"/>
      <c r="O149" s="409"/>
      <c r="P149" s="409"/>
      <c r="Q149" s="409"/>
      <c r="R149" s="409"/>
      <c r="S149" s="409"/>
      <c r="T149" s="409"/>
      <c r="U149" s="409"/>
      <c r="V149" s="409"/>
      <c r="W149" s="746" t="s">
        <v>402</v>
      </c>
      <c r="X149" s="746"/>
      <c r="Y149" s="746"/>
      <c r="Z149" s="746"/>
      <c r="AA149" s="746"/>
      <c r="AB149" s="746"/>
      <c r="AC149" s="426"/>
      <c r="AD149" s="506"/>
      <c r="AE149" s="506"/>
      <c r="AF149" s="289"/>
      <c r="AG149" s="515"/>
      <c r="AH149" s="515"/>
      <c r="AI149" s="13"/>
      <c r="AJ149" s="13"/>
      <c r="AK149" s="515"/>
      <c r="AL149" s="517"/>
      <c r="AM149" s="289"/>
      <c r="AN149" s="289"/>
      <c r="AO149" s="289"/>
      <c r="AP149" s="409"/>
      <c r="AQ149" s="409"/>
      <c r="AR149" s="409"/>
      <c r="AS149" s="409"/>
      <c r="AT149" s="409"/>
      <c r="AU149" s="409"/>
      <c r="AV149" s="409"/>
      <c r="AW149" s="409"/>
      <c r="AX149" s="409"/>
      <c r="AY149" s="409"/>
      <c r="AZ149" s="409"/>
      <c r="BA149" s="409"/>
      <c r="BB149" s="409"/>
      <c r="BC149" s="409"/>
      <c r="BD149" s="409"/>
      <c r="BE149" s="409"/>
      <c r="BF149" s="409"/>
      <c r="BG149" s="409"/>
      <c r="BH149" s="409"/>
      <c r="BI149" s="266"/>
      <c r="BJ149" s="265"/>
      <c r="BL149" s="289"/>
    </row>
    <row r="150" spans="1:70" ht="14.4" customHeight="1">
      <c r="A150" s="265"/>
      <c r="B150" s="289"/>
      <c r="C150" s="289"/>
      <c r="D150" s="409"/>
      <c r="E150" s="409"/>
      <c r="F150" s="409"/>
      <c r="G150" s="409"/>
      <c r="H150" s="409"/>
      <c r="I150" s="409"/>
      <c r="J150" s="409"/>
      <c r="K150" s="409"/>
      <c r="L150" s="409"/>
      <c r="M150" s="409"/>
      <c r="N150" s="409"/>
      <c r="O150" s="409"/>
      <c r="P150" s="409"/>
      <c r="Q150" s="409"/>
      <c r="R150" s="409"/>
      <c r="S150" s="409"/>
      <c r="T150" s="409"/>
      <c r="U150" s="409"/>
      <c r="V150" s="409"/>
      <c r="W150" s="771"/>
      <c r="X150" s="771"/>
      <c r="Y150" s="771"/>
      <c r="Z150" s="771"/>
      <c r="AA150" s="771"/>
      <c r="AB150" s="771"/>
      <c r="AC150" s="500"/>
      <c r="AD150" s="508"/>
      <c r="AE150" s="508"/>
      <c r="AF150" s="296"/>
      <c r="AG150" s="338"/>
      <c r="AH150" s="338"/>
      <c r="AI150" s="338"/>
      <c r="AJ150" s="338"/>
      <c r="AK150" s="338"/>
      <c r="AL150" s="338"/>
      <c r="AM150" s="338"/>
      <c r="AN150" s="296"/>
      <c r="AO150" s="296"/>
      <c r="AP150" s="510"/>
      <c r="AQ150" s="510"/>
      <c r="AR150" s="510"/>
      <c r="AS150" s="510"/>
      <c r="AT150" s="510"/>
      <c r="AU150" s="510"/>
      <c r="AV150" s="510"/>
      <c r="AW150" s="510"/>
      <c r="AX150" s="510"/>
      <c r="AY150" s="510"/>
      <c r="AZ150" s="510"/>
      <c r="BA150" s="510"/>
      <c r="BB150" s="510"/>
      <c r="BC150" s="510"/>
      <c r="BD150" s="510"/>
      <c r="BE150" s="409"/>
      <c r="BF150" s="409"/>
      <c r="BG150" s="409"/>
      <c r="BH150" s="409"/>
      <c r="BI150" s="266"/>
      <c r="BJ150" s="265"/>
      <c r="BM150" s="289"/>
      <c r="BN150" s="289"/>
      <c r="BO150" s="289"/>
      <c r="BP150" s="289"/>
      <c r="BQ150" s="289"/>
    </row>
    <row r="151" spans="1:70" ht="3.6" customHeight="1">
      <c r="A151" s="265"/>
      <c r="B151" s="289"/>
      <c r="C151" s="289"/>
      <c r="D151" s="409"/>
      <c r="E151" s="409"/>
      <c r="F151" s="409"/>
      <c r="G151" s="409"/>
      <c r="H151" s="409"/>
      <c r="I151" s="409"/>
      <c r="J151" s="409"/>
      <c r="K151" s="409"/>
      <c r="L151" s="409"/>
      <c r="M151" s="409"/>
      <c r="N151" s="409"/>
      <c r="O151" s="409"/>
      <c r="P151" s="409"/>
      <c r="Q151" s="409"/>
      <c r="R151" s="409"/>
      <c r="S151" s="409"/>
      <c r="T151" s="409"/>
      <c r="U151" s="409"/>
      <c r="V151" s="409"/>
      <c r="W151" s="425"/>
      <c r="X151" s="425"/>
      <c r="Y151" s="425"/>
      <c r="Z151" s="425"/>
      <c r="AA151" s="425"/>
      <c r="AB151" s="425"/>
      <c r="AC151" s="426"/>
      <c r="AD151" s="506"/>
      <c r="AE151" s="506"/>
      <c r="AF151" s="289"/>
      <c r="AG151" s="13"/>
      <c r="AH151" s="13"/>
      <c r="AI151" s="13"/>
      <c r="AJ151" s="13"/>
      <c r="AK151" s="13"/>
      <c r="AL151" s="13"/>
      <c r="AM151" s="13"/>
      <c r="AN151" s="289"/>
      <c r="AO151" s="289"/>
      <c r="AP151" s="409"/>
      <c r="AQ151" s="409"/>
      <c r="AR151" s="409"/>
      <c r="AS151" s="409"/>
      <c r="AT151" s="409"/>
      <c r="AU151" s="409"/>
      <c r="AV151" s="409"/>
      <c r="AW151" s="409"/>
      <c r="AX151" s="409"/>
      <c r="AY151" s="409"/>
      <c r="AZ151" s="409"/>
      <c r="BA151" s="409"/>
      <c r="BB151" s="409"/>
      <c r="BC151" s="409"/>
      <c r="BD151" s="409"/>
      <c r="BE151" s="409"/>
      <c r="BF151" s="409"/>
      <c r="BG151" s="409"/>
      <c r="BH151" s="409"/>
      <c r="BI151" s="266"/>
      <c r="BJ151" s="265"/>
      <c r="BM151" s="289"/>
      <c r="BN151" s="289"/>
      <c r="BO151" s="289"/>
      <c r="BP151" s="289"/>
      <c r="BQ151" s="289"/>
    </row>
    <row r="152" spans="1:70" ht="14.4" customHeight="1">
      <c r="A152" s="265"/>
      <c r="B152" s="289"/>
      <c r="C152" s="289"/>
      <c r="D152" s="409"/>
      <c r="E152" s="409"/>
      <c r="F152" s="409"/>
      <c r="G152" s="409"/>
      <c r="H152" s="409"/>
      <c r="I152" s="409"/>
      <c r="J152" s="409"/>
      <c r="K152" s="409"/>
      <c r="L152" s="409"/>
      <c r="M152" s="409"/>
      <c r="N152" s="409"/>
      <c r="O152" s="409"/>
      <c r="P152" s="409"/>
      <c r="Q152" s="409"/>
      <c r="R152" s="409"/>
      <c r="S152" s="409"/>
      <c r="T152" s="409"/>
      <c r="U152" s="409"/>
      <c r="V152" s="409"/>
      <c r="W152" s="425"/>
      <c r="X152" s="425"/>
      <c r="Y152" s="425"/>
      <c r="Z152" s="425"/>
      <c r="AA152" s="427"/>
      <c r="AB152" s="277"/>
      <c r="AC152" s="426"/>
      <c r="AD152" s="506"/>
      <c r="AE152" s="539"/>
      <c r="AF152" s="491"/>
      <c r="AG152" s="552"/>
      <c r="AH152" s="552"/>
      <c r="AI152" s="552"/>
      <c r="AJ152" s="552"/>
      <c r="AK152" s="552"/>
      <c r="AL152" s="552"/>
      <c r="AM152" s="552"/>
      <c r="AN152" s="492"/>
      <c r="AO152" s="492"/>
      <c r="AP152" s="462"/>
      <c r="AQ152" s="462"/>
      <c r="AR152" s="462"/>
      <c r="AS152" s="462"/>
      <c r="AT152" s="462"/>
      <c r="AU152" s="462"/>
      <c r="AV152" s="462"/>
      <c r="AW152" s="462"/>
      <c r="AX152" s="462"/>
      <c r="AY152" s="462"/>
      <c r="AZ152" s="462"/>
      <c r="BA152" s="462"/>
      <c r="BB152" s="462"/>
      <c r="BC152" s="462"/>
      <c r="BD152" s="462"/>
      <c r="BE152" s="409"/>
      <c r="BF152" s="409"/>
      <c r="BG152" s="409"/>
      <c r="BH152" s="409"/>
      <c r="BI152" s="266"/>
      <c r="BJ152" s="265"/>
      <c r="BM152" s="289"/>
      <c r="BO152" s="289"/>
      <c r="BP152" s="289"/>
      <c r="BQ152" s="289"/>
    </row>
    <row r="153" spans="1:70" ht="14.4" customHeight="1">
      <c r="A153" s="265"/>
      <c r="B153" s="289"/>
      <c r="C153" s="289"/>
      <c r="D153" s="409"/>
      <c r="E153" s="409"/>
      <c r="F153" s="409"/>
      <c r="G153" s="409"/>
      <c r="H153" s="409"/>
      <c r="I153" s="409"/>
      <c r="J153" s="409"/>
      <c r="K153" s="409"/>
      <c r="L153" s="409"/>
      <c r="M153" s="409"/>
      <c r="N153" s="409"/>
      <c r="O153" s="409"/>
      <c r="P153" s="409"/>
      <c r="Q153" s="409"/>
      <c r="R153" s="409"/>
      <c r="S153" s="409"/>
      <c r="T153" s="409"/>
      <c r="U153" s="409"/>
      <c r="V153" s="409"/>
      <c r="W153" s="425"/>
      <c r="X153" s="425"/>
      <c r="Y153" s="425"/>
      <c r="Z153" s="425"/>
      <c r="AA153" s="427"/>
      <c r="AB153" s="277"/>
      <c r="AC153" s="426"/>
      <c r="AD153" s="506"/>
      <c r="AE153" s="539"/>
      <c r="AF153" s="400"/>
      <c r="AG153" s="524" t="s">
        <v>416</v>
      </c>
      <c r="AH153" s="524"/>
      <c r="AI153" s="400"/>
      <c r="AJ153" s="400"/>
      <c r="AK153" s="400"/>
      <c r="AL153" s="400"/>
      <c r="AM153" s="400"/>
      <c r="AN153" s="397"/>
      <c r="AO153" s="397"/>
      <c r="AP153" s="465"/>
      <c r="AQ153" s="465"/>
      <c r="AR153" s="465"/>
      <c r="AS153" s="465"/>
      <c r="AT153" s="465"/>
      <c r="AU153" s="465"/>
      <c r="AV153" s="465"/>
      <c r="AW153" s="465"/>
      <c r="AX153" s="465"/>
      <c r="AY153" s="465"/>
      <c r="AZ153" s="465"/>
      <c r="BA153" s="465"/>
      <c r="BB153" s="465"/>
      <c r="BC153" s="465"/>
      <c r="BD153" s="465"/>
      <c r="BE153" s="409"/>
      <c r="BF153" s="409"/>
      <c r="BG153" s="409"/>
      <c r="BH153" s="409"/>
      <c r="BI153" s="266"/>
      <c r="BJ153" s="265"/>
    </row>
    <row r="154" spans="1:70">
      <c r="A154" s="265"/>
      <c r="B154" s="289"/>
      <c r="C154" s="289"/>
      <c r="D154" s="289"/>
      <c r="E154" s="289"/>
      <c r="F154" s="289"/>
      <c r="G154" s="289"/>
      <c r="H154" s="289"/>
      <c r="I154" s="289"/>
      <c r="J154" s="289"/>
      <c r="K154" s="770" t="str">
        <f>Obliczenia!V82</f>
        <v/>
      </c>
      <c r="L154" s="770"/>
      <c r="M154" s="770"/>
      <c r="N154" s="770"/>
      <c r="O154" s="770"/>
      <c r="P154" s="770"/>
      <c r="Q154" s="770"/>
      <c r="R154" s="770"/>
      <c r="S154" s="770"/>
      <c r="T154" s="770"/>
      <c r="U154" s="770"/>
      <c r="V154" s="770"/>
      <c r="W154" s="770"/>
      <c r="X154" s="781" t="s">
        <v>422</v>
      </c>
      <c r="Y154" s="781"/>
      <c r="Z154" s="781"/>
      <c r="AA154" s="781"/>
      <c r="AB154" s="781"/>
      <c r="AC154" s="13"/>
      <c r="AD154" s="769">
        <f>IF(X154="Sterowanie przez aplikację ViCare","0 zł",VLOOKUP(X154,rozdzial,4,0)-VLOOKUP(X154,rozdzial,4,0)*(AC138/100))</f>
        <v>1259</v>
      </c>
      <c r="AE154" s="778"/>
      <c r="AF154" s="397"/>
      <c r="AG154" s="400"/>
      <c r="AH154" s="532"/>
      <c r="AI154" s="531" t="s">
        <v>461</v>
      </c>
      <c r="AJ154" s="400"/>
      <c r="AK154" s="400"/>
      <c r="AL154" s="397"/>
      <c r="AM154" s="400"/>
      <c r="AN154" s="397"/>
      <c r="AO154" s="397"/>
      <c r="AP154" s="465"/>
      <c r="AQ154" s="465"/>
      <c r="AR154" s="465"/>
      <c r="AS154" s="465"/>
      <c r="AT154" s="465"/>
      <c r="AU154" s="465"/>
      <c r="AV154" s="465"/>
      <c r="AW154" s="465"/>
      <c r="AX154" s="465"/>
      <c r="AY154" s="465"/>
      <c r="AZ154" s="465"/>
      <c r="BA154" s="465"/>
      <c r="BB154" s="465"/>
      <c r="BC154" s="465"/>
      <c r="BD154" s="465"/>
      <c r="BE154" s="409"/>
      <c r="BF154" s="409"/>
      <c r="BG154" s="409"/>
      <c r="BH154" s="409"/>
      <c r="BI154" s="266"/>
      <c r="BJ154" s="265"/>
    </row>
    <row r="155" spans="1:70">
      <c r="A155" s="265"/>
      <c r="B155" s="289"/>
      <c r="C155" s="289"/>
      <c r="D155" s="289"/>
      <c r="E155" s="289"/>
      <c r="F155" s="289"/>
      <c r="G155" s="289"/>
      <c r="H155" s="289"/>
      <c r="I155" s="289"/>
      <c r="J155" s="289"/>
      <c r="K155" s="770"/>
      <c r="L155" s="770"/>
      <c r="M155" s="770"/>
      <c r="N155" s="770"/>
      <c r="O155" s="770"/>
      <c r="P155" s="770"/>
      <c r="Q155" s="770"/>
      <c r="R155" s="770"/>
      <c r="S155" s="770"/>
      <c r="T155" s="770"/>
      <c r="U155" s="770"/>
      <c r="V155" s="770"/>
      <c r="W155" s="770"/>
      <c r="X155" s="490" t="s">
        <v>456</v>
      </c>
      <c r="Y155" s="488"/>
      <c r="Z155" s="488"/>
      <c r="AA155" s="488"/>
      <c r="AB155" s="488"/>
      <c r="AC155" s="13"/>
      <c r="AD155" s="13"/>
      <c r="AE155" s="538"/>
      <c r="AF155" s="397"/>
      <c r="AG155" s="782" t="s">
        <v>462</v>
      </c>
      <c r="AH155" s="400"/>
      <c r="AI155" s="400"/>
      <c r="AJ155" s="780" t="s">
        <v>457</v>
      </c>
      <c r="AK155" s="780"/>
      <c r="AL155" s="400"/>
      <c r="AM155" s="400"/>
      <c r="AN155" s="397"/>
      <c r="AO155" s="397"/>
      <c r="AP155" s="465"/>
      <c r="AQ155" s="465"/>
      <c r="AR155" s="465"/>
      <c r="AS155" s="465"/>
      <c r="AT155" s="465"/>
      <c r="AU155" s="465"/>
      <c r="AV155" s="465"/>
      <c r="AW155" s="465"/>
      <c r="AX155" s="465"/>
      <c r="AY155" s="465"/>
      <c r="AZ155" s="465"/>
      <c r="BA155" s="465"/>
      <c r="BB155" s="465"/>
      <c r="BC155" s="465"/>
      <c r="BD155" s="465"/>
      <c r="BE155" s="409"/>
      <c r="BF155" s="409"/>
      <c r="BG155" s="409"/>
      <c r="BH155" s="409"/>
      <c r="BI155" s="266"/>
      <c r="BJ155" s="265"/>
    </row>
    <row r="156" spans="1:70">
      <c r="A156" s="265"/>
      <c r="B156" s="289"/>
      <c r="C156" s="289"/>
      <c r="D156" s="289"/>
      <c r="E156" s="289"/>
      <c r="F156" s="289"/>
      <c r="G156" s="289"/>
      <c r="H156" s="289"/>
      <c r="I156" s="289"/>
      <c r="J156" s="289"/>
      <c r="K156" s="770"/>
      <c r="L156" s="770"/>
      <c r="M156" s="770"/>
      <c r="N156" s="770"/>
      <c r="O156" s="770"/>
      <c r="P156" s="770"/>
      <c r="Q156" s="770"/>
      <c r="R156" s="770"/>
      <c r="S156" s="770"/>
      <c r="T156" s="770"/>
      <c r="U156" s="770"/>
      <c r="V156" s="770"/>
      <c r="W156" s="770"/>
      <c r="X156" s="334" t="str">
        <f>IF(X154="Sterowanie przez aplikację ViCare","",VLOOKUP(X154,rozdzial,3,0))</f>
        <v>Z015318</v>
      </c>
      <c r="Z156" s="13"/>
      <c r="AA156" s="486"/>
      <c r="AB156" s="487"/>
      <c r="AC156" s="13"/>
      <c r="AD156" s="342"/>
      <c r="AE156" s="538"/>
      <c r="AF156" s="397"/>
      <c r="AG156" s="782"/>
      <c r="AH156" s="400"/>
      <c r="AI156" s="524" t="s">
        <v>457</v>
      </c>
      <c r="AJ156" s="400"/>
      <c r="AK156" s="400"/>
      <c r="AL156" s="400"/>
      <c r="AM156" s="400"/>
      <c r="AN156" s="525" t="s">
        <v>458</v>
      </c>
      <c r="AO156" s="397"/>
      <c r="AP156" s="465"/>
      <c r="AQ156" s="465"/>
      <c r="AR156" s="465"/>
      <c r="AS156" s="465"/>
      <c r="AT156" s="465"/>
      <c r="AU156" s="465"/>
      <c r="AV156" s="465"/>
      <c r="AW156" s="465"/>
      <c r="AX156" s="465"/>
      <c r="AY156" s="465"/>
      <c r="AZ156" s="465"/>
      <c r="BA156" s="465"/>
      <c r="BB156" s="465"/>
      <c r="BC156" s="465"/>
      <c r="BD156" s="465"/>
      <c r="BE156" s="409"/>
      <c r="BF156" s="409"/>
      <c r="BG156" s="409"/>
      <c r="BH156" s="409"/>
      <c r="BI156" s="266"/>
      <c r="BJ156" s="265"/>
    </row>
    <row r="157" spans="1:70">
      <c r="A157" s="265"/>
      <c r="B157" s="289"/>
      <c r="C157" s="289"/>
      <c r="D157" s="409"/>
      <c r="E157" s="409"/>
      <c r="F157" s="409"/>
      <c r="G157" s="409"/>
      <c r="H157" s="409"/>
      <c r="I157" s="409"/>
      <c r="J157" s="409"/>
      <c r="K157" s="770"/>
      <c r="L157" s="770"/>
      <c r="M157" s="770"/>
      <c r="N157" s="770"/>
      <c r="O157" s="770"/>
      <c r="P157" s="770"/>
      <c r="Q157" s="770"/>
      <c r="R157" s="770"/>
      <c r="S157" s="770"/>
      <c r="T157" s="770"/>
      <c r="U157" s="770"/>
      <c r="V157" s="770"/>
      <c r="W157" s="770"/>
      <c r="X157" s="13"/>
      <c r="Y157" s="13"/>
      <c r="Z157" s="13"/>
      <c r="AA157" s="13"/>
      <c r="AB157" s="13"/>
      <c r="AC157" s="13"/>
      <c r="AD157" s="289"/>
      <c r="AE157" s="538"/>
      <c r="AF157" s="397"/>
      <c r="AG157" s="400"/>
      <c r="AH157" s="531"/>
      <c r="AI157" s="764" t="s">
        <v>541</v>
      </c>
      <c r="AJ157" s="764"/>
      <c r="AK157" s="713" t="s">
        <v>664</v>
      </c>
      <c r="AL157" s="531"/>
      <c r="AM157" s="400"/>
      <c r="AN157" s="397"/>
      <c r="AO157" s="397"/>
      <c r="AP157" s="465"/>
      <c r="AQ157" s="465"/>
      <c r="AR157" s="465"/>
      <c r="AS157" s="465"/>
      <c r="AT157" s="465"/>
      <c r="AU157" s="465"/>
      <c r="AV157" s="465"/>
      <c r="AW157" s="465"/>
      <c r="AX157" s="465"/>
      <c r="AY157" s="465"/>
      <c r="AZ157" s="465"/>
      <c r="BA157" s="465"/>
      <c r="BB157" s="465"/>
      <c r="BC157" s="465"/>
      <c r="BD157" s="465"/>
      <c r="BE157" s="409"/>
      <c r="BF157" s="409"/>
      <c r="BG157" s="409"/>
      <c r="BH157" s="409"/>
      <c r="BI157" s="266"/>
      <c r="BJ157" s="265"/>
      <c r="BL157" s="289"/>
      <c r="BR157" s="289"/>
    </row>
    <row r="158" spans="1:70">
      <c r="A158" s="265"/>
      <c r="B158" s="289"/>
      <c r="C158" s="289"/>
      <c r="D158" s="409"/>
      <c r="E158" s="409"/>
      <c r="F158" s="409"/>
      <c r="G158" s="409"/>
      <c r="H158" s="409"/>
      <c r="I158" s="409"/>
      <c r="J158" s="409"/>
      <c r="K158" s="770"/>
      <c r="L158" s="770"/>
      <c r="M158" s="770"/>
      <c r="N158" s="770"/>
      <c r="O158" s="770"/>
      <c r="P158" s="770"/>
      <c r="Q158" s="770"/>
      <c r="R158" s="770"/>
      <c r="S158" s="770"/>
      <c r="T158" s="770"/>
      <c r="U158" s="770"/>
      <c r="V158" s="770"/>
      <c r="W158" s="770"/>
      <c r="X158" s="781" t="s">
        <v>525</v>
      </c>
      <c r="Y158" s="781"/>
      <c r="Z158" s="781"/>
      <c r="AA158" s="781"/>
      <c r="AB158" s="781"/>
      <c r="AC158" s="13"/>
      <c r="AD158" s="769" t="str">
        <f>IFERROR(VLOOKUP(X158,rozdzial,4,0)-VLOOKUP(X158,rozdzial,4,0)*(AC138/100),"")</f>
        <v/>
      </c>
      <c r="AE158" s="778"/>
      <c r="AF158" s="526"/>
      <c r="AG158" s="528" t="s">
        <v>460</v>
      </c>
      <c r="AH158" s="250"/>
      <c r="AI158" s="250"/>
      <c r="AJ158" s="529"/>
      <c r="AK158" s="522"/>
      <c r="AL158" s="377"/>
      <c r="AM158" s="377"/>
      <c r="AN158" s="535"/>
      <c r="AO158" s="535"/>
      <c r="AP158" s="536"/>
      <c r="AQ158" s="536"/>
      <c r="AR158" s="536"/>
      <c r="AS158" s="536"/>
      <c r="AT158" s="536"/>
      <c r="AU158" s="536"/>
      <c r="AV158" s="536"/>
      <c r="AW158" s="536"/>
      <c r="AX158" s="536"/>
      <c r="AY158" s="536"/>
      <c r="AZ158" s="536"/>
      <c r="BA158" s="536"/>
      <c r="BB158" s="536"/>
      <c r="BC158" s="536"/>
      <c r="BD158" s="536"/>
      <c r="BE158" s="409"/>
      <c r="BF158" s="409"/>
      <c r="BG158" s="409"/>
      <c r="BH158" s="409"/>
      <c r="BI158" s="266"/>
      <c r="BJ158" s="265"/>
      <c r="BL158" s="289"/>
      <c r="BR158" s="289"/>
    </row>
    <row r="159" spans="1:70" ht="14.4" customHeight="1">
      <c r="A159" s="265"/>
      <c r="B159" s="289"/>
      <c r="C159" s="289"/>
      <c r="D159" s="409"/>
      <c r="E159" s="409"/>
      <c r="F159" s="409"/>
      <c r="G159" s="409"/>
      <c r="H159" s="409"/>
      <c r="I159" s="409"/>
      <c r="J159" s="409"/>
      <c r="K159" s="770"/>
      <c r="L159" s="770"/>
      <c r="M159" s="770"/>
      <c r="N159" s="770"/>
      <c r="O159" s="770"/>
      <c r="P159" s="770"/>
      <c r="Q159" s="770"/>
      <c r="R159" s="770"/>
      <c r="S159" s="770"/>
      <c r="T159" s="770"/>
      <c r="U159" s="770"/>
      <c r="V159" s="770"/>
      <c r="W159" s="770"/>
      <c r="X159" s="490" t="str">
        <f>IF(X137="Vitoair FS 300E MA 300m3/h","Opcja: do komunikacji z pompą ciepłą z regulatorem E3",IF(X158="Przewód komunikacyjny Can-Bus 5m","Uwaga! Nie ma zastosowanie w tym rozwiązaniu",""))</f>
        <v/>
      </c>
      <c r="Y159" s="488"/>
      <c r="Z159" s="488"/>
      <c r="AA159" s="488"/>
      <c r="AB159" s="488"/>
      <c r="AC159" s="339"/>
      <c r="AD159" s="502"/>
      <c r="AE159" s="540"/>
      <c r="AF159" s="526"/>
      <c r="AG159" s="716" t="s">
        <v>539</v>
      </c>
      <c r="AH159" s="527"/>
      <c r="AI159" s="250"/>
      <c r="AJ159" s="523"/>
      <c r="AK159" s="523"/>
      <c r="AL159" s="522"/>
      <c r="AM159" s="522"/>
      <c r="AN159" s="535"/>
      <c r="AO159" s="535"/>
      <c r="AP159" s="536"/>
      <c r="AQ159" s="536"/>
      <c r="AR159" s="536"/>
      <c r="AS159" s="536"/>
      <c r="AT159" s="536"/>
      <c r="AU159" s="536"/>
      <c r="AV159" s="536"/>
      <c r="AW159" s="536"/>
      <c r="AX159" s="536"/>
      <c r="AY159" s="536"/>
      <c r="AZ159" s="536"/>
      <c r="BA159" s="536"/>
      <c r="BB159" s="536"/>
      <c r="BC159" s="536"/>
      <c r="BD159" s="536"/>
      <c r="BE159" s="409"/>
      <c r="BF159" s="409"/>
      <c r="BG159" s="409"/>
      <c r="BH159" s="409"/>
      <c r="BI159" s="266"/>
      <c r="BJ159" s="265"/>
      <c r="BL159" s="289"/>
      <c r="BR159" s="289"/>
    </row>
    <row r="160" spans="1:70">
      <c r="A160" s="265"/>
      <c r="B160" s="289"/>
      <c r="C160" s="289"/>
      <c r="D160" s="409"/>
      <c r="E160" s="409"/>
      <c r="F160" s="409"/>
      <c r="G160" s="409"/>
      <c r="H160" s="409"/>
      <c r="I160" s="409"/>
      <c r="J160" s="409"/>
      <c r="K160" s="409"/>
      <c r="L160" s="409"/>
      <c r="M160" s="409"/>
      <c r="N160" s="409"/>
      <c r="O160" s="409"/>
      <c r="P160" s="409"/>
      <c r="Q160" s="409"/>
      <c r="R160" s="409"/>
      <c r="S160" s="409"/>
      <c r="T160" s="409"/>
      <c r="U160" s="409"/>
      <c r="V160" s="409"/>
      <c r="W160" s="13"/>
      <c r="X160" s="334" t="str">
        <f>IFERROR(VLOOKUP(X158,rozdzial,3,0),"")</f>
        <v/>
      </c>
      <c r="Y160" s="13"/>
      <c r="Z160" s="13"/>
      <c r="AA160" s="13"/>
      <c r="AB160" s="13"/>
      <c r="AC160" s="13"/>
      <c r="AD160" s="289"/>
      <c r="AE160" s="538"/>
      <c r="AF160" s="526"/>
      <c r="AG160" s="714"/>
      <c r="AH160" s="533"/>
      <c r="AI160" s="526"/>
      <c r="AJ160" s="779" t="s">
        <v>459</v>
      </c>
      <c r="AK160" s="779"/>
      <c r="AL160" s="522"/>
      <c r="AM160" s="377"/>
      <c r="AN160" s="535"/>
      <c r="AO160" s="535"/>
      <c r="AP160" s="536"/>
      <c r="AQ160" s="536"/>
      <c r="AR160" s="536"/>
      <c r="AS160" s="536"/>
      <c r="AT160" s="536"/>
      <c r="AU160" s="536"/>
      <c r="AV160" s="536"/>
      <c r="AW160" s="536"/>
      <c r="AX160" s="536"/>
      <c r="AY160" s="536"/>
      <c r="AZ160" s="536"/>
      <c r="BA160" s="536"/>
      <c r="BB160" s="536"/>
      <c r="BC160" s="536"/>
      <c r="BD160" s="536"/>
      <c r="BE160" s="409"/>
      <c r="BF160" s="409"/>
      <c r="BG160" s="409"/>
      <c r="BH160" s="409"/>
      <c r="BI160" s="266"/>
      <c r="BJ160" s="265"/>
      <c r="BL160" s="289"/>
      <c r="BR160" s="289"/>
    </row>
    <row r="161" spans="1:62">
      <c r="A161" s="265"/>
      <c r="B161" s="289"/>
      <c r="C161" s="289"/>
      <c r="D161" s="409"/>
      <c r="E161" s="409"/>
      <c r="F161" s="409"/>
      <c r="G161" s="409"/>
      <c r="H161" s="409"/>
      <c r="I161" s="409"/>
      <c r="J161" s="409"/>
      <c r="K161" s="409"/>
      <c r="L161" s="409"/>
      <c r="M161" s="409"/>
      <c r="N161" s="409"/>
      <c r="O161" s="409"/>
      <c r="P161" s="409"/>
      <c r="Q161" s="409"/>
      <c r="R161" s="409"/>
      <c r="S161" s="409"/>
      <c r="T161" s="409"/>
      <c r="U161" s="409"/>
      <c r="V161" s="409"/>
      <c r="W161" s="13"/>
      <c r="Y161" s="13"/>
      <c r="Z161" s="13"/>
      <c r="AA161" s="13"/>
      <c r="AB161" s="13"/>
      <c r="AC161" s="13"/>
      <c r="AD161" s="289"/>
      <c r="AE161" s="538"/>
      <c r="AF161" s="526"/>
      <c r="AG161" s="534" t="s">
        <v>62</v>
      </c>
      <c r="AH161" s="533"/>
      <c r="AI161" s="533"/>
      <c r="AJ161" s="797"/>
      <c r="AK161" s="797"/>
      <c r="AL161" s="377"/>
      <c r="AM161" s="377"/>
      <c r="AN161" s="535"/>
      <c r="AO161" s="535"/>
      <c r="AP161" s="536"/>
      <c r="AQ161" s="536"/>
      <c r="AR161" s="536"/>
      <c r="AS161" s="536"/>
      <c r="AT161" s="536"/>
      <c r="AU161" s="536"/>
      <c r="AV161" s="536"/>
      <c r="AW161" s="536"/>
      <c r="AX161" s="536"/>
      <c r="AY161" s="536"/>
      <c r="AZ161" s="536"/>
      <c r="BA161" s="536"/>
      <c r="BB161" s="536"/>
      <c r="BC161" s="536"/>
      <c r="BD161" s="536"/>
      <c r="BE161" s="409"/>
      <c r="BF161" s="409"/>
      <c r="BG161" s="409"/>
      <c r="BH161" s="409"/>
      <c r="BI161" s="266"/>
      <c r="BJ161" s="265"/>
    </row>
    <row r="162" spans="1:62" ht="14.4" customHeight="1">
      <c r="A162" s="265"/>
      <c r="B162" s="289"/>
      <c r="C162" s="289"/>
      <c r="D162" s="409"/>
      <c r="E162" s="409"/>
      <c r="F162" s="409"/>
      <c r="G162" s="409"/>
      <c r="H162" s="409"/>
      <c r="I162" s="409"/>
      <c r="J162" s="409"/>
      <c r="K162" s="409"/>
      <c r="L162" s="409"/>
      <c r="M162" s="409"/>
      <c r="N162" s="409"/>
      <c r="O162" s="409"/>
      <c r="P162" s="409"/>
      <c r="Q162" s="409"/>
      <c r="R162" s="409"/>
      <c r="S162" s="409"/>
      <c r="T162" s="409"/>
      <c r="U162" s="409"/>
      <c r="V162" s="409"/>
      <c r="W162" s="746" t="s">
        <v>466</v>
      </c>
      <c r="X162" s="746"/>
      <c r="Y162" s="746"/>
      <c r="Z162" s="746"/>
      <c r="AA162" s="746"/>
      <c r="AB162" s="746"/>
      <c r="AC162" s="426"/>
      <c r="AD162" s="289"/>
      <c r="AE162" s="538"/>
      <c r="AF162" s="526"/>
      <c r="AG162" s="719" t="s">
        <v>692</v>
      </c>
      <c r="AH162" s="250"/>
      <c r="AI162" s="250"/>
      <c r="AJ162" s="779" t="s">
        <v>660</v>
      </c>
      <c r="AK162" s="779"/>
      <c r="AL162" s="377"/>
      <c r="AM162" s="377"/>
      <c r="AN162" s="523" t="s">
        <v>458</v>
      </c>
      <c r="AO162" s="535"/>
      <c r="AP162" s="536"/>
      <c r="AQ162" s="536"/>
      <c r="AR162" s="536"/>
      <c r="AS162" s="536"/>
      <c r="AT162" s="536"/>
      <c r="AU162" s="536"/>
      <c r="AV162" s="536"/>
      <c r="AW162" s="536"/>
      <c r="AX162" s="536"/>
      <c r="AY162" s="536"/>
      <c r="AZ162" s="536"/>
      <c r="BA162" s="536"/>
      <c r="BB162" s="536"/>
      <c r="BC162" s="536"/>
      <c r="BD162" s="536"/>
      <c r="BE162" s="409"/>
      <c r="BF162" s="409"/>
      <c r="BG162" s="409"/>
      <c r="BH162" s="409"/>
      <c r="BI162" s="266"/>
      <c r="BJ162" s="265"/>
    </row>
    <row r="163" spans="1:62" ht="14.4" customHeight="1">
      <c r="A163" s="265"/>
      <c r="B163" s="289"/>
      <c r="C163" s="289"/>
      <c r="D163" s="409"/>
      <c r="E163" s="409"/>
      <c r="F163" s="409"/>
      <c r="G163" s="409"/>
      <c r="H163" s="409"/>
      <c r="I163" s="409"/>
      <c r="J163" s="409"/>
      <c r="K163" s="409"/>
      <c r="L163" s="409"/>
      <c r="M163" s="409"/>
      <c r="N163" s="409"/>
      <c r="O163" s="409"/>
      <c r="P163" s="409"/>
      <c r="Q163" s="409"/>
      <c r="R163" s="409"/>
      <c r="S163" s="409"/>
      <c r="T163" s="409"/>
      <c r="U163" s="409"/>
      <c r="V163" s="409"/>
      <c r="W163" s="746"/>
      <c r="X163" s="746"/>
      <c r="Y163" s="746"/>
      <c r="Z163" s="746"/>
      <c r="AA163" s="746"/>
      <c r="AB163" s="746"/>
      <c r="AC163" s="426"/>
      <c r="AD163" s="289"/>
      <c r="AE163" s="538"/>
      <c r="AF163" s="550"/>
      <c r="AG163" s="553"/>
      <c r="AH163" s="553"/>
      <c r="AI163" s="619" t="s">
        <v>542</v>
      </c>
      <c r="AJ163" s="554"/>
      <c r="AK163" s="715"/>
      <c r="AL163" s="715"/>
      <c r="AM163" s="554"/>
      <c r="AN163" s="555"/>
      <c r="AO163" s="530"/>
      <c r="AP163" s="537"/>
      <c r="AQ163" s="537"/>
      <c r="AR163" s="537"/>
      <c r="AS163" s="537"/>
      <c r="AT163" s="537"/>
      <c r="AU163" s="537"/>
      <c r="AV163" s="537"/>
      <c r="AW163" s="537"/>
      <c r="AX163" s="537"/>
      <c r="AY163" s="537"/>
      <c r="AZ163" s="537"/>
      <c r="BA163" s="537"/>
      <c r="BB163" s="537"/>
      <c r="BC163" s="537"/>
      <c r="BD163" s="537"/>
      <c r="BE163" s="409"/>
      <c r="BF163" s="409"/>
      <c r="BG163" s="409"/>
      <c r="BH163" s="409"/>
      <c r="BI163" s="266"/>
      <c r="BJ163" s="265"/>
    </row>
    <row r="164" spans="1:62" ht="3.6" customHeight="1">
      <c r="A164" s="265"/>
      <c r="B164" s="289"/>
      <c r="C164" s="289"/>
      <c r="D164" s="409"/>
      <c r="E164" s="409"/>
      <c r="F164" s="409"/>
      <c r="G164" s="409"/>
      <c r="H164" s="409"/>
      <c r="I164" s="409"/>
      <c r="J164" s="409"/>
      <c r="K164" s="409"/>
      <c r="L164" s="409"/>
      <c r="M164" s="409"/>
      <c r="N164" s="409"/>
      <c r="O164" s="409"/>
      <c r="P164" s="409"/>
      <c r="Q164" s="409"/>
      <c r="R164" s="409"/>
      <c r="S164" s="409"/>
      <c r="T164" s="409"/>
      <c r="U164" s="409"/>
      <c r="V164" s="409"/>
      <c r="W164" s="771"/>
      <c r="X164" s="771"/>
      <c r="Y164" s="771"/>
      <c r="Z164" s="771"/>
      <c r="AA164" s="771"/>
      <c r="AB164" s="771"/>
      <c r="AC164" s="500"/>
      <c r="AD164" s="296"/>
      <c r="AE164" s="296"/>
      <c r="AF164" s="556"/>
      <c r="AG164" s="556"/>
      <c r="AH164" s="556"/>
      <c r="AI164" s="556"/>
      <c r="AJ164" s="556"/>
      <c r="AK164" s="557"/>
      <c r="AL164" s="557"/>
      <c r="AM164" s="556"/>
      <c r="AN164" s="556"/>
      <c r="AO164" s="556"/>
      <c r="AP164" s="558"/>
      <c r="AQ164" s="558"/>
      <c r="AR164" s="558"/>
      <c r="AS164" s="558"/>
      <c r="AT164" s="558"/>
      <c r="AU164" s="558"/>
      <c r="AV164" s="558"/>
      <c r="AW164" s="558"/>
      <c r="AX164" s="558"/>
      <c r="AY164" s="558"/>
      <c r="AZ164" s="558"/>
      <c r="BA164" s="558"/>
      <c r="BB164" s="558"/>
      <c r="BC164" s="558"/>
      <c r="BD164" s="558"/>
      <c r="BE164" s="409"/>
      <c r="BF164" s="409"/>
      <c r="BG164" s="409"/>
      <c r="BH164" s="409"/>
      <c r="BI164" s="266"/>
      <c r="BJ164" s="265"/>
    </row>
    <row r="165" spans="1:62">
      <c r="A165" s="265"/>
      <c r="B165" s="289"/>
      <c r="C165" s="289"/>
      <c r="D165" s="409"/>
      <c r="E165" s="409"/>
      <c r="F165" s="409"/>
      <c r="G165" s="409"/>
      <c r="H165" s="409"/>
      <c r="I165" s="409"/>
      <c r="J165" s="409"/>
      <c r="K165" s="409"/>
      <c r="L165" s="409"/>
      <c r="M165" s="409"/>
      <c r="N165" s="409"/>
      <c r="O165" s="409"/>
      <c r="P165" s="409"/>
      <c r="Q165" s="409"/>
      <c r="R165" s="409"/>
      <c r="S165" s="409"/>
      <c r="T165" s="409"/>
      <c r="U165" s="409"/>
      <c r="V165" s="409"/>
      <c r="W165" s="13"/>
      <c r="X165" s="13"/>
      <c r="Y165" s="13"/>
      <c r="Z165" s="13"/>
      <c r="AA165" s="13"/>
      <c r="AB165" s="13"/>
      <c r="AC165" s="13"/>
      <c r="AD165" s="289"/>
      <c r="AE165" s="289"/>
      <c r="AF165" s="289"/>
      <c r="AG165" s="289"/>
      <c r="AH165" s="289"/>
      <c r="AI165" s="289"/>
      <c r="AJ165" s="289"/>
      <c r="AK165" s="289"/>
      <c r="AL165" s="289"/>
      <c r="AM165" s="289"/>
      <c r="AN165" s="289"/>
      <c r="AO165" s="289"/>
      <c r="AP165" s="409"/>
      <c r="AQ165" s="409"/>
      <c r="AR165" s="409"/>
      <c r="AS165" s="409"/>
      <c r="AT165" s="409"/>
      <c r="AU165" s="409"/>
      <c r="AV165" s="409"/>
      <c r="AW165" s="409"/>
      <c r="AX165" s="409"/>
      <c r="AY165" s="409"/>
      <c r="AZ165" s="409"/>
      <c r="BA165" s="409"/>
      <c r="BB165" s="409"/>
      <c r="BC165" s="409"/>
      <c r="BD165" s="409"/>
      <c r="BE165" s="409"/>
      <c r="BF165" s="409"/>
      <c r="BG165" s="409"/>
      <c r="BH165" s="409"/>
      <c r="BI165" s="266"/>
      <c r="BJ165" s="265"/>
    </row>
    <row r="166" spans="1:62" ht="13.95" customHeight="1">
      <c r="A166" s="265"/>
      <c r="B166" s="289"/>
      <c r="C166" s="289"/>
      <c r="D166" s="409"/>
      <c r="E166" s="409"/>
      <c r="F166" s="409"/>
      <c r="G166" s="409"/>
      <c r="H166" s="409"/>
      <c r="I166" s="409"/>
      <c r="J166" s="409"/>
      <c r="K166" s="409"/>
      <c r="L166" s="409"/>
      <c r="M166" s="409"/>
      <c r="N166" s="409"/>
      <c r="O166" s="409"/>
      <c r="P166" s="409"/>
      <c r="Q166" s="409"/>
      <c r="R166" s="409"/>
      <c r="S166" s="409"/>
      <c r="T166" s="409"/>
      <c r="U166" s="409"/>
      <c r="V166" s="409"/>
      <c r="W166" s="289"/>
      <c r="X166" s="290"/>
      <c r="Y166" s="290"/>
      <c r="Z166" s="290"/>
      <c r="AA166" s="290"/>
      <c r="AB166" s="290"/>
      <c r="AC166" s="266"/>
      <c r="AD166" s="266"/>
      <c r="AE166" s="266"/>
      <c r="AF166" s="266"/>
      <c r="AG166" s="13"/>
      <c r="AH166" s="289"/>
      <c r="AI166" s="289"/>
      <c r="AJ166" s="289"/>
      <c r="AK166" s="289"/>
      <c r="AL166" s="289"/>
      <c r="AM166" s="289"/>
      <c r="AN166" s="289"/>
      <c r="AO166" s="289"/>
      <c r="AP166" s="409"/>
      <c r="AQ166" s="409"/>
      <c r="AR166" s="409"/>
      <c r="AS166" s="409"/>
      <c r="AT166" s="409"/>
      <c r="AU166" s="409"/>
      <c r="AV166" s="409"/>
      <c r="AW166" s="409"/>
      <c r="AX166" s="409"/>
      <c r="AY166" s="409"/>
      <c r="AZ166" s="409"/>
      <c r="BA166" s="409"/>
      <c r="BB166" s="409"/>
      <c r="BC166" s="409"/>
      <c r="BD166" s="409"/>
      <c r="BE166" s="409"/>
      <c r="BF166" s="409"/>
      <c r="BG166" s="409"/>
      <c r="BH166" s="409"/>
      <c r="BI166" s="266"/>
      <c r="BJ166" s="265"/>
    </row>
    <row r="167" spans="1:62" ht="13.95" customHeight="1">
      <c r="A167" s="265"/>
      <c r="B167" s="289"/>
      <c r="C167" s="289"/>
      <c r="D167" s="409"/>
      <c r="E167" s="409"/>
      <c r="F167" s="409"/>
      <c r="G167" s="409"/>
      <c r="H167" s="409"/>
      <c r="I167" s="409"/>
      <c r="J167" s="409"/>
      <c r="K167" s="409"/>
      <c r="L167" s="409"/>
      <c r="M167" s="409"/>
      <c r="N167" s="409"/>
      <c r="O167" s="409"/>
      <c r="P167" s="409"/>
      <c r="Q167" s="409"/>
      <c r="R167" s="409"/>
      <c r="S167" s="409"/>
      <c r="T167" s="409"/>
      <c r="U167" s="409"/>
      <c r="V167" s="409"/>
      <c r="W167" s="289"/>
      <c r="X167" s="496" t="s">
        <v>514</v>
      </c>
      <c r="Y167" s="13"/>
      <c r="Z167" s="13"/>
      <c r="AA167" s="13"/>
      <c r="AB167" s="13"/>
      <c r="AC167" s="763">
        <f>Obliczenia!AR30</f>
        <v>15</v>
      </c>
      <c r="AD167" s="769">
        <f>VLOOKUP(X167,rozdzial75,4,0)*AC167*(1-$AM$236/100)</f>
        <v>1380</v>
      </c>
      <c r="AE167" s="769"/>
      <c r="AF167" s="282"/>
      <c r="AG167" s="13"/>
      <c r="AH167" s="496" t="str">
        <f>'Elementy DN75&amp;90 2024-09'!D41</f>
        <v>Kanał elastyczny okrągły DN75, 50 m</v>
      </c>
      <c r="AI167" s="13"/>
      <c r="AJ167" s="13"/>
      <c r="AK167" s="13"/>
      <c r="AL167" s="763">
        <f>AK170</f>
        <v>5</v>
      </c>
      <c r="AM167" s="769">
        <f>VLOOKUP(AH167,rozdzial75,4,0)*AL167*(1-$AM$236/100)</f>
        <v>2600</v>
      </c>
      <c r="AN167" s="769"/>
      <c r="AO167" s="289"/>
      <c r="AP167" s="409"/>
      <c r="AQ167" s="409"/>
      <c r="AR167" s="409"/>
      <c r="AS167" s="409"/>
      <c r="AT167" s="409"/>
      <c r="AU167" s="409"/>
      <c r="AV167" s="409"/>
      <c r="AW167" s="409"/>
      <c r="AX167" s="409"/>
      <c r="AY167" s="409"/>
      <c r="AZ167" s="409"/>
      <c r="BA167" s="409"/>
      <c r="BB167" s="409"/>
      <c r="BC167" s="409"/>
      <c r="BD167" s="409"/>
      <c r="BE167" s="409"/>
      <c r="BF167" s="409"/>
      <c r="BG167" s="409"/>
      <c r="BH167" s="409"/>
      <c r="BI167" s="266"/>
      <c r="BJ167" s="265"/>
    </row>
    <row r="168" spans="1:62" ht="13.95" customHeight="1">
      <c r="A168" s="265"/>
      <c r="B168" s="289"/>
      <c r="C168" s="289"/>
      <c r="D168" s="409"/>
      <c r="E168" s="409"/>
      <c r="F168" s="409"/>
      <c r="G168" s="409"/>
      <c r="H168" s="409"/>
      <c r="I168" s="409"/>
      <c r="J168" s="409"/>
      <c r="K168" s="409"/>
      <c r="L168" s="409"/>
      <c r="M168" s="409"/>
      <c r="N168" s="409"/>
      <c r="O168" s="409"/>
      <c r="P168" s="409"/>
      <c r="Q168" s="409"/>
      <c r="R168" s="409"/>
      <c r="S168" s="409"/>
      <c r="T168" s="409"/>
      <c r="U168" s="409"/>
      <c r="V168" s="409"/>
      <c r="W168" s="289"/>
      <c r="X168" s="490" t="s">
        <v>474</v>
      </c>
      <c r="Y168" s="488"/>
      <c r="Z168" s="488"/>
      <c r="AA168" s="488"/>
      <c r="AB168" s="488"/>
      <c r="AC168" s="763"/>
      <c r="AD168" s="502"/>
      <c r="AE168" s="503"/>
      <c r="AF168" s="340"/>
      <c r="AG168" s="13"/>
      <c r="AH168" s="804" t="str">
        <f>'Elementy DN75&amp;90 2024-09'!H41</f>
        <v>Krąg o długości 50 m, nadrukowane znaczniki długości, powierzchnia antybakteryjna i antystatyczna</v>
      </c>
      <c r="AI168" s="804"/>
      <c r="AJ168" s="804"/>
      <c r="AK168" s="804"/>
      <c r="AL168" s="763"/>
      <c r="AM168" s="541"/>
      <c r="AN168" s="506"/>
      <c r="AO168" s="289"/>
      <c r="AP168" s="409"/>
      <c r="AQ168" s="409"/>
      <c r="AR168" s="409"/>
      <c r="AS168" s="409"/>
      <c r="AT168" s="409"/>
      <c r="AU168" s="409"/>
      <c r="AV168" s="409"/>
      <c r="AW168" s="409"/>
      <c r="AX168" s="409"/>
      <c r="AY168" s="409"/>
      <c r="AZ168" s="409"/>
      <c r="BA168" s="409"/>
      <c r="BB168" s="409"/>
      <c r="BC168" s="409"/>
      <c r="BD168" s="409"/>
      <c r="BE168" s="409"/>
      <c r="BF168" s="409"/>
      <c r="BG168" s="409"/>
      <c r="BH168" s="409"/>
      <c r="BI168" s="266"/>
      <c r="BJ168" s="265"/>
    </row>
    <row r="169" spans="1:62" ht="13.95" customHeight="1">
      <c r="A169" s="265"/>
      <c r="B169" s="289"/>
      <c r="C169" s="289"/>
      <c r="D169" s="409"/>
      <c r="E169" s="409"/>
      <c r="F169" s="409"/>
      <c r="G169" s="409"/>
      <c r="H169" s="409"/>
      <c r="I169" s="409"/>
      <c r="J169" s="409"/>
      <c r="K169" s="409"/>
      <c r="L169" s="409"/>
      <c r="M169" s="409"/>
      <c r="N169" s="409"/>
      <c r="O169" s="409"/>
      <c r="P169" s="409"/>
      <c r="Q169" s="409"/>
      <c r="R169" s="409"/>
      <c r="S169" s="409"/>
      <c r="T169" s="409"/>
      <c r="U169" s="409"/>
      <c r="V169" s="409"/>
      <c r="W169" s="289"/>
      <c r="X169" s="334">
        <f>VLOOKUP(X167,rozdzial75,3,0)</f>
        <v>7988045</v>
      </c>
      <c r="Y169" s="562">
        <f>VLOOKUP(X167,rozdzial75,4,0)</f>
        <v>92</v>
      </c>
      <c r="Z169" s="13"/>
      <c r="AA169" s="486"/>
      <c r="AB169" s="487"/>
      <c r="AC169" s="13"/>
      <c r="AD169" s="503"/>
      <c r="AE169" s="503"/>
      <c r="AF169" s="342"/>
      <c r="AG169" s="13"/>
      <c r="AH169" s="805"/>
      <c r="AI169" s="805"/>
      <c r="AJ169" s="805"/>
      <c r="AK169" s="805"/>
      <c r="AL169" s="13"/>
      <c r="AM169" s="541"/>
      <c r="AN169" s="506"/>
      <c r="AO169" s="289"/>
      <c r="AP169" s="409"/>
      <c r="AQ169" s="409"/>
      <c r="AR169" s="409"/>
      <c r="AS169" s="409"/>
      <c r="AT169" s="409"/>
      <c r="AU169" s="409"/>
      <c r="AV169" s="409"/>
      <c r="AW169" s="409"/>
      <c r="AX169" s="409"/>
      <c r="AY169" s="409"/>
      <c r="AZ169" s="409"/>
      <c r="BA169" s="409"/>
      <c r="BB169" s="409"/>
      <c r="BC169" s="409"/>
      <c r="BD169" s="409"/>
      <c r="BE169" s="409"/>
      <c r="BF169" s="409"/>
      <c r="BG169" s="409"/>
      <c r="BH169" s="409"/>
      <c r="BI169" s="266"/>
      <c r="BJ169" s="265"/>
    </row>
    <row r="170" spans="1:62" ht="13.95" customHeight="1">
      <c r="A170" s="265"/>
      <c r="B170" s="289"/>
      <c r="C170" s="289"/>
      <c r="D170" s="409"/>
      <c r="E170" s="409"/>
      <c r="F170" s="409"/>
      <c r="G170" s="409"/>
      <c r="H170" s="409"/>
      <c r="I170" s="409"/>
      <c r="J170" s="409"/>
      <c r="K170" s="409"/>
      <c r="L170" s="409"/>
      <c r="M170" s="409"/>
      <c r="N170" s="409"/>
      <c r="O170" s="409"/>
      <c r="P170" s="409"/>
      <c r="Q170" s="409"/>
      <c r="R170" s="409"/>
      <c r="S170" s="409"/>
      <c r="T170" s="409"/>
      <c r="U170" s="409"/>
      <c r="V170" s="409"/>
      <c r="W170" s="289"/>
      <c r="X170" s="13"/>
      <c r="Y170" s="13"/>
      <c r="Z170" s="13"/>
      <c r="AA170" s="13"/>
      <c r="AB170" s="13"/>
      <c r="AC170" s="13"/>
      <c r="AD170" s="503"/>
      <c r="AE170" s="503"/>
      <c r="AF170" s="13"/>
      <c r="AG170" s="13"/>
      <c r="AH170" s="334">
        <f>VLOOKUP(AH167,rozdzial75,3,0)</f>
        <v>7228295</v>
      </c>
      <c r="AI170" s="562">
        <f>VLOOKUP(AH167,rozdzial75,4,0)</f>
        <v>520</v>
      </c>
      <c r="AJ170" s="13"/>
      <c r="AK170" s="571">
        <f>ROUNDUP(AC167*15/50,0)</f>
        <v>5</v>
      </c>
      <c r="AL170" s="289"/>
      <c r="AM170" s="506"/>
      <c r="AN170" s="506"/>
      <c r="AO170" s="289"/>
      <c r="AP170" s="409"/>
      <c r="AQ170" s="409"/>
      <c r="AR170" s="409"/>
      <c r="AS170" s="409"/>
      <c r="AT170" s="409"/>
      <c r="AU170" s="409"/>
      <c r="AV170" s="409"/>
      <c r="AW170" s="409"/>
      <c r="AX170" s="409"/>
      <c r="AY170" s="409"/>
      <c r="AZ170" s="409"/>
      <c r="BA170" s="409"/>
      <c r="BB170" s="409"/>
      <c r="BC170" s="409"/>
      <c r="BD170" s="409"/>
      <c r="BE170" s="409"/>
      <c r="BF170" s="409"/>
      <c r="BG170" s="409"/>
      <c r="BH170" s="409"/>
      <c r="BI170" s="266"/>
      <c r="BJ170" s="265"/>
    </row>
    <row r="171" spans="1:62" ht="13.95" customHeight="1">
      <c r="A171" s="265"/>
      <c r="B171" s="289"/>
      <c r="C171" s="289"/>
      <c r="D171" s="409"/>
      <c r="E171" s="409"/>
      <c r="F171" s="409"/>
      <c r="G171" s="409"/>
      <c r="H171" s="409"/>
      <c r="I171" s="409"/>
      <c r="J171" s="409"/>
      <c r="K171" s="409"/>
      <c r="L171" s="409"/>
      <c r="M171" s="409"/>
      <c r="N171" s="409"/>
      <c r="O171" s="409"/>
      <c r="P171" s="409"/>
      <c r="Q171" s="409"/>
      <c r="R171" s="409"/>
      <c r="S171" s="409"/>
      <c r="T171" s="409"/>
      <c r="U171" s="409"/>
      <c r="V171" s="409"/>
      <c r="W171" s="289"/>
      <c r="X171" s="290"/>
      <c r="Y171" s="290"/>
      <c r="Z171" s="290"/>
      <c r="AA171" s="290"/>
      <c r="AB171" s="290"/>
      <c r="AC171" s="266"/>
      <c r="AD171" s="504"/>
      <c r="AE171" s="505"/>
      <c r="AF171" s="266"/>
      <c r="AG171" s="13"/>
      <c r="AH171" s="289"/>
      <c r="AI171" s="289"/>
      <c r="AJ171" s="289"/>
      <c r="AK171" s="289"/>
      <c r="AL171" s="289"/>
      <c r="AM171" s="506"/>
      <c r="AN171" s="506"/>
      <c r="AO171" s="289"/>
      <c r="AP171" s="409"/>
      <c r="AQ171" s="409"/>
      <c r="AR171" s="409"/>
      <c r="AS171" s="409"/>
      <c r="AT171" s="409"/>
      <c r="AU171" s="409"/>
      <c r="AV171" s="409"/>
      <c r="AW171" s="409"/>
      <c r="AX171" s="409"/>
      <c r="AY171" s="409"/>
      <c r="AZ171" s="409"/>
      <c r="BA171" s="409"/>
      <c r="BB171" s="409"/>
      <c r="BC171" s="409"/>
      <c r="BD171" s="409"/>
      <c r="BE171" s="409"/>
      <c r="BF171" s="409"/>
      <c r="BG171" s="409"/>
      <c r="BH171" s="409"/>
      <c r="BI171" s="266"/>
      <c r="BJ171" s="265"/>
    </row>
    <row r="172" spans="1:62" ht="13.95" customHeight="1">
      <c r="A172" s="265"/>
      <c r="B172" s="289"/>
      <c r="C172" s="289"/>
      <c r="D172" s="409"/>
      <c r="E172" s="409"/>
      <c r="F172" s="409"/>
      <c r="G172" s="409"/>
      <c r="H172" s="409"/>
      <c r="I172" s="409"/>
      <c r="J172" s="409"/>
      <c r="K172" s="409"/>
      <c r="L172" s="409"/>
      <c r="M172" s="409"/>
      <c r="N172" s="409"/>
      <c r="O172" s="409"/>
      <c r="P172" s="409"/>
      <c r="Q172" s="409"/>
      <c r="R172" s="409"/>
      <c r="S172" s="409"/>
      <c r="T172" s="409"/>
      <c r="U172" s="409"/>
      <c r="V172" s="409"/>
      <c r="W172" s="289"/>
      <c r="X172" s="496" t="str">
        <f>'Elementy DN75&amp;90 2024-09'!D55</f>
        <v>Anemostat nawiewno-wywiewny, biały</v>
      </c>
      <c r="Y172" s="13"/>
      <c r="Z172" s="13"/>
      <c r="AA172" s="13"/>
      <c r="AB172" s="13"/>
      <c r="AC172" s="763">
        <f>Obliczenia!AT30+Obliczenia!AS30</f>
        <v>15</v>
      </c>
      <c r="AD172" s="769">
        <f>VLOOKUP(X172,rozdzial75,4,0)*AC172*(1-$AM$236/100)</f>
        <v>2535</v>
      </c>
      <c r="AE172" s="769"/>
      <c r="AF172" s="282"/>
      <c r="AG172" s="13"/>
      <c r="AH172" s="298"/>
      <c r="AL172" s="807"/>
      <c r="AM172" s="785"/>
      <c r="AN172" s="785"/>
      <c r="AO172" s="289"/>
      <c r="AP172" s="409"/>
      <c r="AQ172" s="409"/>
      <c r="AR172" s="409"/>
      <c r="AS172" s="409"/>
      <c r="AT172" s="409"/>
      <c r="AU172" s="409"/>
      <c r="AV172" s="409"/>
      <c r="AW172" s="409"/>
      <c r="AX172" s="409"/>
      <c r="AY172" s="409"/>
      <c r="AZ172" s="409"/>
      <c r="BA172" s="409"/>
      <c r="BB172" s="409"/>
      <c r="BC172" s="409"/>
      <c r="BD172" s="409"/>
      <c r="BE172" s="409"/>
      <c r="BF172" s="409"/>
      <c r="BG172" s="409"/>
      <c r="BH172" s="409"/>
      <c r="BI172" s="266"/>
      <c r="BJ172" s="265"/>
    </row>
    <row r="173" spans="1:62" ht="13.95" customHeight="1">
      <c r="A173" s="265"/>
      <c r="B173" s="289"/>
      <c r="C173" s="289"/>
      <c r="D173" s="409"/>
      <c r="E173" s="409"/>
      <c r="F173" s="409"/>
      <c r="G173" s="409"/>
      <c r="H173" s="409"/>
      <c r="I173" s="409"/>
      <c r="J173" s="409"/>
      <c r="K173" s="409"/>
      <c r="L173" s="409"/>
      <c r="M173" s="409"/>
      <c r="N173" s="409"/>
      <c r="O173" s="409"/>
      <c r="P173" s="409"/>
      <c r="Q173" s="409"/>
      <c r="R173" s="409"/>
      <c r="S173" s="409"/>
      <c r="T173" s="409"/>
      <c r="U173" s="409"/>
      <c r="V173" s="409"/>
      <c r="W173" s="289"/>
      <c r="X173" s="490" t="s">
        <v>523</v>
      </c>
      <c r="Y173" s="488"/>
      <c r="Z173" s="488"/>
      <c r="AA173" s="488"/>
      <c r="AB173" s="488"/>
      <c r="AC173" s="763"/>
      <c r="AD173" s="502"/>
      <c r="AE173" s="503"/>
      <c r="AF173" s="340"/>
      <c r="AG173" s="13"/>
      <c r="AH173" s="542"/>
      <c r="AI173" s="543"/>
      <c r="AJ173" s="543"/>
      <c r="AK173" s="543"/>
      <c r="AL173" s="807"/>
      <c r="AM173" s="718"/>
      <c r="AN173" s="718"/>
      <c r="AO173" s="289"/>
      <c r="AP173" s="409"/>
      <c r="AQ173" s="409"/>
      <c r="AR173" s="409"/>
      <c r="AS173" s="409"/>
      <c r="AT173" s="409"/>
      <c r="AU173" s="409"/>
      <c r="AV173" s="409"/>
      <c r="AW173" s="409"/>
      <c r="AX173" s="409"/>
      <c r="AY173" s="409"/>
      <c r="AZ173" s="409"/>
      <c r="BA173" s="409"/>
      <c r="BB173" s="409"/>
      <c r="BC173" s="409"/>
      <c r="BD173" s="409"/>
      <c r="BE173" s="409"/>
      <c r="BF173" s="409"/>
      <c r="BG173" s="409"/>
      <c r="BH173" s="409"/>
      <c r="BI173" s="266"/>
      <c r="BJ173" s="265"/>
    </row>
    <row r="174" spans="1:62" ht="13.95" customHeight="1">
      <c r="A174" s="265"/>
      <c r="B174" s="289"/>
      <c r="C174" s="289"/>
      <c r="D174" s="409"/>
      <c r="E174" s="409"/>
      <c r="F174" s="409"/>
      <c r="G174" s="409"/>
      <c r="H174" s="409"/>
      <c r="I174" s="409"/>
      <c r="J174" s="409"/>
      <c r="K174" s="409"/>
      <c r="L174" s="409"/>
      <c r="M174" s="409"/>
      <c r="N174" s="409"/>
      <c r="O174" s="409"/>
      <c r="P174" s="409"/>
      <c r="Q174" s="409"/>
      <c r="R174" s="409"/>
      <c r="S174" s="409"/>
      <c r="T174" s="409"/>
      <c r="U174" s="409"/>
      <c r="V174" s="409"/>
      <c r="W174" s="289"/>
      <c r="X174" s="334">
        <f>VLOOKUP(X172,rozdzial75,3,0)</f>
        <v>7974004</v>
      </c>
      <c r="Y174" s="562">
        <f>VLOOKUP(X172,rozdzial75,4,0)</f>
        <v>169</v>
      </c>
      <c r="Z174" s="13"/>
      <c r="AA174" s="486"/>
      <c r="AB174" s="487"/>
      <c r="AC174" s="13"/>
      <c r="AD174" s="503"/>
      <c r="AE174" s="503"/>
      <c r="AF174" s="342"/>
      <c r="AG174" s="13"/>
      <c r="AH174" s="544"/>
      <c r="AI174" s="717"/>
      <c r="AK174" s="545"/>
      <c r="AM174" s="718"/>
      <c r="AN174" s="718"/>
      <c r="AO174" s="289"/>
      <c r="AP174" s="409"/>
      <c r="AQ174" s="409"/>
      <c r="AR174" s="409"/>
      <c r="AS174" s="409"/>
      <c r="AT174" s="409"/>
      <c r="AU174" s="409"/>
      <c r="AV174" s="409"/>
      <c r="AW174" s="409"/>
      <c r="AX174" s="409"/>
      <c r="AY174" s="409"/>
      <c r="AZ174" s="409"/>
      <c r="BA174" s="409"/>
      <c r="BB174" s="409"/>
      <c r="BC174" s="409"/>
      <c r="BD174" s="409"/>
      <c r="BE174" s="409"/>
      <c r="BF174" s="409"/>
      <c r="BG174" s="409"/>
      <c r="BH174" s="409"/>
      <c r="BI174" s="266"/>
      <c r="BJ174" s="265"/>
    </row>
    <row r="175" spans="1:62" ht="13.95" customHeight="1">
      <c r="A175" s="265"/>
      <c r="B175" s="289"/>
      <c r="C175" s="289"/>
      <c r="D175" s="409"/>
      <c r="E175" s="409"/>
      <c r="F175" s="409"/>
      <c r="G175" s="409"/>
      <c r="H175" s="409"/>
      <c r="I175" s="409"/>
      <c r="J175" s="409"/>
      <c r="K175" s="409"/>
      <c r="L175" s="409"/>
      <c r="M175" s="409"/>
      <c r="N175" s="409"/>
      <c r="O175" s="409"/>
      <c r="P175" s="409"/>
      <c r="Q175" s="409"/>
      <c r="R175" s="409"/>
      <c r="S175" s="409"/>
      <c r="T175" s="409"/>
      <c r="U175" s="409"/>
      <c r="V175" s="409"/>
      <c r="W175" s="289"/>
      <c r="X175" s="13"/>
      <c r="Y175" s="13"/>
      <c r="Z175" s="13"/>
      <c r="AA175" s="13"/>
      <c r="AB175" s="13"/>
      <c r="AC175" s="13"/>
      <c r="AD175" s="503"/>
      <c r="AE175" s="503"/>
      <c r="AF175" s="13"/>
      <c r="AG175" s="13"/>
      <c r="AH175" s="289"/>
      <c r="AI175" s="289"/>
      <c r="AJ175" s="289"/>
      <c r="AK175" s="289"/>
      <c r="AL175" s="289"/>
      <c r="AM175" s="506"/>
      <c r="AN175" s="506"/>
      <c r="AO175" s="289"/>
      <c r="AP175" s="409"/>
      <c r="AQ175" s="409"/>
      <c r="AR175" s="409"/>
      <c r="AS175" s="409"/>
      <c r="AT175" s="409"/>
      <c r="AU175" s="409"/>
      <c r="AV175" s="409"/>
      <c r="AW175" s="409"/>
      <c r="AX175" s="409"/>
      <c r="AY175" s="409"/>
      <c r="AZ175" s="409"/>
      <c r="BA175" s="409"/>
      <c r="BB175" s="409"/>
      <c r="BC175" s="409"/>
      <c r="BD175" s="409"/>
      <c r="BE175" s="409"/>
      <c r="BF175" s="409"/>
      <c r="BG175" s="409"/>
      <c r="BH175" s="409"/>
      <c r="BI175" s="266"/>
      <c r="BJ175" s="265"/>
    </row>
    <row r="176" spans="1:62">
      <c r="A176" s="265"/>
      <c r="B176" s="289"/>
      <c r="C176" s="289"/>
      <c r="D176" s="409"/>
      <c r="E176" s="409"/>
      <c r="F176" s="409"/>
      <c r="G176" s="409"/>
      <c r="H176" s="409"/>
      <c r="I176" s="409"/>
      <c r="J176" s="409"/>
      <c r="K176" s="409"/>
      <c r="L176" s="409"/>
      <c r="M176" s="409"/>
      <c r="N176" s="409"/>
      <c r="O176" s="409"/>
      <c r="P176" s="409"/>
      <c r="Q176" s="409"/>
      <c r="R176" s="409"/>
      <c r="S176" s="409"/>
      <c r="T176" s="409"/>
      <c r="U176" s="409"/>
      <c r="V176" s="409"/>
      <c r="W176" s="289"/>
      <c r="X176" s="289"/>
      <c r="Y176" s="289"/>
      <c r="Z176" s="289"/>
      <c r="AA176" s="289"/>
      <c r="AB176" s="289"/>
      <c r="AC176" s="289"/>
      <c r="AD176" s="506"/>
      <c r="AE176" s="506"/>
      <c r="AF176" s="289"/>
      <c r="AG176" s="13"/>
      <c r="AH176" s="289"/>
      <c r="AI176" s="289"/>
      <c r="AJ176" s="289"/>
      <c r="AK176" s="289"/>
      <c r="AL176" s="289"/>
      <c r="AM176" s="506"/>
      <c r="AN176" s="506"/>
      <c r="AO176" s="289"/>
      <c r="AP176" s="409"/>
      <c r="AQ176" s="409"/>
      <c r="AR176" s="409"/>
      <c r="AS176" s="409"/>
      <c r="AT176" s="409"/>
      <c r="AU176" s="409"/>
      <c r="AV176" s="409"/>
      <c r="AW176" s="409"/>
      <c r="AX176" s="409"/>
      <c r="AY176" s="409"/>
      <c r="AZ176" s="409"/>
      <c r="BA176" s="409"/>
      <c r="BB176" s="409"/>
      <c r="BC176" s="409"/>
      <c r="BD176" s="409"/>
      <c r="BE176" s="409"/>
      <c r="BF176" s="409"/>
      <c r="BG176" s="409"/>
      <c r="BH176" s="409"/>
      <c r="BI176" s="266"/>
      <c r="BJ176" s="265"/>
    </row>
    <row r="177" spans="1:62" ht="13.95" customHeight="1">
      <c r="A177" s="265"/>
      <c r="B177" s="289"/>
      <c r="C177" s="465"/>
      <c r="D177" s="465"/>
      <c r="E177" s="465"/>
      <c r="F177" s="465"/>
      <c r="G177" s="465"/>
      <c r="H177" s="465"/>
      <c r="I177" s="548"/>
      <c r="J177" s="409"/>
      <c r="K177" s="409"/>
      <c r="L177" s="409"/>
      <c r="M177" s="409"/>
      <c r="N177" s="409"/>
      <c r="O177" s="409"/>
      <c r="P177" s="409"/>
      <c r="Q177" s="409"/>
      <c r="R177" s="409"/>
      <c r="S177" s="409"/>
      <c r="T177" s="409"/>
      <c r="U177" s="409"/>
      <c r="V177" s="409"/>
      <c r="W177" s="289"/>
      <c r="X177" s="496" t="str">
        <f>Obliczenia!AW31</f>
        <v>Skrzynka rozdzielacza 12xDN75</v>
      </c>
      <c r="Y177" s="13"/>
      <c r="Z177" s="13"/>
      <c r="AA177" s="13"/>
      <c r="AB177" s="13"/>
      <c r="AC177" s="763">
        <f>Obliczenia!AX33</f>
        <v>1</v>
      </c>
      <c r="AD177" s="769">
        <f>VLOOKUP(X177,'Elementy DN75&amp;90 2024-09'!D3:H57,4,0)*AC177*(1-$AM$236/100)+AC177*AB180</f>
        <v>1057</v>
      </c>
      <c r="AE177" s="769"/>
      <c r="AF177" s="282"/>
      <c r="AG177" s="802" t="str">
        <f>IF(AL177&gt;0,"+","")</f>
        <v/>
      </c>
      <c r="AH177" s="496" t="str">
        <f>Obliczenia!AW34</f>
        <v/>
      </c>
      <c r="AI177" s="13"/>
      <c r="AJ177" s="13"/>
      <c r="AK177" s="13"/>
      <c r="AL177" s="763">
        <f>Obliczenia!AX36</f>
        <v>0</v>
      </c>
      <c r="AM177" s="769">
        <f>IF(AH177="",0,VLOOKUP(AH177,'Elementy DN75&amp;90 2024-09'!D3:H55,4,0)*AL177*(1-$AM$236/100)+AL177*AK180)</f>
        <v>0</v>
      </c>
      <c r="AN177" s="769"/>
      <c r="AO177" s="289"/>
      <c r="AP177" s="409"/>
      <c r="AQ177" s="409"/>
      <c r="AR177" s="409"/>
      <c r="AS177" s="409"/>
      <c r="AT177" s="409"/>
      <c r="AU177" s="409"/>
      <c r="AV177" s="409"/>
      <c r="AW177" s="409"/>
      <c r="AX177" s="409"/>
      <c r="AY177" s="409"/>
      <c r="AZ177" s="409"/>
      <c r="BA177" s="409"/>
      <c r="BB177" s="409"/>
      <c r="BC177" s="409"/>
      <c r="BD177" s="409"/>
      <c r="BE177" s="409"/>
      <c r="BF177" s="409"/>
      <c r="BG177" s="409"/>
      <c r="BH177" s="409"/>
      <c r="BI177" s="266"/>
      <c r="BJ177" s="265"/>
    </row>
    <row r="178" spans="1:62" ht="13.95" customHeight="1">
      <c r="A178" s="265"/>
      <c r="B178" s="289"/>
      <c r="C178" s="465"/>
      <c r="D178" s="465"/>
      <c r="E178" s="465"/>
      <c r="F178" s="465"/>
      <c r="G178" s="465"/>
      <c r="H178" s="465"/>
      <c r="I178" s="548"/>
      <c r="J178" s="409"/>
      <c r="K178" s="409"/>
      <c r="L178" s="409"/>
      <c r="M178" s="409"/>
      <c r="N178" s="409"/>
      <c r="O178" s="409"/>
      <c r="P178" s="409"/>
      <c r="Q178" s="409"/>
      <c r="R178" s="409"/>
      <c r="S178" s="409"/>
      <c r="T178" s="409"/>
      <c r="U178" s="409"/>
      <c r="V178" s="409"/>
      <c r="W178" s="289"/>
      <c r="X178" s="804" t="str">
        <f>VLOOKUP(X177,rozdzial75,5,0)</f>
        <v>dop. Strumień 400 m3/h</v>
      </c>
      <c r="Y178" s="804"/>
      <c r="Z178" s="804"/>
      <c r="AA178" s="804"/>
      <c r="AB178" s="804"/>
      <c r="AC178" s="763"/>
      <c r="AD178" s="502"/>
      <c r="AE178" s="503"/>
      <c r="AF178" s="340"/>
      <c r="AG178" s="802"/>
      <c r="AH178" s="804" t="str">
        <f>IF(AH177="","",VLOOKUP(AH177,rozdzial75,5,0))</f>
        <v/>
      </c>
      <c r="AI178" s="804"/>
      <c r="AJ178" s="804"/>
      <c r="AK178" s="804"/>
      <c r="AL178" s="763"/>
      <c r="AM178" s="289"/>
      <c r="AN178" s="289"/>
      <c r="AO178" s="289"/>
      <c r="AP178" s="409"/>
      <c r="AQ178" s="409"/>
      <c r="AR178" s="409"/>
      <c r="AS178" s="409"/>
      <c r="AT178" s="409"/>
      <c r="AU178" s="409"/>
      <c r="AV178" s="409"/>
      <c r="AW178" s="409"/>
      <c r="AX178" s="409"/>
      <c r="AY178" s="409"/>
      <c r="AZ178" s="409"/>
      <c r="BA178" s="409"/>
      <c r="BB178" s="409"/>
      <c r="BC178" s="409"/>
      <c r="BD178" s="409"/>
      <c r="BE178" s="409"/>
      <c r="BF178" s="409"/>
      <c r="BG178" s="409"/>
      <c r="BH178" s="409"/>
      <c r="BI178" s="266"/>
      <c r="BJ178" s="265"/>
    </row>
    <row r="179" spans="1:62" ht="13.95" customHeight="1">
      <c r="A179" s="265"/>
      <c r="B179" s="289"/>
      <c r="C179" s="465"/>
      <c r="D179" s="465"/>
      <c r="E179" s="465"/>
      <c r="F179" s="465"/>
      <c r="G179" s="465"/>
      <c r="H179" s="465"/>
      <c r="I179" s="548"/>
      <c r="J179" s="409"/>
      <c r="K179" s="409"/>
      <c r="L179" s="409"/>
      <c r="M179" s="409"/>
      <c r="N179" s="409"/>
      <c r="O179" s="409"/>
      <c r="P179" s="409"/>
      <c r="Q179" s="409"/>
      <c r="R179" s="409"/>
      <c r="S179" s="409"/>
      <c r="T179" s="409"/>
      <c r="U179" s="409"/>
      <c r="V179" s="409"/>
      <c r="W179" s="289"/>
      <c r="X179" s="805"/>
      <c r="Y179" s="805"/>
      <c r="Z179" s="805"/>
      <c r="AA179" s="805"/>
      <c r="AB179" s="805"/>
      <c r="AC179" s="13"/>
      <c r="AD179" s="503"/>
      <c r="AE179" s="503"/>
      <c r="AF179" s="342"/>
      <c r="AG179" s="802"/>
      <c r="AH179" s="805"/>
      <c r="AI179" s="805"/>
      <c r="AJ179" s="805"/>
      <c r="AK179" s="805"/>
      <c r="AL179" s="13"/>
      <c r="AM179" s="289"/>
      <c r="AN179" s="289"/>
      <c r="AO179" s="289"/>
      <c r="AP179" s="409"/>
      <c r="AQ179" s="409"/>
      <c r="AR179" s="409"/>
      <c r="AS179" s="409"/>
      <c r="AT179" s="409"/>
      <c r="AU179" s="409"/>
      <c r="AV179" s="409"/>
      <c r="AW179" s="409"/>
      <c r="AX179" s="409"/>
      <c r="AY179" s="409"/>
      <c r="AZ179" s="409"/>
      <c r="BA179" s="409"/>
      <c r="BB179" s="409"/>
      <c r="BC179" s="409"/>
      <c r="BD179" s="409"/>
      <c r="BE179" s="409"/>
      <c r="BF179" s="409"/>
      <c r="BG179" s="409"/>
      <c r="BH179" s="409"/>
      <c r="BI179" s="266"/>
      <c r="BJ179" s="265"/>
    </row>
    <row r="180" spans="1:62" ht="13.95" customHeight="1">
      <c r="A180" s="265"/>
      <c r="B180" s="289"/>
      <c r="C180" s="465"/>
      <c r="D180" s="465"/>
      <c r="E180" s="465"/>
      <c r="F180" s="465"/>
      <c r="G180" s="465"/>
      <c r="H180" s="465"/>
      <c r="I180" s="548"/>
      <c r="J180" s="409"/>
      <c r="K180" s="409"/>
      <c r="L180" s="409"/>
      <c r="M180" s="409"/>
      <c r="N180" s="409"/>
      <c r="O180" s="409"/>
      <c r="P180" s="409"/>
      <c r="Q180" s="409"/>
      <c r="R180" s="409"/>
      <c r="S180" s="409"/>
      <c r="T180" s="409"/>
      <c r="U180" s="409"/>
      <c r="V180" s="409"/>
      <c r="W180" s="289"/>
      <c r="X180" s="334">
        <f>VLOOKUP(X177,rozdzial75,3,0)</f>
        <v>7988052</v>
      </c>
      <c r="Y180" s="562">
        <f>VLOOKUP(X177,rozdzial75,4,0)</f>
        <v>1057</v>
      </c>
      <c r="Z180" s="13"/>
      <c r="AA180" s="544"/>
      <c r="AB180" s="717"/>
      <c r="AC180" s="13"/>
      <c r="AD180" s="503"/>
      <c r="AE180" s="503"/>
      <c r="AF180" s="13"/>
      <c r="AG180" s="802"/>
      <c r="AH180" s="334" t="str">
        <f>IF(AH177="","",VLOOKUP(AH177,rozdzial75,3,0))</f>
        <v/>
      </c>
      <c r="AI180" s="562" t="str">
        <f>IF(AH177="","",VLOOKUP(AH177,rozdzial75,4,0))</f>
        <v/>
      </c>
      <c r="AJ180" s="334" t="str">
        <f>IF(AH177="","",IF(Obliczenia!Y59=125,'Elementy DN75&amp;90 2024-09'!F37,IF(Obliczenia!Y59=160,'Elementy DN75&amp;90 2024-09'!F38,'Elementy DN75&amp;90 2024-09'!F39)))</f>
        <v/>
      </c>
      <c r="AK180" s="562" t="str">
        <f>IF(AH177="","",VLOOKUP(AJ180,'Elementy DN75&amp;90 2024-09'!F3:G57,2,0))</f>
        <v/>
      </c>
      <c r="AL180" s="289"/>
      <c r="AM180" s="289"/>
      <c r="AN180" s="289"/>
      <c r="AO180" s="289"/>
      <c r="AP180" s="409"/>
      <c r="AQ180" s="409"/>
      <c r="AR180" s="409"/>
      <c r="AS180" s="409"/>
      <c r="AT180" s="409"/>
      <c r="AU180" s="409"/>
      <c r="AV180" s="409"/>
      <c r="AW180" s="409"/>
      <c r="AX180" s="409"/>
      <c r="AY180" s="409"/>
      <c r="AZ180" s="409"/>
      <c r="BA180" s="409"/>
      <c r="BB180" s="409"/>
      <c r="BC180" s="409"/>
      <c r="BD180" s="409"/>
      <c r="BE180" s="409"/>
      <c r="BF180" s="409"/>
      <c r="BG180" s="409"/>
      <c r="BH180" s="409"/>
      <c r="BI180" s="266"/>
      <c r="BJ180" s="265"/>
    </row>
    <row r="181" spans="1:62">
      <c r="A181" s="265"/>
      <c r="B181" s="289"/>
      <c r="C181" s="465"/>
      <c r="D181" s="465"/>
      <c r="E181" s="465"/>
      <c r="F181" s="465"/>
      <c r="G181" s="465"/>
      <c r="H181" s="465"/>
      <c r="I181" s="548"/>
      <c r="J181" s="409"/>
      <c r="K181" s="409"/>
      <c r="L181" s="409"/>
      <c r="M181" s="409"/>
      <c r="N181" s="409"/>
      <c r="O181" s="409"/>
      <c r="P181" s="409"/>
      <c r="Q181" s="409"/>
      <c r="R181" s="409"/>
      <c r="S181" s="409"/>
      <c r="T181" s="409"/>
      <c r="U181" s="409"/>
      <c r="V181" s="409"/>
      <c r="W181" s="289"/>
      <c r="X181" s="289"/>
      <c r="Y181" s="289"/>
      <c r="Z181" s="289"/>
      <c r="AA181" s="289"/>
      <c r="AB181" s="289"/>
      <c r="AC181" s="289"/>
      <c r="AD181" s="506"/>
      <c r="AE181" s="506"/>
      <c r="AF181" s="289"/>
      <c r="AG181" s="13"/>
      <c r="AH181" s="13"/>
      <c r="AI181" s="13"/>
      <c r="AJ181" s="13"/>
      <c r="AK181" s="13"/>
      <c r="AL181" s="13"/>
      <c r="AM181" s="13"/>
      <c r="AN181" s="13"/>
      <c r="AO181" s="289"/>
      <c r="AP181" s="409"/>
      <c r="AQ181" s="409"/>
      <c r="AR181" s="409"/>
      <c r="AS181" s="409"/>
      <c r="AT181" s="409"/>
      <c r="AU181" s="409"/>
      <c r="AV181" s="409"/>
      <c r="AW181" s="409"/>
      <c r="AX181" s="409"/>
      <c r="AY181" s="409"/>
      <c r="AZ181" s="409"/>
      <c r="BA181" s="409"/>
      <c r="BB181" s="409"/>
      <c r="BC181" s="409"/>
      <c r="BD181" s="409"/>
      <c r="BE181" s="409"/>
      <c r="BF181" s="409"/>
      <c r="BG181" s="409"/>
      <c r="BH181" s="409"/>
      <c r="BI181" s="266"/>
      <c r="BJ181" s="265"/>
    </row>
    <row r="182" spans="1:62" ht="13.95" customHeight="1">
      <c r="A182" s="265"/>
      <c r="B182" s="289"/>
      <c r="C182" s="465"/>
      <c r="D182" s="465"/>
      <c r="E182" s="465"/>
      <c r="F182" s="465"/>
      <c r="G182" s="465"/>
      <c r="H182" s="465"/>
      <c r="I182" s="548"/>
      <c r="J182" s="409"/>
      <c r="K182" s="409"/>
      <c r="L182" s="409"/>
      <c r="M182" s="409"/>
      <c r="N182" s="409"/>
      <c r="O182" s="409"/>
      <c r="P182" s="409"/>
      <c r="Q182" s="409"/>
      <c r="R182" s="409"/>
      <c r="S182" s="409"/>
      <c r="T182" s="409"/>
      <c r="U182" s="409"/>
      <c r="V182" s="409"/>
      <c r="W182" s="289"/>
      <c r="X182" s="496" t="str">
        <f>Obliczenia!AU42</f>
        <v>Element przyłączeniowy rozdzielacza DN180</v>
      </c>
      <c r="Y182" s="13"/>
      <c r="Z182" s="13"/>
      <c r="AA182" s="13"/>
      <c r="AB182" s="13"/>
      <c r="AC182" s="763">
        <f>AC177</f>
        <v>1</v>
      </c>
      <c r="AD182" s="769">
        <f>VLOOKUP(X182,'Elementy DN75&amp;90 2024-09'!D3:H57,4,0)*AC182*(1-$AM$236/100)</f>
        <v>56</v>
      </c>
      <c r="AE182" s="769"/>
      <c r="AF182" s="282"/>
      <c r="AG182" s="802" t="str">
        <f>IF(AL182&gt;0,"+","")</f>
        <v/>
      </c>
      <c r="AH182" s="496" t="str">
        <f>IF(AH177="","",X182)</f>
        <v/>
      </c>
      <c r="AI182" s="13"/>
      <c r="AJ182" s="13"/>
      <c r="AK182" s="13"/>
      <c r="AL182" s="763">
        <f>AL177</f>
        <v>0</v>
      </c>
      <c r="AM182" s="769">
        <f>IF(AH182="",0,VLOOKUP(AH182,'Elementy DN75&amp;90 2024-09'!D8:H60,4,0)*AL182*(1-$AM$236/100)+AL182*AK185)</f>
        <v>0</v>
      </c>
      <c r="AN182" s="769"/>
      <c r="AO182" s="289"/>
      <c r="AP182" s="409"/>
      <c r="AQ182" s="409"/>
      <c r="AR182" s="409"/>
      <c r="AS182" s="409"/>
      <c r="AT182" s="409"/>
      <c r="AU182" s="409"/>
      <c r="AV182" s="409"/>
      <c r="AW182" s="409"/>
      <c r="AX182" s="409"/>
      <c r="AY182" s="409"/>
      <c r="AZ182" s="409"/>
      <c r="BA182" s="409"/>
      <c r="BB182" s="409"/>
      <c r="BC182" s="409"/>
      <c r="BD182" s="409"/>
      <c r="BE182" s="409"/>
      <c r="BF182" s="409"/>
      <c r="BG182" s="409"/>
      <c r="BH182" s="409"/>
      <c r="BI182" s="266"/>
      <c r="BJ182" s="265"/>
    </row>
    <row r="183" spans="1:62" ht="13.95" customHeight="1">
      <c r="A183" s="265"/>
      <c r="B183" s="289"/>
      <c r="C183" s="465"/>
      <c r="D183" s="465"/>
      <c r="E183" s="465"/>
      <c r="F183" s="465"/>
      <c r="G183" s="465"/>
      <c r="H183" s="465"/>
      <c r="I183" s="548"/>
      <c r="J183" s="409"/>
      <c r="K183" s="409"/>
      <c r="L183" s="409"/>
      <c r="M183" s="409"/>
      <c r="N183" s="409"/>
      <c r="O183" s="409"/>
      <c r="P183" s="409"/>
      <c r="Q183" s="409"/>
      <c r="R183" s="409"/>
      <c r="S183" s="409"/>
      <c r="T183" s="409"/>
      <c r="U183" s="409"/>
      <c r="V183" s="409"/>
      <c r="W183" s="289"/>
      <c r="X183" s="804" t="str">
        <f>VLOOKUP(X182,rozdzial75,5,0)</f>
        <v>Do przyłączenia kanału powietrza do rozdzielacza</v>
      </c>
      <c r="Y183" s="804"/>
      <c r="Z183" s="804"/>
      <c r="AA183" s="804"/>
      <c r="AB183" s="804"/>
      <c r="AC183" s="763"/>
      <c r="AD183" s="541"/>
      <c r="AE183" s="503"/>
      <c r="AF183" s="340"/>
      <c r="AG183" s="802"/>
      <c r="AH183" s="804" t="str">
        <f>IF(AH182="","",VLOOKUP(AH182,rozdzial75,5,0))</f>
        <v/>
      </c>
      <c r="AI183" s="804"/>
      <c r="AJ183" s="804"/>
      <c r="AK183" s="804"/>
      <c r="AL183" s="763"/>
      <c r="AM183" s="289"/>
      <c r="AN183" s="289"/>
      <c r="AO183" s="289"/>
      <c r="AP183" s="409"/>
      <c r="AQ183" s="409"/>
      <c r="AR183" s="409"/>
      <c r="AS183" s="409"/>
      <c r="AT183" s="409"/>
      <c r="AU183" s="409"/>
      <c r="AV183" s="409"/>
      <c r="AW183" s="409"/>
      <c r="AX183" s="409"/>
      <c r="AY183" s="409"/>
      <c r="AZ183" s="409"/>
      <c r="BA183" s="409"/>
      <c r="BB183" s="409"/>
      <c r="BC183" s="409"/>
      <c r="BD183" s="409"/>
      <c r="BE183" s="409"/>
      <c r="BF183" s="409"/>
      <c r="BG183" s="409"/>
      <c r="BH183" s="409"/>
      <c r="BI183" s="266"/>
      <c r="BJ183" s="265"/>
    </row>
    <row r="184" spans="1:62" ht="13.95" customHeight="1">
      <c r="A184" s="265"/>
      <c r="B184" s="289"/>
      <c r="C184" s="465"/>
      <c r="D184" s="465"/>
      <c r="E184" s="465"/>
      <c r="F184" s="465"/>
      <c r="G184" s="465"/>
      <c r="H184" s="465"/>
      <c r="I184" s="548"/>
      <c r="J184" s="409"/>
      <c r="K184" s="409"/>
      <c r="L184" s="409"/>
      <c r="M184" s="409"/>
      <c r="N184" s="409"/>
      <c r="O184" s="409"/>
      <c r="P184" s="409"/>
      <c r="Q184" s="409"/>
      <c r="R184" s="409"/>
      <c r="S184" s="409"/>
      <c r="T184" s="409"/>
      <c r="U184" s="409"/>
      <c r="V184" s="409"/>
      <c r="W184" s="289"/>
      <c r="X184" s="805"/>
      <c r="Y184" s="805"/>
      <c r="Z184" s="805"/>
      <c r="AA184" s="805"/>
      <c r="AB184" s="805"/>
      <c r="AC184" s="13"/>
      <c r="AD184" s="541"/>
      <c r="AE184" s="503"/>
      <c r="AF184" s="342"/>
      <c r="AG184" s="802"/>
      <c r="AH184" s="805"/>
      <c r="AI184" s="805"/>
      <c r="AJ184" s="805"/>
      <c r="AK184" s="805"/>
      <c r="AL184" s="13"/>
      <c r="AM184" s="289"/>
      <c r="AN184" s="289"/>
      <c r="AO184" s="289"/>
      <c r="AP184" s="409"/>
      <c r="AQ184" s="409"/>
      <c r="AR184" s="409"/>
      <c r="AS184" s="409"/>
      <c r="AT184" s="409"/>
      <c r="AU184" s="409"/>
      <c r="AV184" s="409"/>
      <c r="AW184" s="409"/>
      <c r="AX184" s="409"/>
      <c r="AY184" s="409"/>
      <c r="AZ184" s="409"/>
      <c r="BA184" s="409"/>
      <c r="BB184" s="409"/>
      <c r="BC184" s="409"/>
      <c r="BD184" s="409"/>
      <c r="BE184" s="409"/>
      <c r="BF184" s="409"/>
      <c r="BG184" s="409"/>
      <c r="BH184" s="409"/>
      <c r="BI184" s="266"/>
      <c r="BJ184" s="265"/>
    </row>
    <row r="185" spans="1:62" ht="13.95" customHeight="1">
      <c r="A185" s="265"/>
      <c r="B185" s="289"/>
      <c r="C185" s="465"/>
      <c r="D185" s="465"/>
      <c r="E185" s="465"/>
      <c r="F185" s="465"/>
      <c r="G185" s="465"/>
      <c r="H185" s="465"/>
      <c r="I185" s="548"/>
      <c r="J185" s="409"/>
      <c r="K185" s="409"/>
      <c r="L185" s="409"/>
      <c r="M185" s="409"/>
      <c r="N185" s="409"/>
      <c r="O185" s="409"/>
      <c r="P185" s="409"/>
      <c r="Q185" s="409"/>
      <c r="R185" s="409"/>
      <c r="S185" s="409"/>
      <c r="T185" s="409"/>
      <c r="U185" s="409"/>
      <c r="V185" s="409"/>
      <c r="W185" s="289"/>
      <c r="X185" s="334">
        <f>VLOOKUP(X182,rozdzial75,3,0)</f>
        <v>7775844</v>
      </c>
      <c r="Y185" s="879" t="str">
        <f>IF(X182="","","w zakresie dostawy")</f>
        <v>w zakresie dostawy</v>
      </c>
      <c r="Z185" s="13"/>
      <c r="AA185" s="13"/>
      <c r="AB185" s="13"/>
      <c r="AC185" s="13"/>
      <c r="AD185" s="503"/>
      <c r="AE185" s="503"/>
      <c r="AF185" s="13"/>
      <c r="AG185" s="802"/>
      <c r="AH185" s="334" t="str">
        <f>IF(AH182="","",VLOOKUP(AH182,rozdzial75,3,0))</f>
        <v/>
      </c>
      <c r="AI185" s="879" t="str">
        <f>IF(AH182="","","w zakresie dostawy")</f>
        <v/>
      </c>
      <c r="AJ185" s="289"/>
      <c r="AK185" s="289"/>
      <c r="AL185" s="289"/>
      <c r="AM185" s="289"/>
      <c r="AN185" s="289"/>
      <c r="AO185" s="289"/>
      <c r="AP185" s="409"/>
      <c r="AQ185" s="409"/>
      <c r="AR185" s="409"/>
      <c r="AS185" s="409"/>
      <c r="AT185" s="409"/>
      <c r="AU185" s="409"/>
      <c r="AV185" s="409"/>
      <c r="AW185" s="409"/>
      <c r="AX185" s="409"/>
      <c r="AY185" s="409"/>
      <c r="AZ185" s="409"/>
      <c r="BA185" s="409"/>
      <c r="BB185" s="409"/>
      <c r="BC185" s="409"/>
      <c r="BD185" s="409"/>
      <c r="BE185" s="409"/>
      <c r="BF185" s="409"/>
      <c r="BG185" s="409"/>
      <c r="BH185" s="409"/>
      <c r="BI185" s="266"/>
      <c r="BJ185" s="265"/>
    </row>
    <row r="186" spans="1:62" ht="13.95" customHeight="1">
      <c r="A186" s="265"/>
      <c r="B186" s="289"/>
      <c r="C186" s="289"/>
      <c r="D186" s="409"/>
      <c r="E186" s="409"/>
      <c r="F186" s="409"/>
      <c r="G186" s="409"/>
      <c r="H186" s="409"/>
      <c r="I186" s="409"/>
      <c r="J186" s="409"/>
      <c r="K186" s="409"/>
      <c r="L186" s="409"/>
      <c r="M186" s="409"/>
      <c r="N186" s="409"/>
      <c r="O186" s="409"/>
      <c r="P186" s="409"/>
      <c r="Q186" s="409"/>
      <c r="R186" s="409"/>
      <c r="S186" s="409"/>
      <c r="T186" s="409"/>
      <c r="U186" s="409"/>
      <c r="V186" s="409"/>
      <c r="W186" s="289"/>
      <c r="X186" s="340"/>
      <c r="Y186" s="562"/>
      <c r="Z186" s="13"/>
      <c r="AA186" s="13"/>
      <c r="AB186" s="13"/>
      <c r="AC186" s="13"/>
      <c r="AD186" s="503"/>
      <c r="AE186" s="503"/>
      <c r="AF186" s="13"/>
      <c r="AG186" s="13"/>
      <c r="AH186" s="340"/>
      <c r="AI186" s="562"/>
      <c r="AJ186" s="289"/>
      <c r="AK186" s="289"/>
      <c r="AL186" s="289"/>
      <c r="AM186" s="289"/>
      <c r="AN186" s="289"/>
      <c r="AO186" s="289"/>
      <c r="AP186" s="409"/>
      <c r="AQ186" s="409"/>
      <c r="AR186" s="409"/>
      <c r="AS186" s="409"/>
      <c r="AT186" s="409"/>
      <c r="AU186" s="409"/>
      <c r="AV186" s="409"/>
      <c r="AW186" s="409"/>
      <c r="AX186" s="409"/>
      <c r="AY186" s="409"/>
      <c r="AZ186" s="409"/>
      <c r="BA186" s="409"/>
      <c r="BB186" s="409"/>
      <c r="BC186" s="409"/>
      <c r="BD186" s="409"/>
      <c r="BE186" s="409"/>
      <c r="BF186" s="409"/>
      <c r="BG186" s="409"/>
      <c r="BH186" s="409"/>
      <c r="BI186" s="266"/>
      <c r="BJ186" s="265"/>
    </row>
    <row r="187" spans="1:62" ht="13.95" customHeight="1">
      <c r="A187" s="265"/>
      <c r="B187" s="289"/>
      <c r="C187" s="289"/>
      <c r="D187" s="411"/>
      <c r="E187" s="411"/>
      <c r="F187" s="411"/>
      <c r="G187" s="411"/>
      <c r="H187" s="411"/>
      <c r="I187" s="411"/>
      <c r="J187" s="409"/>
      <c r="K187" s="409"/>
      <c r="L187" s="409"/>
      <c r="M187" s="409"/>
      <c r="N187" s="409"/>
      <c r="O187" s="409"/>
      <c r="P187" s="409"/>
      <c r="Q187" s="409"/>
      <c r="R187" s="409"/>
      <c r="S187" s="409"/>
      <c r="T187" s="409"/>
      <c r="U187" s="409"/>
      <c r="V187" s="409"/>
      <c r="W187" s="289"/>
      <c r="X187" s="496" t="str">
        <f>Obliczenia!AU31</f>
        <v>Skrzynka rozdzielacza 12xDN75</v>
      </c>
      <c r="Y187" s="13"/>
      <c r="Z187" s="13"/>
      <c r="AA187" s="13"/>
      <c r="AB187" s="13"/>
      <c r="AC187" s="763">
        <f>Obliczenia!AV33</f>
        <v>1</v>
      </c>
      <c r="AD187" s="769">
        <f>VLOOKUP(X187,'Elementy DN75&amp;90 2024-09'!D13:H67,4,0)*AC187*(1-$AM$236/100)+AC187*AB190</f>
        <v>1057</v>
      </c>
      <c r="AE187" s="769"/>
      <c r="AF187" s="282"/>
      <c r="AG187" s="803" t="str">
        <f>IF(AL187&gt;0,"+","")</f>
        <v/>
      </c>
      <c r="AH187" s="496" t="str">
        <f>Obliczenia!AU34</f>
        <v/>
      </c>
      <c r="AI187" s="13"/>
      <c r="AJ187" s="13"/>
      <c r="AK187" s="13"/>
      <c r="AL187" s="763">
        <f>Obliczenia!AV36</f>
        <v>0</v>
      </c>
      <c r="AM187" s="769">
        <f>IF(AH187="",0,VLOOKUP(AH187,'Elementy DN75&amp;90 2024-09'!D13:H65,4,0)*AL187*(1-$AM$236/100)+AL187*AK190)</f>
        <v>0</v>
      </c>
      <c r="AN187" s="769"/>
      <c r="AO187" s="289"/>
      <c r="AP187" s="409"/>
      <c r="AQ187" s="409"/>
      <c r="AR187" s="409"/>
      <c r="AS187" s="409"/>
      <c r="AT187" s="409"/>
      <c r="AU187" s="409"/>
      <c r="AV187" s="409"/>
      <c r="AW187" s="409"/>
      <c r="AX187" s="409"/>
      <c r="AY187" s="409"/>
      <c r="AZ187" s="409"/>
      <c r="BA187" s="409"/>
      <c r="BB187" s="409"/>
      <c r="BC187" s="409"/>
      <c r="BD187" s="409"/>
      <c r="BE187" s="409"/>
      <c r="BF187" s="409"/>
      <c r="BG187" s="409"/>
      <c r="BH187" s="409"/>
      <c r="BI187" s="266"/>
      <c r="BJ187" s="265"/>
    </row>
    <row r="188" spans="1:62" ht="13.95" customHeight="1">
      <c r="A188" s="265"/>
      <c r="B188" s="289"/>
      <c r="C188" s="289"/>
      <c r="D188" s="411"/>
      <c r="E188" s="411"/>
      <c r="F188" s="411"/>
      <c r="G188" s="411"/>
      <c r="H188" s="411"/>
      <c r="I188" s="411"/>
      <c r="J188" s="409"/>
      <c r="K188" s="409"/>
      <c r="L188" s="409"/>
      <c r="M188" s="409"/>
      <c r="N188" s="409"/>
      <c r="O188" s="409"/>
      <c r="P188" s="409"/>
      <c r="Q188" s="409"/>
      <c r="R188" s="409"/>
      <c r="S188" s="409"/>
      <c r="T188" s="409"/>
      <c r="U188" s="409"/>
      <c r="V188" s="409"/>
      <c r="W188" s="289"/>
      <c r="X188" s="804" t="str">
        <f>VLOOKUP(X187,rozdzial75,5,0)</f>
        <v>dop. Strumień 400 m3/h</v>
      </c>
      <c r="Y188" s="804"/>
      <c r="Z188" s="804"/>
      <c r="AA188" s="804"/>
      <c r="AB188" s="804"/>
      <c r="AC188" s="763"/>
      <c r="AD188" s="502"/>
      <c r="AE188" s="503"/>
      <c r="AF188" s="340"/>
      <c r="AG188" s="803"/>
      <c r="AH188" s="804" t="str">
        <f>IF(AH187="","",VLOOKUP(AH187,rozdzial75,5,0))</f>
        <v/>
      </c>
      <c r="AI188" s="804"/>
      <c r="AJ188" s="804"/>
      <c r="AK188" s="804"/>
      <c r="AL188" s="763"/>
      <c r="AM188" s="289"/>
      <c r="AN188" s="289"/>
      <c r="AO188" s="289"/>
      <c r="AP188" s="409"/>
      <c r="AQ188" s="409"/>
      <c r="AR188" s="409"/>
      <c r="AS188" s="409"/>
      <c r="AT188" s="409"/>
      <c r="AU188" s="409"/>
      <c r="AV188" s="409"/>
      <c r="AW188" s="409"/>
      <c r="AX188" s="409"/>
      <c r="AY188" s="409"/>
      <c r="AZ188" s="409"/>
      <c r="BA188" s="409"/>
      <c r="BB188" s="409"/>
      <c r="BC188" s="409"/>
      <c r="BD188" s="409"/>
      <c r="BE188" s="409"/>
      <c r="BF188" s="409"/>
      <c r="BG188" s="409"/>
      <c r="BH188" s="409"/>
      <c r="BI188" s="266"/>
      <c r="BJ188" s="265"/>
    </row>
    <row r="189" spans="1:62" ht="13.95" customHeight="1">
      <c r="A189" s="265"/>
      <c r="B189" s="289"/>
      <c r="C189" s="289"/>
      <c r="D189" s="411"/>
      <c r="E189" s="411"/>
      <c r="F189" s="411"/>
      <c r="G189" s="411"/>
      <c r="H189" s="411"/>
      <c r="I189" s="411"/>
      <c r="J189" s="409"/>
      <c r="K189" s="409"/>
      <c r="L189" s="409"/>
      <c r="M189" s="409"/>
      <c r="N189" s="409"/>
      <c r="O189" s="409"/>
      <c r="P189" s="409"/>
      <c r="Q189" s="409"/>
      <c r="R189" s="409"/>
      <c r="S189" s="409"/>
      <c r="T189" s="409"/>
      <c r="U189" s="409"/>
      <c r="V189" s="409"/>
      <c r="W189" s="289"/>
      <c r="X189" s="805"/>
      <c r="Y189" s="805"/>
      <c r="Z189" s="805"/>
      <c r="AA189" s="805"/>
      <c r="AB189" s="805"/>
      <c r="AC189" s="13"/>
      <c r="AD189" s="503"/>
      <c r="AE189" s="503"/>
      <c r="AF189" s="342"/>
      <c r="AG189" s="803"/>
      <c r="AH189" s="805"/>
      <c r="AI189" s="805"/>
      <c r="AJ189" s="805"/>
      <c r="AK189" s="805"/>
      <c r="AL189" s="13"/>
      <c r="AM189" s="289"/>
      <c r="AN189" s="289"/>
      <c r="AO189" s="289"/>
      <c r="AP189" s="409"/>
      <c r="AQ189" s="409"/>
      <c r="AR189" s="409"/>
      <c r="AS189" s="409"/>
      <c r="AT189" s="409"/>
      <c r="AU189" s="409"/>
      <c r="AV189" s="409"/>
      <c r="AW189" s="409"/>
      <c r="AX189" s="409"/>
      <c r="AY189" s="409"/>
      <c r="AZ189" s="409"/>
      <c r="BA189" s="409"/>
      <c r="BB189" s="409"/>
      <c r="BC189" s="409"/>
      <c r="BD189" s="409"/>
      <c r="BE189" s="409"/>
      <c r="BF189" s="409"/>
      <c r="BG189" s="409"/>
      <c r="BH189" s="409"/>
      <c r="BI189" s="266"/>
      <c r="BJ189" s="265"/>
    </row>
    <row r="190" spans="1:62" ht="13.95" customHeight="1">
      <c r="A190" s="265"/>
      <c r="B190" s="289"/>
      <c r="C190" s="289"/>
      <c r="D190" s="411"/>
      <c r="E190" s="411"/>
      <c r="F190" s="411"/>
      <c r="G190" s="411"/>
      <c r="H190" s="411"/>
      <c r="I190" s="411"/>
      <c r="J190" s="409"/>
      <c r="K190" s="409"/>
      <c r="L190" s="409"/>
      <c r="M190" s="409"/>
      <c r="N190" s="409"/>
      <c r="O190" s="409"/>
      <c r="P190" s="409"/>
      <c r="Q190" s="409"/>
      <c r="R190" s="409"/>
      <c r="S190" s="409"/>
      <c r="T190" s="409"/>
      <c r="U190" s="409"/>
      <c r="V190" s="409"/>
      <c r="W190" s="289"/>
      <c r="X190" s="334">
        <f>VLOOKUP(X187,rozdzial75,3,0)</f>
        <v>7988052</v>
      </c>
      <c r="Y190" s="562">
        <f>VLOOKUP(X187,rozdzial75,4,0)</f>
        <v>1057</v>
      </c>
      <c r="Z190" s="13"/>
      <c r="AA190" s="544"/>
      <c r="AB190" s="717"/>
      <c r="AC190" s="13"/>
      <c r="AD190" s="503"/>
      <c r="AE190" s="503"/>
      <c r="AF190" s="13"/>
      <c r="AG190" s="803"/>
      <c r="AH190" s="334" t="str">
        <f>IF(AH187="","",VLOOKUP(AH187,rozdzial75,3,0))</f>
        <v/>
      </c>
      <c r="AI190" s="562" t="str">
        <f>IF(AH187="","",VLOOKUP(AH187,rozdzial75,4,0))</f>
        <v/>
      </c>
      <c r="AJ190" s="334" t="str">
        <f>IF(AH187="","",IF(Obliczenia!Y69=125,'Elementy DN75&amp;90 2024-09'!F47,IF(Obliczenia!Y69=160,'Elementy DN75&amp;90 2024-09'!F48,'Elementy DN75&amp;90 2024-09'!F49)))</f>
        <v/>
      </c>
      <c r="AK190" s="562" t="str">
        <f>IF(AH187="","",VLOOKUP(AJ190,'Elementy DN75&amp;90 2024-09'!F13:G67,2,0))</f>
        <v/>
      </c>
      <c r="AL190" s="289"/>
      <c r="AM190" s="289"/>
      <c r="AN190" s="289"/>
      <c r="AO190" s="289"/>
      <c r="AP190" s="409"/>
      <c r="AQ190" s="409"/>
      <c r="AR190" s="409"/>
      <c r="AS190" s="409"/>
      <c r="AT190" s="409"/>
      <c r="AU190" s="409"/>
      <c r="AV190" s="409"/>
      <c r="AW190" s="409"/>
      <c r="AX190" s="409"/>
      <c r="AY190" s="409"/>
      <c r="AZ190" s="409"/>
      <c r="BA190" s="409"/>
      <c r="BB190" s="409"/>
      <c r="BC190" s="409"/>
      <c r="BD190" s="409"/>
      <c r="BE190" s="409"/>
      <c r="BF190" s="409"/>
      <c r="BG190" s="409"/>
      <c r="BH190" s="409"/>
      <c r="BI190" s="266"/>
      <c r="BJ190" s="265"/>
    </row>
    <row r="191" spans="1:62">
      <c r="A191" s="265"/>
      <c r="B191" s="289"/>
      <c r="C191" s="289"/>
      <c r="D191" s="411"/>
      <c r="E191" s="411"/>
      <c r="F191" s="411"/>
      <c r="G191" s="411"/>
      <c r="H191" s="411"/>
      <c r="I191" s="411"/>
      <c r="J191" s="409"/>
      <c r="K191" s="409"/>
      <c r="L191" s="409"/>
      <c r="M191" s="409"/>
      <c r="N191" s="409"/>
      <c r="O191" s="409"/>
      <c r="P191" s="409"/>
      <c r="Q191" s="409"/>
      <c r="R191" s="409"/>
      <c r="S191" s="409"/>
      <c r="T191" s="409"/>
      <c r="U191" s="409"/>
      <c r="V191" s="409"/>
      <c r="W191" s="289"/>
      <c r="X191" s="289"/>
      <c r="Y191" s="289"/>
      <c r="Z191" s="289"/>
      <c r="AA191" s="289"/>
      <c r="AB191" s="289"/>
      <c r="AC191" s="289"/>
      <c r="AD191" s="506"/>
      <c r="AE191" s="506"/>
      <c r="AF191" s="289"/>
      <c r="AG191" s="13"/>
      <c r="AH191" s="13"/>
      <c r="AI191" s="13"/>
      <c r="AJ191" s="13"/>
      <c r="AK191" s="13"/>
      <c r="AL191" s="13"/>
      <c r="AM191" s="13"/>
      <c r="AN191" s="13"/>
      <c r="AO191" s="289"/>
      <c r="AP191" s="409"/>
      <c r="AQ191" s="409"/>
      <c r="AR191" s="409"/>
      <c r="AS191" s="409"/>
      <c r="AT191" s="409"/>
      <c r="AU191" s="409"/>
      <c r="AV191" s="409"/>
      <c r="AW191" s="409"/>
      <c r="AX191" s="409"/>
      <c r="AY191" s="409"/>
      <c r="AZ191" s="409"/>
      <c r="BA191" s="409"/>
      <c r="BB191" s="409"/>
      <c r="BC191" s="409"/>
      <c r="BD191" s="409"/>
      <c r="BE191" s="409"/>
      <c r="BF191" s="409"/>
      <c r="BG191" s="409"/>
      <c r="BH191" s="409"/>
      <c r="BI191" s="266"/>
      <c r="BJ191" s="265"/>
    </row>
    <row r="192" spans="1:62" ht="13.95" customHeight="1">
      <c r="A192" s="265"/>
      <c r="B192" s="289"/>
      <c r="C192" s="289"/>
      <c r="D192" s="411"/>
      <c r="E192" s="411"/>
      <c r="F192" s="411"/>
      <c r="G192" s="411"/>
      <c r="H192" s="411"/>
      <c r="I192" s="411"/>
      <c r="J192" s="409"/>
      <c r="K192" s="409"/>
      <c r="L192" s="409"/>
      <c r="M192" s="409"/>
      <c r="N192" s="409"/>
      <c r="O192" s="409"/>
      <c r="P192" s="409"/>
      <c r="Q192" s="409"/>
      <c r="R192" s="409"/>
      <c r="S192" s="409"/>
      <c r="T192" s="409"/>
      <c r="U192" s="409"/>
      <c r="V192" s="409"/>
      <c r="W192" s="289"/>
      <c r="X192" s="496" t="str">
        <f>Obliczenia!BF42</f>
        <v>Element przyłączeniowy rozdzielacza DN180</v>
      </c>
      <c r="Y192" s="13"/>
      <c r="Z192" s="13"/>
      <c r="AA192" s="13"/>
      <c r="AB192" s="13"/>
      <c r="AC192" s="763">
        <f>AC187</f>
        <v>1</v>
      </c>
      <c r="AD192" s="769">
        <f>VLOOKUP(X192,'Elementy DN75&amp;90 2024-09'!D13:H67,4,0)*AC192*(1-$AM$236/100)</f>
        <v>56</v>
      </c>
      <c r="AE192" s="769"/>
      <c r="AF192" s="282"/>
      <c r="AG192" s="803" t="str">
        <f>IF(AL192&gt;0,"+","")</f>
        <v/>
      </c>
      <c r="AH192" s="496" t="str">
        <f>IF(AH187="","",X192)</f>
        <v/>
      </c>
      <c r="AI192" s="13"/>
      <c r="AJ192" s="13"/>
      <c r="AK192" s="13"/>
      <c r="AL192" s="763">
        <f>AL187</f>
        <v>0</v>
      </c>
      <c r="AM192" s="769">
        <f>IF(AH192="",0,VLOOKUP(AH192,'Elementy DN75&amp;90 2024-09'!D18:H70,4,0)*AL192*(1-$AM$236/100)+AL192*AK195)</f>
        <v>0</v>
      </c>
      <c r="AN192" s="769"/>
      <c r="AO192" s="289"/>
      <c r="AP192" s="409"/>
      <c r="AQ192" s="409"/>
      <c r="AR192" s="409"/>
      <c r="AS192" s="409"/>
      <c r="AT192" s="409"/>
      <c r="AU192" s="409"/>
      <c r="AV192" s="409"/>
      <c r="AW192" s="409"/>
      <c r="AX192" s="409"/>
      <c r="AY192" s="409"/>
      <c r="AZ192" s="409"/>
      <c r="BA192" s="409"/>
      <c r="BB192" s="409"/>
      <c r="BC192" s="409"/>
      <c r="BD192" s="409"/>
      <c r="BE192" s="409"/>
      <c r="BF192" s="409"/>
      <c r="BG192" s="409"/>
      <c r="BH192" s="409"/>
      <c r="BI192" s="266"/>
      <c r="BJ192" s="265"/>
    </row>
    <row r="193" spans="1:78" ht="13.95" customHeight="1">
      <c r="A193" s="265"/>
      <c r="B193" s="289"/>
      <c r="C193" s="289"/>
      <c r="D193" s="411"/>
      <c r="E193" s="411"/>
      <c r="F193" s="411"/>
      <c r="G193" s="411"/>
      <c r="H193" s="411"/>
      <c r="I193" s="411"/>
      <c r="J193" s="409"/>
      <c r="K193" s="409"/>
      <c r="L193" s="409"/>
      <c r="M193" s="409"/>
      <c r="N193" s="409"/>
      <c r="O193" s="409"/>
      <c r="P193" s="409"/>
      <c r="Q193" s="409"/>
      <c r="R193" s="409"/>
      <c r="S193" s="409"/>
      <c r="T193" s="409"/>
      <c r="U193" s="409"/>
      <c r="V193" s="409"/>
      <c r="W193" s="289"/>
      <c r="X193" s="804" t="str">
        <f>VLOOKUP(X192,rozdzial75,5,0)</f>
        <v>Do przyłączenia kanału powietrza do rozdzielacza</v>
      </c>
      <c r="Y193" s="804"/>
      <c r="Z193" s="804"/>
      <c r="AA193" s="804"/>
      <c r="AB193" s="804"/>
      <c r="AC193" s="763"/>
      <c r="AD193" s="541"/>
      <c r="AE193" s="503"/>
      <c r="AF193" s="340"/>
      <c r="AG193" s="803"/>
      <c r="AH193" s="804" t="str">
        <f>IF(AH192="","",VLOOKUP(AH192,rozdzial75,5,0))</f>
        <v/>
      </c>
      <c r="AI193" s="804"/>
      <c r="AJ193" s="804"/>
      <c r="AK193" s="804"/>
      <c r="AL193" s="763"/>
      <c r="AM193" s="289"/>
      <c r="AN193" s="289"/>
      <c r="AO193" s="289"/>
      <c r="AP193" s="409"/>
      <c r="AQ193" s="409"/>
      <c r="AR193" s="409"/>
      <c r="AS193" s="409"/>
      <c r="AT193" s="409"/>
      <c r="AU193" s="409"/>
      <c r="AV193" s="409"/>
      <c r="AW193" s="409"/>
      <c r="AX193" s="409"/>
      <c r="AY193" s="409"/>
      <c r="AZ193" s="409"/>
      <c r="BA193" s="409"/>
      <c r="BB193" s="409"/>
      <c r="BC193" s="409"/>
      <c r="BD193" s="409"/>
      <c r="BE193" s="409"/>
      <c r="BF193" s="409"/>
      <c r="BG193" s="409"/>
      <c r="BH193" s="409"/>
      <c r="BI193" s="266"/>
      <c r="BJ193" s="265"/>
    </row>
    <row r="194" spans="1:78" ht="13.95" customHeight="1">
      <c r="A194" s="265"/>
      <c r="B194" s="289"/>
      <c r="C194" s="289"/>
      <c r="D194" s="411"/>
      <c r="E194" s="411"/>
      <c r="F194" s="411"/>
      <c r="G194" s="411"/>
      <c r="H194" s="411"/>
      <c r="I194" s="411"/>
      <c r="J194" s="409"/>
      <c r="K194" s="409"/>
      <c r="L194" s="409"/>
      <c r="M194" s="409"/>
      <c r="N194" s="409"/>
      <c r="O194" s="409"/>
      <c r="P194" s="409"/>
      <c r="Q194" s="409"/>
      <c r="R194" s="409"/>
      <c r="S194" s="409"/>
      <c r="T194" s="409"/>
      <c r="U194" s="409"/>
      <c r="V194" s="409"/>
      <c r="W194" s="289"/>
      <c r="X194" s="805"/>
      <c r="Y194" s="805"/>
      <c r="Z194" s="805"/>
      <c r="AA194" s="805"/>
      <c r="AB194" s="805"/>
      <c r="AC194" s="13"/>
      <c r="AD194" s="541"/>
      <c r="AE194" s="503"/>
      <c r="AF194" s="342"/>
      <c r="AG194" s="803"/>
      <c r="AH194" s="805"/>
      <c r="AI194" s="805"/>
      <c r="AJ194" s="805"/>
      <c r="AK194" s="805"/>
      <c r="AL194" s="13"/>
      <c r="AM194" s="289"/>
      <c r="AN194" s="289"/>
      <c r="AO194" s="289"/>
      <c r="AP194" s="409"/>
      <c r="AQ194" s="409"/>
      <c r="AR194" s="409"/>
      <c r="AS194" s="409"/>
      <c r="AT194" s="409"/>
      <c r="AU194" s="409"/>
      <c r="AV194" s="409"/>
      <c r="AW194" s="409"/>
      <c r="AX194" s="409"/>
      <c r="AY194" s="409"/>
      <c r="AZ194" s="409"/>
      <c r="BA194" s="409"/>
      <c r="BB194" s="409"/>
      <c r="BC194" s="409"/>
      <c r="BD194" s="409"/>
      <c r="BE194" s="409"/>
      <c r="BF194" s="409"/>
      <c r="BG194" s="409"/>
      <c r="BH194" s="409"/>
      <c r="BI194" s="266"/>
      <c r="BJ194" s="265"/>
    </row>
    <row r="195" spans="1:78" ht="13.95" customHeight="1">
      <c r="A195" s="265"/>
      <c r="B195" s="289"/>
      <c r="C195" s="289"/>
      <c r="D195" s="411"/>
      <c r="E195" s="411"/>
      <c r="F195" s="411"/>
      <c r="G195" s="411"/>
      <c r="H195" s="411"/>
      <c r="I195" s="411"/>
      <c r="J195" s="409"/>
      <c r="K195" s="409"/>
      <c r="L195" s="409"/>
      <c r="M195" s="409"/>
      <c r="N195" s="409"/>
      <c r="O195" s="409"/>
      <c r="P195" s="409"/>
      <c r="Q195" s="409"/>
      <c r="R195" s="409"/>
      <c r="S195" s="409"/>
      <c r="T195" s="409"/>
      <c r="U195" s="409"/>
      <c r="V195" s="409"/>
      <c r="W195" s="289"/>
      <c r="X195" s="334">
        <f>VLOOKUP(X192,rozdzial75,3,0)</f>
        <v>7775844</v>
      </c>
      <c r="Y195" s="879" t="str">
        <f>IF(X192="","","w zakresie dostawy")</f>
        <v>w zakresie dostawy</v>
      </c>
      <c r="Z195" s="13"/>
      <c r="AA195" s="13"/>
      <c r="AB195" s="13"/>
      <c r="AC195" s="13"/>
      <c r="AD195" s="503"/>
      <c r="AE195" s="503"/>
      <c r="AF195" s="13"/>
      <c r="AG195" s="803"/>
      <c r="AH195" s="334" t="str">
        <f>IF(AH192="","",VLOOKUP(AH192,rozdzial75,3,0))</f>
        <v/>
      </c>
      <c r="AI195" s="879" t="str">
        <f>IF(AH192="","","w zakresie dostawy")</f>
        <v/>
      </c>
      <c r="AJ195" s="289"/>
      <c r="AK195" s="289"/>
      <c r="AL195" s="289"/>
      <c r="AM195" s="289"/>
      <c r="AN195" s="289"/>
      <c r="AO195" s="289"/>
      <c r="AP195" s="409"/>
      <c r="AQ195" s="409"/>
      <c r="AR195" s="409"/>
      <c r="AS195" s="409"/>
      <c r="AT195" s="409"/>
      <c r="AU195" s="409"/>
      <c r="AV195" s="409"/>
      <c r="AW195" s="409"/>
      <c r="AX195" s="409"/>
      <c r="AY195" s="409"/>
      <c r="AZ195" s="409"/>
      <c r="BA195" s="409"/>
      <c r="BB195" s="409"/>
      <c r="BC195" s="409"/>
      <c r="BD195" s="409"/>
      <c r="BE195" s="409"/>
      <c r="BF195" s="409"/>
      <c r="BG195" s="409"/>
      <c r="BH195" s="409"/>
      <c r="BI195" s="266"/>
      <c r="BJ195" s="265"/>
    </row>
    <row r="196" spans="1:78" ht="13.95" customHeight="1">
      <c r="A196" s="265"/>
      <c r="B196" s="289"/>
      <c r="C196" s="289"/>
      <c r="D196" s="409"/>
      <c r="E196" s="409"/>
      <c r="F196" s="409"/>
      <c r="G196" s="409"/>
      <c r="H196" s="409"/>
      <c r="I196" s="409"/>
      <c r="J196" s="409"/>
      <c r="K196" s="409"/>
      <c r="L196" s="409"/>
      <c r="M196" s="409"/>
      <c r="N196" s="409"/>
      <c r="O196" s="409"/>
      <c r="P196" s="409"/>
      <c r="Q196" s="409"/>
      <c r="R196" s="409"/>
      <c r="S196" s="409"/>
      <c r="T196" s="409"/>
      <c r="U196" s="409"/>
      <c r="V196" s="409"/>
      <c r="W196" s="289"/>
      <c r="X196" s="340"/>
      <c r="Y196" s="562"/>
      <c r="Z196" s="13"/>
      <c r="AA196" s="13"/>
      <c r="AB196" s="13"/>
      <c r="AC196" s="13"/>
      <c r="AD196" s="503"/>
      <c r="AE196" s="503"/>
      <c r="AF196" s="13"/>
      <c r="AG196" s="13"/>
      <c r="AH196" s="340"/>
      <c r="AI196" s="562"/>
      <c r="AJ196" s="289"/>
      <c r="AK196" s="289"/>
      <c r="AL196" s="289"/>
      <c r="AM196" s="289"/>
      <c r="AN196" s="289"/>
      <c r="AO196" s="289"/>
      <c r="AP196" s="409"/>
      <c r="AQ196" s="409"/>
      <c r="AR196" s="409"/>
      <c r="AS196" s="409"/>
      <c r="AT196" s="409"/>
      <c r="AU196" s="409"/>
      <c r="AV196" s="409"/>
      <c r="AW196" s="409"/>
      <c r="AX196" s="409"/>
      <c r="AY196" s="409"/>
      <c r="AZ196" s="409"/>
      <c r="BA196" s="409"/>
      <c r="BB196" s="409"/>
      <c r="BC196" s="409"/>
      <c r="BD196" s="409"/>
      <c r="BE196" s="409"/>
      <c r="BF196" s="409"/>
      <c r="BG196" s="409"/>
      <c r="BH196" s="409"/>
      <c r="BI196" s="266"/>
      <c r="BJ196" s="265"/>
    </row>
    <row r="197" spans="1:78" ht="13.95" customHeight="1">
      <c r="A197" s="265"/>
      <c r="B197" s="289"/>
      <c r="C197" s="289"/>
      <c r="D197" s="409"/>
      <c r="E197" s="409"/>
      <c r="F197" s="409"/>
      <c r="G197" s="409"/>
      <c r="H197" s="409"/>
      <c r="I197" s="409"/>
      <c r="J197" s="409"/>
      <c r="K197" s="409"/>
      <c r="L197" s="409"/>
      <c r="M197" s="409"/>
      <c r="N197" s="409"/>
      <c r="O197" s="409"/>
      <c r="P197" s="409"/>
      <c r="Q197" s="409"/>
      <c r="R197" s="409"/>
      <c r="S197" s="409"/>
      <c r="T197" s="409"/>
      <c r="U197" s="409"/>
      <c r="V197" s="409"/>
      <c r="W197" s="746" t="s">
        <v>467</v>
      </c>
      <c r="X197" s="746"/>
      <c r="Y197" s="746"/>
      <c r="Z197" s="746"/>
      <c r="AA197" s="746"/>
      <c r="AB197" s="746"/>
      <c r="AC197" s="13"/>
      <c r="AD197" s="503"/>
      <c r="AE197" s="503"/>
      <c r="AF197" s="13"/>
      <c r="AG197" s="13"/>
      <c r="AH197" s="289"/>
      <c r="AI197" s="289"/>
      <c r="AJ197" s="289"/>
      <c r="AK197" s="289"/>
      <c r="AL197" s="289"/>
      <c r="AM197" s="289"/>
      <c r="AN197" s="289"/>
      <c r="AO197" s="289"/>
      <c r="AP197" s="409"/>
      <c r="AQ197" s="409"/>
      <c r="AR197" s="409"/>
      <c r="AS197" s="409"/>
      <c r="AT197" s="409"/>
      <c r="AU197" s="409"/>
      <c r="AV197" s="409"/>
      <c r="AW197" s="409"/>
      <c r="AX197" s="409"/>
      <c r="AY197" s="409"/>
      <c r="AZ197" s="409"/>
      <c r="BA197" s="409"/>
      <c r="BB197" s="409"/>
      <c r="BC197" s="409"/>
      <c r="BD197" s="409"/>
      <c r="BE197" s="409"/>
      <c r="BF197" s="409"/>
      <c r="BG197" s="409"/>
      <c r="BH197" s="409"/>
      <c r="BI197" s="266"/>
      <c r="BJ197" s="265"/>
    </row>
    <row r="198" spans="1:78" ht="13.95" customHeight="1">
      <c r="A198" s="265"/>
      <c r="B198" s="289"/>
      <c r="C198" s="289"/>
      <c r="D198" s="409"/>
      <c r="E198" s="409"/>
      <c r="F198" s="409"/>
      <c r="G198" s="409"/>
      <c r="H198" s="409"/>
      <c r="I198" s="409"/>
      <c r="J198" s="409"/>
      <c r="K198" s="409"/>
      <c r="L198" s="409"/>
      <c r="M198" s="409"/>
      <c r="N198" s="409"/>
      <c r="O198" s="409"/>
      <c r="P198" s="409"/>
      <c r="Q198" s="409"/>
      <c r="R198" s="409"/>
      <c r="S198" s="409"/>
      <c r="T198" s="409"/>
      <c r="U198" s="409"/>
      <c r="V198" s="409"/>
      <c r="W198" s="771"/>
      <c r="X198" s="771"/>
      <c r="Y198" s="771"/>
      <c r="Z198" s="771"/>
      <c r="AA198" s="771"/>
      <c r="AB198" s="771"/>
      <c r="AC198" s="338"/>
      <c r="AD198" s="551"/>
      <c r="AE198" s="551"/>
      <c r="AF198" s="338"/>
      <c r="AG198" s="501"/>
      <c r="AH198" s="296"/>
      <c r="AI198" s="296"/>
      <c r="AJ198" s="296"/>
      <c r="AK198" s="296"/>
      <c r="AL198" s="296"/>
      <c r="AM198" s="296"/>
      <c r="AN198" s="296"/>
      <c r="AO198" s="296"/>
      <c r="AP198" s="510"/>
      <c r="AQ198" s="510"/>
      <c r="AR198" s="510"/>
      <c r="AS198" s="510"/>
      <c r="AT198" s="510"/>
      <c r="AU198" s="510"/>
      <c r="AV198" s="510"/>
      <c r="AW198" s="510"/>
      <c r="AX198" s="510"/>
      <c r="AY198" s="510"/>
      <c r="AZ198" s="510"/>
      <c r="BA198" s="510"/>
      <c r="BB198" s="510"/>
      <c r="BC198" s="510"/>
      <c r="BD198" s="510"/>
      <c r="BE198" s="409"/>
      <c r="BF198" s="409"/>
      <c r="BG198" s="409"/>
      <c r="BH198" s="409"/>
      <c r="BI198" s="266"/>
      <c r="BJ198" s="265"/>
    </row>
    <row r="199" spans="1:78" ht="13.95" customHeight="1">
      <c r="A199" s="265"/>
      <c r="B199" s="289"/>
      <c r="C199" s="289"/>
      <c r="D199" s="409"/>
      <c r="E199" s="409"/>
      <c r="F199" s="409"/>
      <c r="G199" s="409"/>
      <c r="H199" s="409"/>
      <c r="I199" s="409"/>
      <c r="J199" s="409"/>
      <c r="K199" s="409"/>
      <c r="L199" s="409"/>
      <c r="M199" s="409"/>
      <c r="N199" s="409"/>
      <c r="O199" s="409"/>
      <c r="P199" s="409"/>
      <c r="Q199" s="409"/>
      <c r="R199" s="409"/>
      <c r="S199" s="409"/>
      <c r="T199" s="409"/>
      <c r="U199" s="409"/>
      <c r="V199" s="409"/>
      <c r="W199" s="289"/>
      <c r="X199" s="13"/>
      <c r="Y199" s="13"/>
      <c r="Z199" s="13"/>
      <c r="AA199" s="13"/>
      <c r="AB199" s="13"/>
      <c r="AC199" s="559"/>
      <c r="AD199" s="560"/>
      <c r="AE199" s="560"/>
      <c r="AF199" s="559"/>
      <c r="AG199" s="559"/>
      <c r="AH199" s="561"/>
      <c r="AI199" s="561"/>
      <c r="AJ199" s="561"/>
      <c r="AK199" s="561"/>
      <c r="AL199" s="561"/>
      <c r="AM199" s="561"/>
      <c r="AN199" s="561"/>
      <c r="AO199" s="561"/>
      <c r="AP199" s="509"/>
      <c r="AQ199" s="509"/>
      <c r="AR199" s="509"/>
      <c r="AS199" s="509"/>
      <c r="AT199" s="509"/>
      <c r="AU199" s="509"/>
      <c r="AV199" s="509"/>
      <c r="AW199" s="509"/>
      <c r="AX199" s="509"/>
      <c r="AY199" s="509"/>
      <c r="AZ199" s="509"/>
      <c r="BA199" s="509"/>
      <c r="BB199" s="509"/>
      <c r="BC199" s="509"/>
      <c r="BD199" s="509"/>
      <c r="BE199" s="409"/>
      <c r="BF199" s="409"/>
      <c r="BG199" s="409"/>
      <c r="BH199" s="409"/>
      <c r="BI199" s="266"/>
      <c r="BJ199" s="265"/>
    </row>
    <row r="200" spans="1:78">
      <c r="A200" s="265"/>
      <c r="B200" s="289"/>
      <c r="C200" s="289"/>
      <c r="D200" s="409"/>
      <c r="E200" s="409"/>
      <c r="F200" s="409"/>
      <c r="G200" s="409"/>
      <c r="H200" s="409"/>
      <c r="I200" s="409"/>
      <c r="J200" s="409"/>
      <c r="K200" s="409"/>
      <c r="L200" s="409"/>
      <c r="M200" s="409"/>
      <c r="N200" s="409"/>
      <c r="O200" s="409"/>
      <c r="P200" s="409"/>
      <c r="Q200" s="409"/>
      <c r="R200" s="409"/>
      <c r="S200" s="409"/>
      <c r="T200" s="409"/>
      <c r="U200" s="409"/>
      <c r="V200" s="409"/>
      <c r="W200" s="289"/>
      <c r="X200" s="289"/>
      <c r="Y200" s="289"/>
      <c r="Z200" s="289"/>
      <c r="AA200" s="289"/>
      <c r="AB200" s="289"/>
      <c r="AC200" s="289"/>
      <c r="AD200" s="707"/>
      <c r="AE200" s="506"/>
      <c r="AF200" s="289"/>
      <c r="AG200" s="13"/>
      <c r="AH200" s="289"/>
      <c r="AI200" s="289"/>
      <c r="AJ200" s="289"/>
      <c r="AK200" s="289"/>
      <c r="AL200" s="289"/>
      <c r="AM200" s="707"/>
      <c r="AN200" s="289"/>
      <c r="AO200" s="289"/>
      <c r="AP200" s="409"/>
      <c r="AQ200" s="409"/>
      <c r="AR200" s="409"/>
      <c r="AS200" s="409"/>
      <c r="AT200" s="409"/>
      <c r="AU200" s="409"/>
      <c r="AV200" s="409"/>
      <c r="AW200" s="409"/>
      <c r="AX200" s="409"/>
      <c r="AY200" s="409"/>
      <c r="AZ200" s="409"/>
      <c r="BA200" s="409"/>
      <c r="BB200" s="409"/>
      <c r="BC200" s="409"/>
      <c r="BD200" s="409"/>
      <c r="BE200" s="409"/>
      <c r="BF200" s="409"/>
      <c r="BG200" s="409"/>
      <c r="BH200" s="409"/>
      <c r="BI200" s="266"/>
      <c r="BJ200" s="265"/>
    </row>
    <row r="201" spans="1:78" ht="13.95" customHeight="1">
      <c r="A201" s="265"/>
      <c r="B201" s="289"/>
      <c r="C201" s="289"/>
      <c r="D201" s="409"/>
      <c r="E201" s="409"/>
      <c r="F201" s="409"/>
      <c r="G201" s="409"/>
      <c r="H201" s="409"/>
      <c r="I201" s="409"/>
      <c r="J201" s="409"/>
      <c r="K201" s="409"/>
      <c r="L201" s="409"/>
      <c r="M201" s="409"/>
      <c r="N201" s="409"/>
      <c r="O201" s="409"/>
      <c r="P201" s="409"/>
      <c r="Q201" s="409"/>
      <c r="R201" s="409"/>
      <c r="S201" s="409"/>
      <c r="T201" s="409"/>
      <c r="U201" s="409"/>
      <c r="V201" s="409"/>
      <c r="W201" s="289"/>
      <c r="X201" s="496" t="s">
        <v>54</v>
      </c>
      <c r="Y201" s="13"/>
      <c r="Z201" s="13"/>
      <c r="AA201" s="13"/>
      <c r="AB201" s="13"/>
      <c r="AC201" s="763">
        <f>AB203</f>
        <v>6</v>
      </c>
      <c r="AD201" s="769">
        <f>VLOOKUP(X201,rozdzial,4,0)*AC201</f>
        <v>2754</v>
      </c>
      <c r="AE201" s="769"/>
      <c r="AF201" s="282"/>
      <c r="AG201" s="13"/>
      <c r="AH201" s="496" t="s">
        <v>56</v>
      </c>
      <c r="AI201" s="13"/>
      <c r="AJ201" s="13"/>
      <c r="AK201" s="13"/>
      <c r="AL201" s="763">
        <f>AK203</f>
        <v>4</v>
      </c>
      <c r="AM201" s="769">
        <f>VLOOKUP(AH201,rozdzial,4,0)*AL201</f>
        <v>816</v>
      </c>
      <c r="AN201" s="769"/>
      <c r="AO201" s="289"/>
      <c r="AP201" s="409"/>
      <c r="AQ201" s="409"/>
      <c r="AR201" s="409"/>
      <c r="AS201" s="409"/>
      <c r="AT201" s="409"/>
      <c r="AU201" s="409"/>
      <c r="AV201" s="409"/>
      <c r="AW201" s="409"/>
      <c r="AX201" s="409"/>
      <c r="AY201" s="409"/>
      <c r="AZ201" s="409"/>
      <c r="BA201" s="409"/>
      <c r="BB201" s="409"/>
      <c r="BC201" s="409"/>
      <c r="BD201" s="409"/>
      <c r="BE201" s="409"/>
      <c r="BF201" s="409"/>
      <c r="BG201" s="409"/>
      <c r="BH201" s="409"/>
      <c r="BI201" s="266"/>
      <c r="BJ201" s="265"/>
    </row>
    <row r="202" spans="1:78" ht="13.95" customHeight="1">
      <c r="A202" s="265"/>
      <c r="B202" s="289"/>
      <c r="C202" s="289"/>
      <c r="D202" s="409"/>
      <c r="E202" s="409"/>
      <c r="F202" s="409"/>
      <c r="G202" s="409"/>
      <c r="H202" s="409"/>
      <c r="I202" s="409"/>
      <c r="J202" s="409"/>
      <c r="K202" s="409"/>
      <c r="L202" s="409"/>
      <c r="M202" s="409"/>
      <c r="N202" s="409"/>
      <c r="O202" s="409"/>
      <c r="P202" s="409"/>
      <c r="Q202" s="409"/>
      <c r="R202" s="409"/>
      <c r="S202" s="409"/>
      <c r="T202" s="409"/>
      <c r="U202" s="409"/>
      <c r="V202" s="409"/>
      <c r="W202" s="289"/>
      <c r="X202" s="490" t="s">
        <v>477</v>
      </c>
      <c r="Y202" s="488"/>
      <c r="Z202" s="488"/>
      <c r="AA202" s="488"/>
      <c r="AB202" s="488"/>
      <c r="AC202" s="763"/>
      <c r="AD202" s="502"/>
      <c r="AE202" s="503"/>
      <c r="AF202" s="340"/>
      <c r="AG202" s="13"/>
      <c r="AH202" s="490" t="s">
        <v>481</v>
      </c>
      <c r="AI202" s="488"/>
      <c r="AJ202" s="488"/>
      <c r="AK202" s="488"/>
      <c r="AL202" s="763"/>
      <c r="AM202" s="541"/>
      <c r="AN202" s="289"/>
      <c r="AO202" s="289"/>
      <c r="AP202" s="409"/>
      <c r="AQ202" s="409"/>
      <c r="AR202" s="409"/>
      <c r="AS202" s="409"/>
      <c r="AT202" s="409"/>
      <c r="AU202" s="409"/>
      <c r="AV202" s="409"/>
      <c r="AW202" s="409"/>
      <c r="AX202" s="409"/>
      <c r="AY202" s="409"/>
      <c r="AZ202" s="409"/>
      <c r="BA202" s="409"/>
      <c r="BB202" s="409"/>
      <c r="BC202" s="409"/>
      <c r="BD202" s="409"/>
      <c r="BE202" s="409"/>
      <c r="BF202" s="409"/>
      <c r="BG202" s="409"/>
      <c r="BH202" s="409"/>
      <c r="BI202" s="266"/>
      <c r="BJ202" s="265"/>
      <c r="BZ202" s="368"/>
    </row>
    <row r="203" spans="1:78" ht="13.95" customHeight="1">
      <c r="A203" s="265"/>
      <c r="B203" s="289"/>
      <c r="C203" s="289"/>
      <c r="D203" s="409"/>
      <c r="E203" s="409"/>
      <c r="F203" s="409"/>
      <c r="G203" s="409"/>
      <c r="H203" s="409"/>
      <c r="I203" s="409"/>
      <c r="J203" s="409"/>
      <c r="K203" s="409"/>
      <c r="L203" s="409"/>
      <c r="M203" s="409"/>
      <c r="N203" s="409"/>
      <c r="O203" s="409"/>
      <c r="P203" s="409"/>
      <c r="Q203" s="409"/>
      <c r="R203" s="409"/>
      <c r="S203" s="409"/>
      <c r="T203" s="409"/>
      <c r="U203" s="409"/>
      <c r="V203" s="409"/>
      <c r="W203" s="289"/>
      <c r="X203" s="334">
        <f>VLOOKUP(X201,rozdzial,3,0)</f>
        <v>7546070</v>
      </c>
      <c r="Y203" s="562">
        <f>VLOOKUP(X201,rozdzial,4,0)</f>
        <v>459</v>
      </c>
      <c r="Z203" s="13"/>
      <c r="AA203" s="706"/>
      <c r="AB203" s="570">
        <v>6</v>
      </c>
      <c r="AC203" s="13"/>
      <c r="AD203" s="507"/>
      <c r="AE203" s="503"/>
      <c r="AF203" s="342"/>
      <c r="AG203" s="13"/>
      <c r="AH203" s="334">
        <f>VLOOKUP(AH201,rozdzial,3,0)</f>
        <v>7546071</v>
      </c>
      <c r="AI203" s="562">
        <f>VLOOKUP(AH201,rozdzial,4,0)</f>
        <v>204</v>
      </c>
      <c r="AJ203" s="489"/>
      <c r="AK203" s="571">
        <v>4</v>
      </c>
      <c r="AL203" s="13"/>
      <c r="AM203" s="541"/>
      <c r="AN203" s="289"/>
      <c r="AO203" s="289"/>
      <c r="AP203" s="409"/>
      <c r="AQ203" s="409"/>
      <c r="AR203" s="409"/>
      <c r="AS203" s="409"/>
      <c r="AT203" s="409"/>
      <c r="AU203" s="409"/>
      <c r="AV203" s="409"/>
      <c r="AW203" s="409"/>
      <c r="AX203" s="409"/>
      <c r="AY203" s="409"/>
      <c r="AZ203" s="409"/>
      <c r="BA203" s="409"/>
      <c r="BB203" s="409"/>
      <c r="BC203" s="409"/>
      <c r="BD203" s="409"/>
      <c r="BE203" s="409"/>
      <c r="BF203" s="409"/>
      <c r="BG203" s="409"/>
      <c r="BH203" s="409"/>
      <c r="BI203" s="266"/>
      <c r="BJ203" s="265"/>
    </row>
    <row r="204" spans="1:78" ht="13.95" customHeight="1">
      <c r="A204" s="265"/>
      <c r="B204" s="289"/>
      <c r="C204" s="289"/>
      <c r="D204" s="409"/>
      <c r="E204" s="409"/>
      <c r="F204" s="409"/>
      <c r="G204" s="409"/>
      <c r="H204" s="409"/>
      <c r="I204" s="409"/>
      <c r="J204" s="409"/>
      <c r="K204" s="409"/>
      <c r="L204" s="409"/>
      <c r="M204" s="409"/>
      <c r="N204" s="409"/>
      <c r="O204" s="409"/>
      <c r="P204" s="409"/>
      <c r="Q204" s="409"/>
      <c r="R204" s="409"/>
      <c r="S204" s="409"/>
      <c r="T204" s="409"/>
      <c r="U204" s="409"/>
      <c r="V204" s="409"/>
      <c r="W204" s="289"/>
      <c r="X204" s="13"/>
      <c r="Y204" s="13"/>
      <c r="Z204" s="13"/>
      <c r="AA204" s="13"/>
      <c r="AB204" s="13"/>
      <c r="AC204" s="13"/>
      <c r="AD204" s="503"/>
      <c r="AE204" s="503"/>
      <c r="AF204" s="13"/>
      <c r="AG204" s="13"/>
      <c r="AH204" s="289"/>
      <c r="AI204" s="289"/>
      <c r="AJ204" s="289"/>
      <c r="AK204" s="289"/>
      <c r="AL204" s="289"/>
      <c r="AM204" s="289"/>
      <c r="AN204" s="289"/>
      <c r="AO204" s="289"/>
      <c r="AP204" s="409"/>
      <c r="AQ204" s="409"/>
      <c r="AR204" s="409"/>
      <c r="AS204" s="409"/>
      <c r="AT204" s="409"/>
      <c r="AU204" s="409"/>
      <c r="AV204" s="409"/>
      <c r="AW204" s="409"/>
      <c r="AX204" s="409"/>
      <c r="AY204" s="409"/>
      <c r="AZ204" s="409"/>
      <c r="BA204" s="409"/>
      <c r="BB204" s="409"/>
      <c r="BC204" s="409"/>
      <c r="BD204" s="409"/>
      <c r="BE204" s="409"/>
      <c r="BF204" s="409"/>
      <c r="BG204" s="409"/>
      <c r="BH204" s="409"/>
      <c r="BI204" s="266"/>
      <c r="BJ204" s="265"/>
    </row>
    <row r="205" spans="1:78">
      <c r="A205" s="265"/>
      <c r="B205" s="289"/>
      <c r="C205" s="289"/>
      <c r="D205" s="409"/>
      <c r="E205" s="409"/>
      <c r="F205" s="409"/>
      <c r="G205" s="409"/>
      <c r="H205" s="409"/>
      <c r="I205" s="409"/>
      <c r="J205" s="409"/>
      <c r="K205" s="409"/>
      <c r="L205" s="409"/>
      <c r="M205" s="409"/>
      <c r="N205" s="409"/>
      <c r="O205" s="409"/>
      <c r="P205" s="409"/>
      <c r="Q205" s="409"/>
      <c r="R205" s="409"/>
      <c r="S205" s="409"/>
      <c r="T205" s="409"/>
      <c r="U205" s="409"/>
      <c r="V205" s="409"/>
      <c r="W205" s="289"/>
      <c r="X205" s="289"/>
      <c r="Y205" s="289"/>
      <c r="Z205" s="289"/>
      <c r="AA205" s="289"/>
      <c r="AB205" s="289"/>
      <c r="AC205" s="289"/>
      <c r="AD205" s="707"/>
      <c r="AE205" s="506"/>
      <c r="AF205" s="289"/>
      <c r="AG205" s="13"/>
      <c r="AH205" s="289"/>
      <c r="AI205" s="289"/>
      <c r="AJ205" s="289"/>
      <c r="AK205" s="289"/>
      <c r="AL205" s="289"/>
      <c r="AM205" s="707"/>
      <c r="AN205" s="289"/>
      <c r="AO205" s="289"/>
      <c r="AP205" s="409"/>
      <c r="AQ205" s="409"/>
      <c r="AR205" s="409"/>
      <c r="AS205" s="409"/>
      <c r="AT205" s="409"/>
      <c r="AU205" s="409"/>
      <c r="AV205" s="409"/>
      <c r="AW205" s="409"/>
      <c r="AX205" s="409"/>
      <c r="AY205" s="409"/>
      <c r="AZ205" s="409"/>
      <c r="BA205" s="409"/>
      <c r="BB205" s="409"/>
      <c r="BC205" s="409"/>
      <c r="BD205" s="409"/>
      <c r="BE205" s="409"/>
      <c r="BF205" s="409"/>
      <c r="BG205" s="409"/>
      <c r="BH205" s="409"/>
      <c r="BI205" s="266"/>
      <c r="BJ205" s="265"/>
    </row>
    <row r="206" spans="1:78" ht="13.95" customHeight="1">
      <c r="A206" s="265"/>
      <c r="B206" s="289"/>
      <c r="C206" s="289"/>
      <c r="D206" s="409"/>
      <c r="E206" s="409"/>
      <c r="F206" s="409"/>
      <c r="G206" s="409"/>
      <c r="H206" s="409"/>
      <c r="I206" s="409"/>
      <c r="J206" s="409"/>
      <c r="K206" s="409"/>
      <c r="L206" s="409"/>
      <c r="M206" s="409"/>
      <c r="N206" s="409"/>
      <c r="O206" s="409"/>
      <c r="P206" s="409"/>
      <c r="Q206" s="409"/>
      <c r="R206" s="409"/>
      <c r="S206" s="409"/>
      <c r="T206" s="409"/>
      <c r="U206" s="409"/>
      <c r="V206" s="409"/>
      <c r="W206" s="289"/>
      <c r="X206" s="496" t="s">
        <v>405</v>
      </c>
      <c r="Y206" s="13"/>
      <c r="Z206" s="13"/>
      <c r="AA206" s="13"/>
      <c r="AB206" s="13"/>
      <c r="AC206" s="763">
        <v>2</v>
      </c>
      <c r="AD206" s="769">
        <f>VLOOKUP(X206,rozdzial,4,0)*AC206</f>
        <v>616</v>
      </c>
      <c r="AE206" s="769"/>
      <c r="AF206" s="282"/>
      <c r="AG206" s="13"/>
      <c r="AH206" s="496" t="str">
        <f>IF(Obliczenia!Y57="Vitovent 300-W 325m3/h lewa","Mufa/redukcja 200/150",IF(Obliczenia!Y57="Vitovent 300-W 325m3/h prawa","Mufa/redukcja 200/150",IF(Obliczenia!Y57="Vitovent 300-W 400m3/h lewa","Mufa/redukcja 200/180",IF(Obliczenia!Y57="Vitovent 300-W 400m3/h prawa","Mufa/redukcja 200/180",IF(Obliczenia!Y57="Vitovent 300-W 225m3/h lewa","Mufa/redukcja 200/125",IF(Obliczenia!Y57="Vitovent 300-W 225m3/h prawa","Mufa/redukcja 200/125","Mufa/redukcja 200/150"))))))</f>
        <v>Mufa/redukcja 200/180</v>
      </c>
      <c r="AI206" s="13"/>
      <c r="AJ206" s="13"/>
      <c r="AK206" s="13"/>
      <c r="AL206" s="763">
        <v>4</v>
      </c>
      <c r="AM206" s="769">
        <f>VLOOKUP(AH206,rozdzial,4,0)*AL206</f>
        <v>336</v>
      </c>
      <c r="AN206" s="769"/>
      <c r="AO206" s="289"/>
      <c r="AP206" s="409"/>
      <c r="AQ206" s="409"/>
      <c r="AR206" s="409"/>
      <c r="AS206" s="409"/>
      <c r="AT206" s="409"/>
      <c r="AU206" s="409"/>
      <c r="AV206" s="409"/>
      <c r="AW206" s="409"/>
      <c r="AX206" s="409"/>
      <c r="AY206" s="409"/>
      <c r="AZ206" s="409"/>
      <c r="BA206" s="409"/>
      <c r="BB206" s="409"/>
      <c r="BC206" s="409"/>
      <c r="BD206" s="409"/>
      <c r="BE206" s="409"/>
      <c r="BF206" s="409"/>
      <c r="BG206" s="409"/>
      <c r="BH206" s="409"/>
      <c r="BI206" s="266"/>
      <c r="BJ206" s="265"/>
    </row>
    <row r="207" spans="1:78" ht="13.95" customHeight="1">
      <c r="A207" s="265"/>
      <c r="B207" s="289"/>
      <c r="C207" s="289"/>
      <c r="D207" s="409"/>
      <c r="E207" s="409"/>
      <c r="F207" s="409"/>
      <c r="G207" s="409"/>
      <c r="H207" s="409"/>
      <c r="I207" s="409"/>
      <c r="J207" s="409"/>
      <c r="K207" s="409"/>
      <c r="L207" s="409"/>
      <c r="M207" s="409"/>
      <c r="N207" s="409"/>
      <c r="O207" s="409"/>
      <c r="P207" s="409"/>
      <c r="Q207" s="409"/>
      <c r="R207" s="409"/>
      <c r="S207" s="409"/>
      <c r="T207" s="409"/>
      <c r="U207" s="409"/>
      <c r="V207" s="409"/>
      <c r="W207" s="289"/>
      <c r="X207" s="490" t="s">
        <v>475</v>
      </c>
      <c r="Y207" s="488"/>
      <c r="Z207" s="488"/>
      <c r="AA207" s="488"/>
      <c r="AB207" s="488"/>
      <c r="AC207" s="763"/>
      <c r="AD207" s="502"/>
      <c r="AE207" s="503"/>
      <c r="AF207" s="340"/>
      <c r="AG207" s="13"/>
      <c r="AH207" s="490" t="s">
        <v>476</v>
      </c>
      <c r="AI207" s="488"/>
      <c r="AJ207" s="488"/>
      <c r="AK207" s="488"/>
      <c r="AL207" s="763"/>
      <c r="AM207" s="289"/>
      <c r="AN207" s="289"/>
      <c r="AO207" s="289"/>
      <c r="AP207" s="409"/>
      <c r="AQ207" s="409"/>
      <c r="AR207" s="409"/>
      <c r="AS207" s="409"/>
      <c r="AT207" s="409"/>
      <c r="AU207" s="409"/>
      <c r="AV207" s="409"/>
      <c r="AW207" s="409"/>
      <c r="AX207" s="409"/>
      <c r="AY207" s="409"/>
      <c r="AZ207" s="409"/>
      <c r="BA207" s="409"/>
      <c r="BB207" s="409"/>
      <c r="BC207" s="409"/>
      <c r="BD207" s="409"/>
      <c r="BE207" s="409"/>
      <c r="BF207" s="409"/>
      <c r="BG207" s="409"/>
      <c r="BH207" s="409"/>
      <c r="BI207" s="266"/>
      <c r="BJ207" s="265"/>
    </row>
    <row r="208" spans="1:78" ht="13.95" customHeight="1">
      <c r="A208" s="265"/>
      <c r="B208" s="289"/>
      <c r="C208" s="289"/>
      <c r="D208" s="409"/>
      <c r="E208" s="409"/>
      <c r="F208" s="409"/>
      <c r="G208" s="409"/>
      <c r="H208" s="409"/>
      <c r="I208" s="409"/>
      <c r="J208" s="409"/>
      <c r="K208" s="409"/>
      <c r="L208" s="409"/>
      <c r="M208" s="409"/>
      <c r="N208" s="409"/>
      <c r="O208" s="409"/>
      <c r="P208" s="409"/>
      <c r="Q208" s="409"/>
      <c r="R208" s="409"/>
      <c r="S208" s="409"/>
      <c r="T208" s="409"/>
      <c r="U208" s="409"/>
      <c r="V208" s="409"/>
      <c r="W208" s="289"/>
      <c r="X208" s="334">
        <f>VLOOKUP(X206,rozdzial,3,0)</f>
        <v>7663729</v>
      </c>
      <c r="Y208" s="562">
        <f>VLOOKUP(X206,rozdzial,4,0)</f>
        <v>308</v>
      </c>
      <c r="Z208" s="13"/>
      <c r="AA208" s="486"/>
      <c r="AB208" s="487"/>
      <c r="AC208" s="13"/>
      <c r="AD208" s="507"/>
      <c r="AE208" s="503"/>
      <c r="AF208" s="342"/>
      <c r="AG208" s="13"/>
      <c r="AH208" s="334">
        <f>VLOOKUP(AH206,rozdzial,3,0)</f>
        <v>7546074</v>
      </c>
      <c r="AI208" s="562">
        <f>VLOOKUP(AH206,rozdzial,4,0)</f>
        <v>84</v>
      </c>
      <c r="AJ208" s="13"/>
      <c r="AK208" s="486"/>
      <c r="AL208" s="13"/>
      <c r="AM208" s="289"/>
      <c r="AN208" s="289"/>
      <c r="AO208" s="289"/>
      <c r="AP208" s="409"/>
      <c r="AQ208" s="409"/>
      <c r="AR208" s="409"/>
      <c r="AS208" s="409"/>
      <c r="AT208" s="409"/>
      <c r="AU208" s="409"/>
      <c r="AV208" s="409"/>
      <c r="AW208" s="409"/>
      <c r="AX208" s="409"/>
      <c r="AY208" s="409"/>
      <c r="AZ208" s="409"/>
      <c r="BA208" s="409"/>
      <c r="BB208" s="409"/>
      <c r="BC208" s="409"/>
      <c r="BD208" s="409"/>
      <c r="BE208" s="409"/>
      <c r="BF208" s="409"/>
      <c r="BG208" s="409"/>
      <c r="BH208" s="409"/>
      <c r="BI208" s="266"/>
      <c r="BJ208" s="265"/>
    </row>
    <row r="209" spans="1:62" ht="13.95" customHeight="1">
      <c r="A209" s="265"/>
      <c r="B209" s="289"/>
      <c r="C209" s="289"/>
      <c r="D209" s="409"/>
      <c r="E209" s="409"/>
      <c r="F209" s="409"/>
      <c r="G209" s="409"/>
      <c r="H209" s="409"/>
      <c r="I209" s="409"/>
      <c r="J209" s="409"/>
      <c r="K209" s="409"/>
      <c r="L209" s="409"/>
      <c r="M209" s="409"/>
      <c r="N209" s="409"/>
      <c r="O209" s="409"/>
      <c r="P209" s="409"/>
      <c r="Q209" s="409"/>
      <c r="R209" s="409"/>
      <c r="S209" s="409"/>
      <c r="T209" s="409"/>
      <c r="U209" s="409"/>
      <c r="V209" s="409"/>
      <c r="W209" s="289"/>
      <c r="X209" s="13"/>
      <c r="Y209" s="13"/>
      <c r="Z209" s="13"/>
      <c r="AA209" s="13"/>
      <c r="AB209" s="13"/>
      <c r="AC209" s="13"/>
      <c r="AD209" s="503"/>
      <c r="AE209" s="503"/>
      <c r="AF209" s="13"/>
      <c r="AG209" s="13"/>
      <c r="AH209" s="289"/>
      <c r="AI209" s="289"/>
      <c r="AJ209" s="289"/>
      <c r="AK209" s="289"/>
      <c r="AL209" s="289"/>
      <c r="AM209" s="289"/>
      <c r="AN209" s="289"/>
      <c r="AO209" s="289"/>
      <c r="AP209" s="409"/>
      <c r="AQ209" s="409"/>
      <c r="AR209" s="409"/>
      <c r="AS209" s="409"/>
      <c r="AT209" s="409"/>
      <c r="AU209" s="409"/>
      <c r="AV209" s="409"/>
      <c r="AW209" s="409"/>
      <c r="AX209" s="409"/>
      <c r="AY209" s="409"/>
      <c r="AZ209" s="409"/>
      <c r="BA209" s="409"/>
      <c r="BB209" s="409"/>
      <c r="BC209" s="409"/>
      <c r="BD209" s="409"/>
      <c r="BE209" s="409"/>
      <c r="BF209" s="409"/>
      <c r="BG209" s="409"/>
      <c r="BH209" s="409"/>
      <c r="BI209" s="266"/>
      <c r="BJ209" s="265"/>
    </row>
    <row r="210" spans="1:62" hidden="1">
      <c r="A210" s="265"/>
      <c r="B210" s="289"/>
      <c r="C210" s="289"/>
      <c r="D210" s="409"/>
      <c r="E210" s="409"/>
      <c r="F210" s="409"/>
      <c r="G210" s="409"/>
      <c r="H210" s="409"/>
      <c r="I210" s="409"/>
      <c r="J210" s="409"/>
      <c r="K210" s="409"/>
      <c r="L210" s="409"/>
      <c r="M210" s="409"/>
      <c r="N210" s="409"/>
      <c r="O210" s="409"/>
      <c r="P210" s="409"/>
      <c r="Q210" s="409"/>
      <c r="R210" s="409"/>
      <c r="S210" s="409"/>
      <c r="T210" s="409"/>
      <c r="U210" s="409"/>
      <c r="V210" s="409"/>
      <c r="W210" s="289"/>
      <c r="X210" s="289"/>
      <c r="Y210" s="289"/>
      <c r="Z210" s="289"/>
      <c r="AA210" s="289"/>
      <c r="AB210" s="289"/>
      <c r="AC210" s="289"/>
      <c r="AD210" s="506"/>
      <c r="AE210" s="506"/>
      <c r="AF210" s="289"/>
      <c r="AG210" s="13"/>
      <c r="AH210" s="289"/>
      <c r="AI210" s="289"/>
      <c r="AJ210" s="289"/>
      <c r="AK210" s="289"/>
      <c r="AL210" s="289">
        <v>1</v>
      </c>
      <c r="AM210" s="289"/>
      <c r="AN210" s="289"/>
      <c r="AO210" s="289"/>
      <c r="AP210" s="409"/>
      <c r="AQ210" s="409"/>
      <c r="AR210" s="409"/>
      <c r="AS210" s="409"/>
      <c r="AT210" s="409"/>
      <c r="AU210" s="409"/>
      <c r="AV210" s="409"/>
      <c r="AW210" s="409"/>
      <c r="AX210" s="409"/>
      <c r="AY210" s="409"/>
      <c r="AZ210" s="409"/>
      <c r="BA210" s="409"/>
      <c r="BB210" s="409"/>
      <c r="BC210" s="409"/>
      <c r="BD210" s="409"/>
      <c r="BE210" s="409"/>
      <c r="BF210" s="409"/>
      <c r="BG210" s="409"/>
      <c r="BH210" s="409"/>
      <c r="BI210" s="266"/>
      <c r="BJ210" s="265"/>
    </row>
    <row r="211" spans="1:62" ht="13.95" hidden="1" customHeight="1">
      <c r="A211" s="265"/>
      <c r="B211" s="289"/>
      <c r="C211" s="289"/>
      <c r="D211" s="409"/>
      <c r="E211" s="409"/>
      <c r="F211" s="409"/>
      <c r="G211" s="409"/>
      <c r="H211" s="409"/>
      <c r="I211" s="409"/>
      <c r="J211" s="409"/>
      <c r="K211" s="409"/>
      <c r="L211" s="409"/>
      <c r="M211" s="409"/>
      <c r="N211" s="409"/>
      <c r="O211" s="409"/>
      <c r="P211" s="409"/>
      <c r="Q211" s="409"/>
      <c r="R211" s="409"/>
      <c r="S211" s="409"/>
      <c r="T211" s="409"/>
      <c r="U211" s="409"/>
      <c r="V211" s="409"/>
      <c r="W211" s="289"/>
      <c r="AC211" s="786"/>
      <c r="AD211" s="785"/>
      <c r="AE211" s="785"/>
      <c r="AF211" s="282"/>
      <c r="AG211" s="13"/>
      <c r="AH211" s="289"/>
      <c r="AI211" s="289"/>
      <c r="AJ211" s="289"/>
      <c r="AK211" s="289"/>
      <c r="AL211" s="289"/>
      <c r="AM211" s="289"/>
      <c r="AN211" s="289"/>
      <c r="AO211" s="289"/>
      <c r="AP211" s="409"/>
      <c r="AQ211" s="409"/>
      <c r="AR211" s="409"/>
      <c r="AS211" s="409"/>
      <c r="AT211" s="409"/>
      <c r="AU211" s="409"/>
      <c r="AV211" s="409"/>
      <c r="AW211" s="409"/>
      <c r="AX211" s="409"/>
      <c r="AY211" s="409"/>
      <c r="AZ211" s="409"/>
      <c r="BA211" s="409"/>
      <c r="BB211" s="409"/>
      <c r="BC211" s="409"/>
      <c r="BD211" s="409"/>
      <c r="BE211" s="409"/>
      <c r="BF211" s="409"/>
      <c r="BG211" s="409"/>
      <c r="BH211" s="409"/>
      <c r="BI211" s="266"/>
      <c r="BJ211" s="265"/>
    </row>
    <row r="212" spans="1:62" ht="13.95" hidden="1" customHeight="1">
      <c r="A212" s="265"/>
      <c r="B212" s="289"/>
      <c r="C212" s="289"/>
      <c r="D212" s="409"/>
      <c r="E212" s="409"/>
      <c r="F212" s="409"/>
      <c r="G212" s="409"/>
      <c r="H212" s="409"/>
      <c r="I212" s="409"/>
      <c r="J212" s="409"/>
      <c r="K212" s="409"/>
      <c r="L212" s="409"/>
      <c r="M212" s="409"/>
      <c r="N212" s="409"/>
      <c r="O212" s="409"/>
      <c r="P212" s="409"/>
      <c r="Q212" s="409"/>
      <c r="R212" s="409"/>
      <c r="S212" s="409"/>
      <c r="T212" s="409"/>
      <c r="U212" s="409"/>
      <c r="V212" s="409"/>
      <c r="W212" s="289"/>
      <c r="X212" s="542"/>
      <c r="Y212" s="543"/>
      <c r="Z212" s="543"/>
      <c r="AA212" s="543"/>
      <c r="AB212" s="543"/>
      <c r="AC212" s="786"/>
      <c r="AD212" s="502"/>
      <c r="AE212" s="502"/>
      <c r="AF212" s="340"/>
      <c r="AG212" s="13"/>
      <c r="AH212" s="289"/>
      <c r="AI212" s="289"/>
      <c r="AJ212" s="289"/>
      <c r="AK212" s="289"/>
      <c r="AL212" s="289"/>
      <c r="AM212" s="289"/>
      <c r="AN212" s="289"/>
      <c r="AO212" s="289"/>
      <c r="AP212" s="409"/>
      <c r="AQ212" s="409"/>
      <c r="AR212" s="409"/>
      <c r="AS212" s="409"/>
      <c r="AT212" s="409"/>
      <c r="AU212" s="409"/>
      <c r="AV212" s="409"/>
      <c r="AW212" s="409"/>
      <c r="AX212" s="409"/>
      <c r="AY212" s="409"/>
      <c r="AZ212" s="409"/>
      <c r="BA212" s="409"/>
      <c r="BB212" s="409"/>
      <c r="BC212" s="409"/>
      <c r="BD212" s="409"/>
      <c r="BE212" s="409"/>
      <c r="BF212" s="409"/>
      <c r="BG212" s="409"/>
      <c r="BH212" s="409"/>
      <c r="BI212" s="266"/>
      <c r="BJ212" s="265"/>
    </row>
    <row r="213" spans="1:62" ht="13.95" hidden="1" customHeight="1">
      <c r="A213" s="265"/>
      <c r="B213" s="289"/>
      <c r="C213" s="289"/>
      <c r="D213" s="409"/>
      <c r="E213" s="409"/>
      <c r="F213" s="409"/>
      <c r="G213" s="409"/>
      <c r="H213" s="409"/>
      <c r="I213" s="409"/>
      <c r="J213" s="409"/>
      <c r="K213" s="409"/>
      <c r="L213" s="409"/>
      <c r="M213" s="409"/>
      <c r="N213" s="409"/>
      <c r="O213" s="409"/>
      <c r="P213" s="409"/>
      <c r="Q213" s="409"/>
      <c r="R213" s="409"/>
      <c r="S213" s="409"/>
      <c r="T213" s="409"/>
      <c r="U213" s="409"/>
      <c r="V213" s="409"/>
      <c r="W213" s="289"/>
      <c r="X213" s="544"/>
      <c r="AA213" s="545"/>
      <c r="AB213" s="546"/>
      <c r="AD213" s="547"/>
      <c r="AE213" s="502"/>
      <c r="AF213" s="342"/>
      <c r="AG213" s="13"/>
      <c r="AH213" s="289"/>
      <c r="AI213" s="289"/>
      <c r="AJ213" s="289"/>
      <c r="AK213" s="289"/>
      <c r="AL213" s="289"/>
      <c r="AM213" s="289"/>
      <c r="AN213" s="289"/>
      <c r="AO213" s="289"/>
      <c r="AP213" s="409"/>
      <c r="AQ213" s="409"/>
      <c r="AR213" s="409"/>
      <c r="AS213" s="409"/>
      <c r="AT213" s="409"/>
      <c r="AU213" s="409"/>
      <c r="AV213" s="409"/>
      <c r="AW213" s="409"/>
      <c r="AX213" s="409"/>
      <c r="AY213" s="409"/>
      <c r="AZ213" s="409"/>
      <c r="BA213" s="409"/>
      <c r="BB213" s="409"/>
      <c r="BC213" s="409"/>
      <c r="BD213" s="409"/>
      <c r="BE213" s="409"/>
      <c r="BF213" s="409"/>
      <c r="BG213" s="409"/>
      <c r="BH213" s="409"/>
      <c r="BI213" s="266"/>
      <c r="BJ213" s="265"/>
    </row>
    <row r="214" spans="1:62" ht="13.95" hidden="1" customHeight="1">
      <c r="A214" s="265"/>
      <c r="B214" s="289"/>
      <c r="C214" s="289"/>
      <c r="D214" s="409"/>
      <c r="E214" s="409"/>
      <c r="F214" s="409"/>
      <c r="G214" s="409"/>
      <c r="H214" s="409"/>
      <c r="I214" s="409"/>
      <c r="J214" s="409"/>
      <c r="K214" s="409"/>
      <c r="L214" s="409"/>
      <c r="M214" s="409"/>
      <c r="N214" s="409"/>
      <c r="O214" s="409"/>
      <c r="P214" s="409"/>
      <c r="Q214" s="409"/>
      <c r="R214" s="409"/>
      <c r="S214" s="409"/>
      <c r="T214" s="409"/>
      <c r="U214" s="409"/>
      <c r="V214" s="409"/>
      <c r="W214" s="289"/>
      <c r="X214" s="13"/>
      <c r="Y214" s="13"/>
      <c r="Z214" s="13"/>
      <c r="AA214" s="13"/>
      <c r="AB214" s="13"/>
      <c r="AC214" s="13"/>
      <c r="AD214" s="503"/>
      <c r="AE214" s="503"/>
      <c r="AF214" s="13"/>
      <c r="AG214" s="13"/>
      <c r="AH214" s="289"/>
      <c r="AI214" s="289"/>
      <c r="AJ214" s="289"/>
      <c r="AK214" s="289"/>
      <c r="AL214" s="289"/>
      <c r="AM214" s="289"/>
      <c r="AN214" s="289"/>
      <c r="AO214" s="289"/>
      <c r="AP214" s="409"/>
      <c r="AQ214" s="409"/>
      <c r="AR214" s="409"/>
      <c r="AS214" s="409"/>
      <c r="AT214" s="409"/>
      <c r="AU214" s="409"/>
      <c r="AV214" s="409"/>
      <c r="AW214" s="409"/>
      <c r="AX214" s="409"/>
      <c r="AY214" s="409"/>
      <c r="AZ214" s="409"/>
      <c r="BA214" s="409"/>
      <c r="BB214" s="409"/>
      <c r="BC214" s="409"/>
      <c r="BD214" s="409"/>
      <c r="BE214" s="409"/>
      <c r="BF214" s="409"/>
      <c r="BG214" s="409"/>
      <c r="BH214" s="409"/>
      <c r="BI214" s="266"/>
      <c r="BJ214" s="265"/>
    </row>
    <row r="215" spans="1:62">
      <c r="A215" s="265"/>
      <c r="B215" s="289"/>
      <c r="C215" s="289"/>
      <c r="D215" s="409"/>
      <c r="E215" s="409"/>
      <c r="F215" s="409"/>
      <c r="G215" s="409"/>
      <c r="H215" s="409"/>
      <c r="I215" s="409"/>
      <c r="J215" s="409"/>
      <c r="K215" s="409"/>
      <c r="L215" s="409"/>
      <c r="M215" s="409"/>
      <c r="N215" s="409"/>
      <c r="O215" s="409"/>
      <c r="P215" s="409"/>
      <c r="Q215" s="409"/>
      <c r="R215" s="409"/>
      <c r="S215" s="409"/>
      <c r="T215" s="409"/>
      <c r="U215" s="409"/>
      <c r="V215" s="409"/>
      <c r="W215" s="289"/>
      <c r="X215" s="289"/>
      <c r="Y215" s="289"/>
      <c r="Z215" s="289"/>
      <c r="AA215" s="289"/>
      <c r="AB215" s="289"/>
      <c r="AC215" s="289"/>
      <c r="AD215" s="506"/>
      <c r="AE215" s="506"/>
      <c r="AF215" s="289"/>
      <c r="AG215" s="420"/>
      <c r="AH215" s="266"/>
      <c r="AI215" s="266"/>
      <c r="AJ215" s="266"/>
      <c r="AK215" s="266"/>
      <c r="AL215" s="266"/>
      <c r="AM215" s="289"/>
      <c r="AN215" s="289"/>
      <c r="AO215" s="289"/>
      <c r="AP215" s="409"/>
      <c r="AQ215" s="409"/>
      <c r="AR215" s="409"/>
      <c r="AS215" s="409"/>
      <c r="AT215" s="409"/>
      <c r="AU215" s="409"/>
      <c r="AV215" s="409"/>
      <c r="AW215" s="409"/>
      <c r="AX215" s="409"/>
      <c r="AY215" s="409"/>
      <c r="AZ215" s="409"/>
      <c r="BA215" s="409"/>
      <c r="BB215" s="409"/>
      <c r="BC215" s="409"/>
      <c r="BD215" s="409"/>
      <c r="BE215" s="409"/>
      <c r="BF215" s="409"/>
      <c r="BG215" s="409"/>
      <c r="BH215" s="409"/>
      <c r="BI215" s="266"/>
      <c r="BJ215" s="265"/>
    </row>
    <row r="216" spans="1:62" ht="14.4" customHeight="1">
      <c r="A216" s="265"/>
      <c r="B216" s="289"/>
      <c r="C216" s="289"/>
      <c r="D216" s="409"/>
      <c r="E216" s="409"/>
      <c r="F216" s="409"/>
      <c r="G216" s="409"/>
      <c r="H216" s="409"/>
      <c r="I216" s="409"/>
      <c r="J216" s="409"/>
      <c r="K216" s="409"/>
      <c r="L216" s="409"/>
      <c r="M216" s="409"/>
      <c r="N216" s="409"/>
      <c r="O216" s="409"/>
      <c r="P216" s="409"/>
      <c r="Q216" s="409"/>
      <c r="R216" s="409"/>
      <c r="S216" s="409"/>
      <c r="T216" s="409"/>
      <c r="U216" s="409"/>
      <c r="V216" s="409"/>
      <c r="W216" s="746" t="s">
        <v>406</v>
      </c>
      <c r="X216" s="746"/>
      <c r="Y216" s="746"/>
      <c r="Z216" s="746"/>
      <c r="AA216" s="746"/>
      <c r="AB216" s="289"/>
      <c r="AC216" s="289"/>
      <c r="AD216" s="506"/>
      <c r="AE216" s="506"/>
      <c r="AF216" s="289"/>
      <c r="AG216" s="266"/>
      <c r="AH216" s="266"/>
      <c r="AI216" s="266"/>
      <c r="AJ216" s="266"/>
      <c r="AK216" s="266"/>
      <c r="AL216" s="266"/>
      <c r="AM216" s="289"/>
      <c r="AN216" s="289"/>
      <c r="AO216" s="289"/>
      <c r="AP216" s="409"/>
      <c r="AQ216" s="409"/>
      <c r="AR216" s="409"/>
      <c r="AS216" s="409"/>
      <c r="AT216" s="409"/>
      <c r="AU216" s="409"/>
      <c r="AV216" s="409"/>
      <c r="AW216" s="409"/>
      <c r="AX216" s="409"/>
      <c r="AY216" s="409"/>
      <c r="AZ216" s="409"/>
      <c r="BA216" s="409"/>
      <c r="BB216" s="409"/>
      <c r="BC216" s="409"/>
      <c r="BD216" s="409"/>
      <c r="BE216" s="409"/>
      <c r="BF216" s="409"/>
      <c r="BG216" s="409"/>
      <c r="BH216" s="409"/>
      <c r="BI216" s="266"/>
      <c r="BJ216" s="265"/>
    </row>
    <row r="217" spans="1:62" ht="14.4" customHeight="1">
      <c r="A217" s="265"/>
      <c r="B217" s="289"/>
      <c r="C217" s="289"/>
      <c r="D217" s="409"/>
      <c r="E217" s="409"/>
      <c r="F217" s="409"/>
      <c r="G217" s="409"/>
      <c r="H217" s="409"/>
      <c r="I217" s="409"/>
      <c r="J217" s="409"/>
      <c r="K217" s="409"/>
      <c r="L217" s="409"/>
      <c r="M217" s="409"/>
      <c r="N217" s="409"/>
      <c r="O217" s="409"/>
      <c r="P217" s="409"/>
      <c r="Q217" s="409"/>
      <c r="R217" s="409"/>
      <c r="S217" s="409"/>
      <c r="T217" s="409"/>
      <c r="U217" s="409"/>
      <c r="V217" s="409"/>
      <c r="W217" s="771"/>
      <c r="X217" s="771"/>
      <c r="Y217" s="771"/>
      <c r="Z217" s="771"/>
      <c r="AA217" s="771"/>
      <c r="AB217" s="296"/>
      <c r="AC217" s="296"/>
      <c r="AD217" s="508"/>
      <c r="AE217" s="508"/>
      <c r="AF217" s="296"/>
      <c r="AG217" s="674"/>
      <c r="AH217" s="674"/>
      <c r="AI217" s="674"/>
      <c r="AJ217" s="674"/>
      <c r="AK217" s="674"/>
      <c r="AL217" s="674"/>
      <c r="AM217" s="296"/>
      <c r="AN217" s="296"/>
      <c r="AO217" s="296"/>
      <c r="AP217" s="510"/>
      <c r="AQ217" s="510"/>
      <c r="AR217" s="510"/>
      <c r="AS217" s="510"/>
      <c r="AT217" s="510"/>
      <c r="AU217" s="510"/>
      <c r="AV217" s="510"/>
      <c r="AW217" s="510"/>
      <c r="AX217" s="510"/>
      <c r="AY217" s="510"/>
      <c r="AZ217" s="510"/>
      <c r="BA217" s="510"/>
      <c r="BB217" s="510"/>
      <c r="BC217" s="510"/>
      <c r="BD217" s="510"/>
      <c r="BE217" s="409"/>
      <c r="BF217" s="409"/>
      <c r="BG217" s="409"/>
      <c r="BH217" s="409"/>
      <c r="BI217" s="266"/>
      <c r="BJ217" s="265"/>
    </row>
    <row r="218" spans="1:62" ht="14.4" customHeight="1">
      <c r="A218" s="265"/>
      <c r="B218" s="289"/>
      <c r="C218" s="289"/>
      <c r="D218" s="409"/>
      <c r="E218" s="409"/>
      <c r="F218" s="409"/>
      <c r="G218" s="409"/>
      <c r="H218" s="409"/>
      <c r="I218" s="409"/>
      <c r="J218" s="409"/>
      <c r="K218" s="409"/>
      <c r="L218" s="409"/>
      <c r="M218" s="409"/>
      <c r="N218" s="409"/>
      <c r="O218" s="409"/>
      <c r="P218" s="409"/>
      <c r="Q218" s="409"/>
      <c r="R218" s="409"/>
      <c r="S218" s="409"/>
      <c r="T218" s="409"/>
      <c r="U218" s="409"/>
      <c r="V218" s="409"/>
      <c r="W218" s="425"/>
      <c r="X218" s="425"/>
      <c r="Y218" s="425"/>
      <c r="Z218" s="425"/>
      <c r="AA218" s="289"/>
      <c r="AB218" s="289"/>
      <c r="AC218" s="289"/>
      <c r="AD218" s="506"/>
      <c r="AE218" s="506"/>
      <c r="AF218" s="289"/>
      <c r="AG218" s="289"/>
      <c r="AH218" s="289"/>
      <c r="AI218" s="289"/>
      <c r="AJ218" s="289"/>
      <c r="AK218" s="289"/>
      <c r="AL218" s="289"/>
      <c r="AM218" s="289"/>
      <c r="AN218" s="289"/>
      <c r="AO218" s="289"/>
      <c r="AP218" s="409"/>
      <c r="AQ218" s="409"/>
      <c r="AR218" s="409"/>
      <c r="AS218" s="409"/>
      <c r="AT218" s="409"/>
      <c r="AU218" s="409"/>
      <c r="AV218" s="409"/>
      <c r="AW218" s="409"/>
      <c r="AX218" s="409"/>
      <c r="AY218" s="409"/>
      <c r="AZ218" s="409"/>
      <c r="BA218" s="409"/>
      <c r="BB218" s="409"/>
      <c r="BC218" s="409"/>
      <c r="BD218" s="409"/>
      <c r="BE218" s="409"/>
      <c r="BF218" s="409"/>
      <c r="BG218" s="409"/>
      <c r="BH218" s="409"/>
      <c r="BI218" s="266"/>
      <c r="BJ218" s="265"/>
    </row>
    <row r="219" spans="1:62">
      <c r="A219" s="265"/>
      <c r="B219" s="289"/>
      <c r="C219" s="289"/>
      <c r="D219" s="409"/>
      <c r="E219" s="409"/>
      <c r="F219" s="409"/>
      <c r="G219" s="409"/>
      <c r="H219" s="409"/>
      <c r="I219" s="409"/>
      <c r="J219" s="409"/>
      <c r="K219" s="409"/>
      <c r="L219" s="409"/>
      <c r="M219" s="409"/>
      <c r="N219" s="409"/>
      <c r="O219" s="409"/>
      <c r="P219" s="409"/>
      <c r="Q219" s="409"/>
      <c r="R219" s="409"/>
      <c r="S219" s="409"/>
      <c r="T219" s="409"/>
      <c r="U219" s="409"/>
      <c r="V219" s="409"/>
      <c r="W219" s="289"/>
      <c r="X219" s="289"/>
      <c r="Y219" s="289"/>
      <c r="Z219" s="289"/>
      <c r="AA219" s="289"/>
      <c r="AB219" s="289"/>
      <c r="AC219" s="289"/>
      <c r="AD219" s="506"/>
      <c r="AE219" s="506"/>
      <c r="AF219" s="289"/>
      <c r="AG219" s="13"/>
      <c r="AH219" s="289"/>
      <c r="AI219" s="289"/>
      <c r="AJ219" s="289"/>
      <c r="AK219" s="289"/>
      <c r="AL219" s="289"/>
      <c r="AM219" s="289"/>
      <c r="AN219" s="289"/>
      <c r="AO219" s="289"/>
      <c r="AP219" s="409"/>
      <c r="AQ219" s="409"/>
      <c r="AR219" s="409"/>
      <c r="AS219" s="409"/>
      <c r="AT219" s="409"/>
      <c r="AU219" s="409"/>
      <c r="AV219" s="409"/>
      <c r="AW219" s="409"/>
      <c r="AX219" s="409"/>
      <c r="AY219" s="409"/>
      <c r="AZ219" s="409"/>
      <c r="BA219" s="409"/>
      <c r="BB219" s="409"/>
      <c r="BC219" s="409"/>
      <c r="BD219" s="409"/>
      <c r="BE219" s="409"/>
      <c r="BF219" s="409"/>
      <c r="BG219" s="409"/>
      <c r="BH219" s="409"/>
      <c r="BI219" s="266"/>
      <c r="BJ219" s="265"/>
    </row>
    <row r="220" spans="1:62" ht="13.95" customHeight="1">
      <c r="A220" s="265"/>
      <c r="B220" s="289"/>
      <c r="C220" s="289"/>
      <c r="D220" s="409"/>
      <c r="E220" s="409"/>
      <c r="F220" s="409"/>
      <c r="G220" s="409"/>
      <c r="H220" s="409"/>
      <c r="I220" s="409"/>
      <c r="J220" s="409"/>
      <c r="K220" s="409"/>
      <c r="L220" s="409"/>
      <c r="M220" s="409"/>
      <c r="N220" s="409"/>
      <c r="O220" s="409"/>
      <c r="P220" s="409"/>
      <c r="Q220" s="409"/>
      <c r="R220" s="409"/>
      <c r="S220" s="409"/>
      <c r="T220" s="409"/>
      <c r="U220" s="409"/>
      <c r="V220" s="409"/>
      <c r="W220" s="289"/>
      <c r="X220" s="496" t="str">
        <f>'Elementy DN75&amp;90 2024-09'!D57</f>
        <v>Nóż do cięcia kanałów płaskich i okrągłych</v>
      </c>
      <c r="Y220" s="13"/>
      <c r="Z220" s="13"/>
      <c r="AA220" s="13"/>
      <c r="AB220" s="13"/>
      <c r="AC220" s="763">
        <v>0</v>
      </c>
      <c r="AD220" s="769">
        <f>VLOOKUP(X220,rozdzial75,4,0)*AC220*(1-$AM$236/100)</f>
        <v>0</v>
      </c>
      <c r="AE220" s="769"/>
      <c r="AF220" s="282"/>
      <c r="AG220" s="13"/>
      <c r="AH220" s="496" t="str">
        <f>'Elementy DN75&amp;90 2024-09'!D44</f>
        <v>Łącznik kanałów DN75</v>
      </c>
      <c r="AI220" s="13"/>
      <c r="AJ220" s="13"/>
      <c r="AK220" s="13"/>
      <c r="AL220" s="763">
        <v>0</v>
      </c>
      <c r="AM220" s="769">
        <f>VLOOKUP(AH220,rozdzial75,4,0)*AL220*(1-$AM$236/100)</f>
        <v>0</v>
      </c>
      <c r="AN220" s="769"/>
      <c r="AO220" s="289"/>
      <c r="AP220" s="409"/>
      <c r="AQ220" s="409"/>
      <c r="AR220" s="409"/>
      <c r="AS220" s="409"/>
      <c r="AT220" s="409"/>
      <c r="AU220" s="409"/>
      <c r="AV220" s="409"/>
      <c r="AW220" s="409"/>
      <c r="AX220" s="409"/>
      <c r="AY220" s="409"/>
      <c r="AZ220" s="409"/>
      <c r="BA220" s="409"/>
      <c r="BB220" s="409"/>
      <c r="BC220" s="409"/>
      <c r="BD220" s="409"/>
      <c r="BE220" s="409"/>
      <c r="BF220" s="409"/>
      <c r="BG220" s="409"/>
      <c r="BH220" s="409"/>
      <c r="BI220" s="266"/>
      <c r="BJ220" s="265"/>
    </row>
    <row r="221" spans="1:62" ht="13.95" customHeight="1">
      <c r="A221" s="265"/>
      <c r="B221" s="289"/>
      <c r="C221" s="289"/>
      <c r="D221" s="409"/>
      <c r="E221" s="409"/>
      <c r="F221" s="409"/>
      <c r="G221" s="409"/>
      <c r="H221" s="409"/>
      <c r="I221" s="409"/>
      <c r="J221" s="409"/>
      <c r="K221" s="409"/>
      <c r="L221" s="409"/>
      <c r="M221" s="409"/>
      <c r="N221" s="409"/>
      <c r="O221" s="409"/>
      <c r="P221" s="409"/>
      <c r="Q221" s="409"/>
      <c r="R221" s="409"/>
      <c r="S221" s="409"/>
      <c r="T221" s="409"/>
      <c r="U221" s="409"/>
      <c r="V221" s="409"/>
      <c r="W221" s="289"/>
      <c r="X221" s="490" t="s">
        <v>478</v>
      </c>
      <c r="Y221" s="488"/>
      <c r="Z221" s="488"/>
      <c r="AA221" s="488"/>
      <c r="AB221" s="488"/>
      <c r="AC221" s="763"/>
      <c r="AD221" s="13"/>
      <c r="AE221" s="13"/>
      <c r="AF221" s="340"/>
      <c r="AG221" s="13"/>
      <c r="AH221" s="490" t="s">
        <v>479</v>
      </c>
      <c r="AI221" s="488"/>
      <c r="AJ221" s="488"/>
      <c r="AK221" s="488"/>
      <c r="AL221" s="763"/>
      <c r="AM221" s="289"/>
      <c r="AN221" s="289"/>
      <c r="AO221" s="289"/>
      <c r="AP221" s="409"/>
      <c r="AQ221" s="409"/>
      <c r="AR221" s="409"/>
      <c r="AS221" s="409"/>
      <c r="AT221" s="409"/>
      <c r="AU221" s="409"/>
      <c r="AV221" s="409"/>
      <c r="AW221" s="409"/>
      <c r="AX221" s="409"/>
      <c r="AY221" s="409"/>
      <c r="AZ221" s="409"/>
      <c r="BA221" s="409"/>
      <c r="BB221" s="409"/>
      <c r="BC221" s="409"/>
      <c r="BD221" s="409"/>
      <c r="BE221" s="409"/>
      <c r="BF221" s="409"/>
      <c r="BG221" s="409"/>
      <c r="BH221" s="409"/>
      <c r="BI221" s="266"/>
      <c r="BJ221" s="265"/>
    </row>
    <row r="222" spans="1:62" ht="13.95" customHeight="1">
      <c r="A222" s="265"/>
      <c r="B222" s="289"/>
      <c r="C222" s="289"/>
      <c r="D222" s="409"/>
      <c r="E222" s="409"/>
      <c r="F222" s="409"/>
      <c r="G222" s="409"/>
      <c r="H222" s="409"/>
      <c r="I222" s="409"/>
      <c r="J222" s="409"/>
      <c r="K222" s="409"/>
      <c r="L222" s="409"/>
      <c r="M222" s="409"/>
      <c r="N222" s="409"/>
      <c r="O222" s="409"/>
      <c r="P222" s="409"/>
      <c r="Q222" s="409"/>
      <c r="R222" s="409"/>
      <c r="S222" s="409"/>
      <c r="T222" s="409"/>
      <c r="U222" s="409"/>
      <c r="V222" s="409"/>
      <c r="W222" s="289"/>
      <c r="X222" s="334">
        <f>VLOOKUP(X220,rozdzial75,3,0)</f>
        <v>7372852</v>
      </c>
      <c r="Y222" s="562">
        <f>VLOOKUP(X220,rozdzial75,4,0)</f>
        <v>335</v>
      </c>
      <c r="Z222" s="13"/>
      <c r="AA222" s="486"/>
      <c r="AB222" s="487"/>
      <c r="AC222" s="13"/>
      <c r="AD222" s="342"/>
      <c r="AE222" s="13"/>
      <c r="AF222" s="342"/>
      <c r="AG222" s="13"/>
      <c r="AH222" s="334">
        <f>VLOOKUP(AH220,rozdzial75,3,0)</f>
        <v>7372825</v>
      </c>
      <c r="AI222" s="562">
        <f>VLOOKUP(AH220,rozdzial75,4,0)</f>
        <v>72</v>
      </c>
      <c r="AJ222" s="13"/>
      <c r="AK222" s="486"/>
      <c r="AL222" s="13"/>
      <c r="AM222" s="289"/>
      <c r="AN222" s="289"/>
      <c r="AO222" s="289"/>
      <c r="AP222" s="409"/>
      <c r="AQ222" s="409"/>
      <c r="AR222" s="409"/>
      <c r="AS222" s="409"/>
      <c r="AT222" s="409"/>
      <c r="AU222" s="409"/>
      <c r="AV222" s="409"/>
      <c r="AW222" s="409"/>
      <c r="AX222" s="409"/>
      <c r="AY222" s="409"/>
      <c r="AZ222" s="409"/>
      <c r="BA222" s="409"/>
      <c r="BB222" s="409"/>
      <c r="BC222" s="409"/>
      <c r="BD222" s="409"/>
      <c r="BE222" s="409"/>
      <c r="BF222" s="409"/>
      <c r="BG222" s="409"/>
      <c r="BH222" s="409"/>
      <c r="BI222" s="266"/>
      <c r="BJ222" s="265"/>
    </row>
    <row r="223" spans="1:62" ht="13.95" customHeight="1">
      <c r="A223" s="265"/>
      <c r="B223" s="289"/>
      <c r="C223" s="289"/>
      <c r="D223" s="409"/>
      <c r="E223" s="409"/>
      <c r="F223" s="409"/>
      <c r="G223" s="409"/>
      <c r="H223" s="409"/>
      <c r="I223" s="409"/>
      <c r="J223" s="409"/>
      <c r="K223" s="409"/>
      <c r="L223" s="409"/>
      <c r="M223" s="409"/>
      <c r="N223" s="409"/>
      <c r="O223" s="409"/>
      <c r="P223" s="409"/>
      <c r="Q223" s="409"/>
      <c r="R223" s="409"/>
      <c r="S223" s="409"/>
      <c r="T223" s="409"/>
      <c r="U223" s="409"/>
      <c r="V223" s="409"/>
      <c r="W223" s="289"/>
      <c r="X223" s="13"/>
      <c r="Y223" s="13"/>
      <c r="Z223" s="13"/>
      <c r="AA223" s="13"/>
      <c r="AB223" s="13"/>
      <c r="AC223" s="13"/>
      <c r="AD223" s="13"/>
      <c r="AE223" s="13"/>
      <c r="AF223" s="13"/>
      <c r="AG223" s="13"/>
      <c r="AH223" s="289"/>
      <c r="AI223" s="289"/>
      <c r="AJ223" s="289"/>
      <c r="AK223" s="289"/>
      <c r="AL223" s="289"/>
      <c r="AM223" s="289"/>
      <c r="AN223" s="289"/>
      <c r="AO223" s="289"/>
      <c r="AP223" s="409"/>
      <c r="AQ223" s="409"/>
      <c r="AR223" s="409"/>
      <c r="AS223" s="409"/>
      <c r="AT223" s="409"/>
      <c r="AU223" s="409"/>
      <c r="AV223" s="409"/>
      <c r="AW223" s="409"/>
      <c r="AX223" s="409"/>
      <c r="AY223" s="409"/>
      <c r="AZ223" s="409"/>
      <c r="BA223" s="409"/>
      <c r="BB223" s="409"/>
      <c r="BC223" s="409"/>
      <c r="BD223" s="409"/>
      <c r="BE223" s="409"/>
      <c r="BF223" s="409"/>
      <c r="BG223" s="409"/>
      <c r="BH223" s="409"/>
      <c r="BI223" s="266"/>
      <c r="BJ223" s="265"/>
    </row>
    <row r="224" spans="1:62" ht="14.4" customHeight="1">
      <c r="A224" s="265"/>
      <c r="B224" s="289"/>
      <c r="C224" s="289"/>
      <c r="D224" s="289"/>
      <c r="E224" s="289"/>
      <c r="F224" s="289"/>
      <c r="G224" s="289"/>
      <c r="H224" s="289"/>
      <c r="I224" s="289"/>
      <c r="J224" s="289"/>
      <c r="K224" s="289"/>
      <c r="L224" s="289"/>
      <c r="M224" s="289"/>
      <c r="N224" s="289"/>
      <c r="O224" s="289"/>
      <c r="P224" s="289"/>
      <c r="Q224" s="289"/>
      <c r="R224" s="289"/>
      <c r="S224" s="289"/>
      <c r="T224" s="289"/>
      <c r="U224" s="289"/>
      <c r="V224" s="289"/>
      <c r="W224" s="289"/>
      <c r="X224" s="13"/>
      <c r="Y224" s="13"/>
      <c r="Z224" s="13"/>
      <c r="AA224" s="13"/>
      <c r="AB224" s="13"/>
      <c r="AD224" s="13"/>
      <c r="AE224" s="13"/>
      <c r="AF224" s="13"/>
      <c r="AG224" s="13"/>
      <c r="AH224" s="289"/>
      <c r="AI224" s="289"/>
      <c r="AJ224" s="289"/>
      <c r="AK224" s="289"/>
      <c r="AL224" s="289"/>
      <c r="AM224" s="289"/>
      <c r="AN224" s="289"/>
      <c r="AO224" s="289"/>
      <c r="AP224" s="409"/>
      <c r="AQ224" s="409"/>
      <c r="AR224" s="409"/>
      <c r="AS224" s="409"/>
      <c r="AT224" s="409"/>
      <c r="AU224" s="409"/>
      <c r="AV224" s="409"/>
      <c r="AW224" s="409"/>
      <c r="AX224" s="409"/>
      <c r="AY224" s="409"/>
      <c r="AZ224" s="409"/>
      <c r="BA224" s="409"/>
      <c r="BB224" s="409"/>
      <c r="BC224" s="409"/>
      <c r="BD224" s="409"/>
      <c r="BE224" s="409"/>
      <c r="BF224" s="409"/>
      <c r="BG224" s="409"/>
      <c r="BH224" s="409"/>
      <c r="BI224" s="266"/>
      <c r="BJ224" s="265"/>
    </row>
    <row r="225" spans="1:62" ht="14.4" customHeight="1">
      <c r="A225" s="265"/>
      <c r="B225" s="289"/>
      <c r="C225" s="787"/>
      <c r="D225" s="787"/>
      <c r="E225" s="787"/>
      <c r="F225" s="787"/>
      <c r="G225" s="409"/>
      <c r="H225" s="409"/>
      <c r="I225" s="409"/>
      <c r="J225" s="409"/>
      <c r="K225" s="409"/>
      <c r="L225" s="409"/>
      <c r="M225" s="409"/>
      <c r="N225" s="409"/>
      <c r="O225" s="409"/>
      <c r="P225" s="409"/>
      <c r="Q225" s="409"/>
      <c r="R225" s="409"/>
      <c r="S225" s="409"/>
      <c r="T225" s="409"/>
      <c r="U225" s="409"/>
      <c r="V225" s="409"/>
      <c r="W225" s="289"/>
      <c r="X225" s="496" t="s">
        <v>57</v>
      </c>
      <c r="Y225" s="13"/>
      <c r="Z225" s="13"/>
      <c r="AA225" s="13"/>
      <c r="AB225" s="13"/>
      <c r="AC225" s="763">
        <v>0</v>
      </c>
      <c r="AD225" s="769">
        <f>VLOOKUP(X225,rozdzial,4,0)*AC225*(1-$AM$236/100)</f>
        <v>0</v>
      </c>
      <c r="AE225" s="769"/>
      <c r="AF225" s="13"/>
      <c r="AG225" s="13"/>
      <c r="AH225" s="496" t="str">
        <f>'Elementy DN75&amp;90 2024-09'!D46</f>
        <v>Kolano 90, DN75</v>
      </c>
      <c r="AI225" s="13"/>
      <c r="AJ225" s="13"/>
      <c r="AK225" s="13"/>
      <c r="AL225" s="763">
        <v>0</v>
      </c>
      <c r="AM225" s="769">
        <f>VLOOKUP(AH225,rozdzial75,4,0)*AL225*(1-$AM$236/100)</f>
        <v>0</v>
      </c>
      <c r="AN225" s="769"/>
      <c r="AO225" s="289"/>
      <c r="AP225" s="409"/>
      <c r="AQ225" s="409"/>
      <c r="AR225" s="409"/>
      <c r="AS225" s="409"/>
      <c r="AT225" s="409"/>
      <c r="AU225" s="409"/>
      <c r="AV225" s="409"/>
      <c r="AW225" s="409"/>
      <c r="AX225" s="409"/>
      <c r="AY225" s="409"/>
      <c r="AZ225" s="409"/>
      <c r="BA225" s="409"/>
      <c r="BB225" s="409"/>
      <c r="BC225" s="409"/>
      <c r="BD225" s="409"/>
      <c r="BE225" s="409"/>
      <c r="BF225" s="409"/>
      <c r="BG225" s="409"/>
      <c r="BH225" s="409"/>
      <c r="BI225" s="266"/>
      <c r="BJ225" s="265"/>
    </row>
    <row r="226" spans="1:62" ht="14.4" customHeight="1">
      <c r="A226" s="265"/>
      <c r="B226" s="289"/>
      <c r="C226" s="289"/>
      <c r="D226" s="409"/>
      <c r="E226" s="409"/>
      <c r="F226" s="409"/>
      <c r="G226" s="409"/>
      <c r="H226" s="409"/>
      <c r="I226" s="409"/>
      <c r="J226" s="409"/>
      <c r="K226" s="409"/>
      <c r="L226" s="409"/>
      <c r="M226" s="409"/>
      <c r="N226" s="409"/>
      <c r="O226" s="409"/>
      <c r="P226" s="409"/>
      <c r="Q226" s="409"/>
      <c r="R226" s="409"/>
      <c r="S226" s="409"/>
      <c r="T226" s="409"/>
      <c r="U226" s="409"/>
      <c r="V226" s="409"/>
      <c r="W226" s="289"/>
      <c r="X226" s="490" t="s">
        <v>481</v>
      </c>
      <c r="Y226" s="488"/>
      <c r="Z226" s="488"/>
      <c r="AA226" s="488"/>
      <c r="AB226" s="488"/>
      <c r="AC226" s="763"/>
      <c r="AD226" s="13"/>
      <c r="AE226" s="13"/>
      <c r="AF226" s="13"/>
      <c r="AG226" s="13"/>
      <c r="AH226" s="804" t="str">
        <f>'Elementy DN75&amp;90 2024-09'!H46</f>
        <v>Do zmiany kierunki w ciasnych miejscach, możliwość przycięcia i podłączenia wrost do rozdzielacza</v>
      </c>
      <c r="AI226" s="804"/>
      <c r="AJ226" s="804"/>
      <c r="AK226" s="804"/>
      <c r="AL226" s="763"/>
      <c r="AM226" s="289"/>
      <c r="AN226" s="289"/>
      <c r="AO226" s="289"/>
      <c r="AP226" s="409"/>
      <c r="AQ226" s="409"/>
      <c r="AR226" s="409"/>
      <c r="AS226" s="409"/>
      <c r="AT226" s="409"/>
      <c r="AU226" s="409"/>
      <c r="AV226" s="409"/>
      <c r="AW226" s="409"/>
      <c r="AX226" s="409"/>
      <c r="AY226" s="409"/>
      <c r="AZ226" s="409"/>
      <c r="BA226" s="409"/>
      <c r="BB226" s="409"/>
      <c r="BC226" s="409"/>
      <c r="BD226" s="409"/>
      <c r="BE226" s="409"/>
      <c r="BF226" s="409"/>
      <c r="BG226" s="409"/>
      <c r="BH226" s="409"/>
      <c r="BI226" s="266"/>
      <c r="BJ226" s="265"/>
    </row>
    <row r="227" spans="1:62">
      <c r="A227" s="265"/>
      <c r="B227" s="289"/>
      <c r="C227" s="289"/>
      <c r="D227" s="409"/>
      <c r="E227" s="409"/>
      <c r="F227" s="409"/>
      <c r="G227" s="409"/>
      <c r="H227" s="409"/>
      <c r="I227" s="409"/>
      <c r="J227" s="409"/>
      <c r="K227" s="409"/>
      <c r="L227" s="409"/>
      <c r="M227" s="409"/>
      <c r="N227" s="409"/>
      <c r="O227" s="409"/>
      <c r="P227" s="409"/>
      <c r="Q227" s="409"/>
      <c r="R227" s="409"/>
      <c r="S227" s="409"/>
      <c r="T227" s="409"/>
      <c r="U227" s="409"/>
      <c r="V227" s="409"/>
      <c r="W227" s="289"/>
      <c r="X227" s="334">
        <f>VLOOKUP(X225,rozdzial,3,0)</f>
        <v>7546072</v>
      </c>
      <c r="Y227" s="562">
        <f>VLOOKUP(X225,rozdzial,4,0)</f>
        <v>143</v>
      </c>
      <c r="Z227" s="13"/>
      <c r="AA227" s="486"/>
      <c r="AB227" s="487"/>
      <c r="AC227" s="13"/>
      <c r="AD227" s="342"/>
      <c r="AE227" s="13"/>
      <c r="AF227" s="13"/>
      <c r="AG227" s="13"/>
      <c r="AH227" s="805"/>
      <c r="AI227" s="805"/>
      <c r="AJ227" s="805"/>
      <c r="AK227" s="805"/>
      <c r="AL227" s="13"/>
      <c r="AM227" s="289"/>
      <c r="AN227" s="289"/>
      <c r="AO227" s="289"/>
      <c r="AP227" s="409"/>
      <c r="AQ227" s="409"/>
      <c r="AR227" s="409"/>
      <c r="AS227" s="409"/>
      <c r="AT227" s="409"/>
      <c r="AU227" s="409"/>
      <c r="AV227" s="409"/>
      <c r="AW227" s="409"/>
      <c r="AX227" s="409"/>
      <c r="AY227" s="409"/>
      <c r="AZ227" s="409"/>
      <c r="BA227" s="409"/>
      <c r="BB227" s="409"/>
      <c r="BC227" s="409"/>
      <c r="BD227" s="409"/>
      <c r="BE227" s="409"/>
      <c r="BF227" s="409"/>
      <c r="BG227" s="409"/>
      <c r="BH227" s="409"/>
      <c r="BI227" s="266"/>
      <c r="BJ227" s="265"/>
    </row>
    <row r="228" spans="1:62">
      <c r="A228" s="265"/>
      <c r="B228" s="289"/>
      <c r="C228" s="289"/>
      <c r="D228" s="289"/>
      <c r="E228" s="289"/>
      <c r="F228" s="289"/>
      <c r="G228" s="289"/>
      <c r="H228" s="289"/>
      <c r="I228" s="289"/>
      <c r="J228" s="289"/>
      <c r="K228" s="289"/>
      <c r="L228" s="289"/>
      <c r="M228" s="289"/>
      <c r="N228" s="289"/>
      <c r="O228" s="289"/>
      <c r="P228" s="289"/>
      <c r="Q228" s="289"/>
      <c r="R228" s="289"/>
      <c r="S228" s="289"/>
      <c r="T228" s="289"/>
      <c r="U228" s="289"/>
      <c r="V228" s="289"/>
      <c r="W228" s="289"/>
      <c r="X228" s="13"/>
      <c r="Y228" s="13"/>
      <c r="Z228" s="13"/>
      <c r="AA228" s="13"/>
      <c r="AB228" s="13"/>
      <c r="AC228" s="13"/>
      <c r="AD228" s="13"/>
      <c r="AE228" s="13"/>
      <c r="AF228" s="13"/>
      <c r="AG228" s="13"/>
      <c r="AH228" s="334">
        <f>VLOOKUP(AH225,rozdzial75,3,0)</f>
        <v>7372923</v>
      </c>
      <c r="AI228" s="562">
        <f>VLOOKUP(AH225,rozdzial75,4,0)</f>
        <v>142</v>
      </c>
      <c r="AJ228" s="289"/>
      <c r="AK228" s="289"/>
      <c r="AL228" s="289"/>
      <c r="AM228" s="289"/>
      <c r="AN228" s="289"/>
      <c r="AO228" s="289"/>
      <c r="AP228" s="409"/>
      <c r="AQ228" s="409"/>
      <c r="AR228" s="409"/>
      <c r="AS228" s="409"/>
      <c r="AT228" s="409"/>
      <c r="AU228" s="409"/>
      <c r="AV228" s="409"/>
      <c r="AW228" s="409"/>
      <c r="AX228" s="409"/>
      <c r="AY228" s="409"/>
      <c r="AZ228" s="409"/>
      <c r="BA228" s="409"/>
      <c r="BB228" s="409"/>
      <c r="BC228" s="409"/>
      <c r="BD228" s="409"/>
      <c r="BE228" s="409"/>
      <c r="BF228" s="409"/>
      <c r="BG228" s="409"/>
      <c r="BH228" s="409"/>
      <c r="BI228" s="266"/>
      <c r="BJ228" s="265"/>
    </row>
    <row r="229" spans="1:62">
      <c r="A229" s="265"/>
      <c r="B229" s="289"/>
      <c r="C229" s="289"/>
      <c r="D229" s="409"/>
      <c r="E229" s="409"/>
      <c r="F229" s="409"/>
      <c r="G229" s="409"/>
      <c r="H229" s="409"/>
      <c r="I229" s="409"/>
      <c r="J229" s="409"/>
      <c r="K229" s="409"/>
      <c r="L229" s="409"/>
      <c r="M229" s="409"/>
      <c r="N229" s="409"/>
      <c r="O229" s="409"/>
      <c r="P229" s="409"/>
      <c r="Q229" s="409"/>
      <c r="R229" s="409"/>
      <c r="S229" s="409"/>
      <c r="T229" s="409"/>
      <c r="U229" s="409"/>
      <c r="V229" s="409"/>
      <c r="W229" s="289"/>
      <c r="X229" s="289"/>
      <c r="Y229" s="289"/>
      <c r="Z229" s="289"/>
      <c r="AA229" s="289"/>
      <c r="AC229" s="289"/>
      <c r="AD229" s="289"/>
      <c r="AE229" s="289"/>
      <c r="AF229" s="289"/>
      <c r="AG229" s="289"/>
      <c r="AH229" s="289"/>
      <c r="AI229" s="289"/>
      <c r="AJ229" s="289"/>
      <c r="AK229" s="289"/>
      <c r="AL229" s="289"/>
      <c r="AM229" s="707"/>
      <c r="AN229" s="289"/>
      <c r="AO229" s="289"/>
      <c r="AP229" s="666"/>
      <c r="AQ229" s="666"/>
      <c r="AR229" s="666"/>
      <c r="AS229" s="666"/>
      <c r="AT229" s="666"/>
      <c r="AU229" s="666"/>
      <c r="AV229" s="666"/>
      <c r="AW229" s="666"/>
      <c r="AX229" s="666"/>
      <c r="AY229" s="666"/>
      <c r="AZ229" s="666"/>
      <c r="BA229" s="666"/>
      <c r="BB229" s="666"/>
      <c r="BC229" s="666"/>
      <c r="BD229" s="666"/>
      <c r="BE229" s="666"/>
      <c r="BF229" s="666"/>
      <c r="BG229" s="666"/>
      <c r="BH229" s="666"/>
      <c r="BI229" s="665"/>
      <c r="BJ229" s="265"/>
    </row>
    <row r="230" spans="1:62" ht="14.4" customHeight="1">
      <c r="A230" s="265"/>
      <c r="B230" s="289"/>
      <c r="C230" s="289"/>
      <c r="D230" s="409"/>
      <c r="E230" s="409"/>
      <c r="F230" s="409"/>
      <c r="G230" s="409"/>
      <c r="H230" s="409"/>
      <c r="I230" s="409"/>
      <c r="J230" s="409"/>
      <c r="K230" s="409"/>
      <c r="L230" s="409"/>
      <c r="M230" s="409"/>
      <c r="N230" s="409"/>
      <c r="O230" s="409"/>
      <c r="P230" s="409"/>
      <c r="Q230" s="409"/>
      <c r="R230" s="409"/>
      <c r="S230" s="409"/>
      <c r="T230" s="409"/>
      <c r="U230" s="409"/>
      <c r="V230" s="409"/>
      <c r="W230" s="289"/>
      <c r="X230" s="496" t="s">
        <v>58</v>
      </c>
      <c r="Y230" s="13"/>
      <c r="Z230" s="13"/>
      <c r="AA230" s="13"/>
      <c r="AB230" s="13"/>
      <c r="AC230" s="763">
        <v>0</v>
      </c>
      <c r="AD230" s="769">
        <f>VLOOKUP(X230,rozdzial,4,0)*AC230*(1-$AM$236/100)</f>
        <v>0</v>
      </c>
      <c r="AE230" s="769"/>
      <c r="AF230" s="289"/>
      <c r="AG230" s="13"/>
      <c r="AH230" s="496" t="s">
        <v>266</v>
      </c>
      <c r="AI230" s="13"/>
      <c r="AJ230" s="13"/>
      <c r="AK230" s="13"/>
      <c r="AL230" s="763">
        <f>AK232</f>
        <v>0</v>
      </c>
      <c r="AM230" s="769">
        <f>VLOOKUP(AH230,rozdzial,4,0)*AL230</f>
        <v>0</v>
      </c>
      <c r="AN230" s="769"/>
      <c r="AO230" s="489"/>
      <c r="AP230" s="666"/>
      <c r="AQ230" s="666"/>
      <c r="AR230" s="666"/>
      <c r="AS230" s="666"/>
      <c r="AT230" s="666"/>
      <c r="AU230" s="666"/>
      <c r="AV230" s="666"/>
      <c r="AW230" s="666"/>
      <c r="AX230" s="666"/>
      <c r="AY230" s="666"/>
      <c r="AZ230" s="666"/>
      <c r="BA230" s="666"/>
      <c r="BB230" s="666"/>
      <c r="BC230" s="666"/>
      <c r="BD230" s="666"/>
      <c r="BE230" s="666"/>
      <c r="BF230" s="666"/>
      <c r="BG230" s="666"/>
      <c r="BH230" s="666"/>
      <c r="BI230" s="665"/>
      <c r="BJ230" s="265"/>
    </row>
    <row r="231" spans="1:62" ht="14.4" customHeight="1">
      <c r="A231" s="265"/>
      <c r="B231" s="289"/>
      <c r="C231" s="289"/>
      <c r="D231" s="409"/>
      <c r="E231" s="409"/>
      <c r="F231" s="409"/>
      <c r="G231" s="409"/>
      <c r="H231" s="409"/>
      <c r="I231" s="409"/>
      <c r="J231" s="409"/>
      <c r="K231" s="409"/>
      <c r="L231" s="409"/>
      <c r="M231" s="409"/>
      <c r="N231" s="409"/>
      <c r="O231" s="409"/>
      <c r="P231" s="409"/>
      <c r="Q231" s="409"/>
      <c r="R231" s="409"/>
      <c r="S231" s="409"/>
      <c r="T231" s="409"/>
      <c r="U231" s="409"/>
      <c r="V231" s="409"/>
      <c r="W231" s="289"/>
      <c r="X231" s="490"/>
      <c r="Y231" s="488"/>
      <c r="Z231" s="488"/>
      <c r="AA231" s="488"/>
      <c r="AB231" s="488"/>
      <c r="AC231" s="763"/>
      <c r="AD231" s="13"/>
      <c r="AE231" s="13"/>
      <c r="AF231" s="289"/>
      <c r="AG231" s="13"/>
      <c r="AH231" s="490" t="s">
        <v>482</v>
      </c>
      <c r="AI231" s="488"/>
      <c r="AJ231" s="488"/>
      <c r="AK231" s="488"/>
      <c r="AL231" s="763"/>
      <c r="AN231" s="13"/>
      <c r="AO231" s="13"/>
      <c r="AP231" s="666"/>
      <c r="AQ231" s="666"/>
      <c r="AR231" s="666"/>
      <c r="AS231" s="666"/>
      <c r="AT231" s="666"/>
      <c r="AU231" s="666"/>
      <c r="AV231" s="666"/>
      <c r="AW231" s="666"/>
      <c r="AX231" s="666"/>
      <c r="AY231" s="666"/>
      <c r="AZ231" s="666"/>
      <c r="BA231" s="666"/>
      <c r="BB231" s="666"/>
      <c r="BC231" s="666"/>
      <c r="BD231" s="666"/>
      <c r="BE231" s="666"/>
      <c r="BF231" s="666"/>
      <c r="BG231" s="666"/>
      <c r="BH231" s="666"/>
      <c r="BI231" s="665"/>
      <c r="BJ231" s="265"/>
    </row>
    <row r="232" spans="1:62">
      <c r="A232" s="265"/>
      <c r="B232" s="289"/>
      <c r="C232" s="289"/>
      <c r="D232" s="409"/>
      <c r="E232" s="409"/>
      <c r="F232" s="409"/>
      <c r="G232" s="409"/>
      <c r="H232" s="409"/>
      <c r="I232" s="409"/>
      <c r="J232" s="409"/>
      <c r="K232" s="409"/>
      <c r="L232" s="409"/>
      <c r="M232" s="409"/>
      <c r="N232" s="409"/>
      <c r="O232" s="409"/>
      <c r="P232" s="409"/>
      <c r="Q232" s="409"/>
      <c r="R232" s="409"/>
      <c r="S232" s="409"/>
      <c r="T232" s="409"/>
      <c r="U232" s="409"/>
      <c r="V232" s="409"/>
      <c r="W232" s="13"/>
      <c r="X232" s="334">
        <f>VLOOKUP(X230,rozdzial,3,0)</f>
        <v>7546073</v>
      </c>
      <c r="Y232" s="562">
        <f>VLOOKUP(X230,rozdzial,4,0)</f>
        <v>68</v>
      </c>
      <c r="Z232" s="13"/>
      <c r="AA232" s="486"/>
      <c r="AB232" s="487"/>
      <c r="AC232" s="13"/>
      <c r="AD232" s="342"/>
      <c r="AE232" s="13"/>
      <c r="AF232" s="289"/>
      <c r="AG232" s="13"/>
      <c r="AH232" s="334">
        <f>VLOOKUP(AH230,rozdzial,3,0)</f>
        <v>7775845</v>
      </c>
      <c r="AI232" s="562">
        <f>VLOOKUP(AH230,rozdzial,4,0)</f>
        <v>824</v>
      </c>
      <c r="AJ232" s="13"/>
      <c r="AK232" s="675">
        <f>AL177+AL187</f>
        <v>0</v>
      </c>
      <c r="AL232" s="487"/>
      <c r="AM232" s="13"/>
      <c r="AN232" s="342"/>
      <c r="AO232" s="13"/>
      <c r="AP232" s="666"/>
      <c r="AQ232" s="666"/>
      <c r="AR232" s="666"/>
      <c r="AS232" s="666"/>
      <c r="AT232" s="666"/>
      <c r="AU232" s="666"/>
      <c r="AV232" s="666"/>
      <c r="AW232" s="666"/>
      <c r="AX232" s="666"/>
      <c r="AY232" s="666"/>
      <c r="AZ232" s="666"/>
      <c r="BA232" s="666"/>
      <c r="BB232" s="666"/>
      <c r="BC232" s="666"/>
      <c r="BD232" s="666"/>
      <c r="BE232" s="666"/>
      <c r="BF232" s="666"/>
      <c r="BG232" s="666"/>
      <c r="BH232" s="666"/>
      <c r="BI232" s="665"/>
      <c r="BJ232" s="265"/>
    </row>
    <row r="233" spans="1:62">
      <c r="A233" s="265"/>
      <c r="B233" s="289"/>
      <c r="C233" s="289"/>
      <c r="D233" s="409"/>
      <c r="E233" s="409"/>
      <c r="F233" s="409"/>
      <c r="G233" s="409"/>
      <c r="H233" s="409"/>
      <c r="I233" s="409"/>
      <c r="J233" s="409"/>
      <c r="K233" s="409"/>
      <c r="L233" s="409"/>
      <c r="M233" s="409"/>
      <c r="N233" s="409"/>
      <c r="O233" s="409"/>
      <c r="P233" s="409"/>
      <c r="Q233" s="409"/>
      <c r="R233" s="409"/>
      <c r="S233" s="409"/>
      <c r="T233" s="409"/>
      <c r="U233" s="409"/>
      <c r="V233" s="409"/>
      <c r="W233" s="289"/>
      <c r="X233" s="13"/>
      <c r="Y233" s="13"/>
      <c r="Z233" s="13"/>
      <c r="AA233" s="13"/>
      <c r="AB233" s="13"/>
      <c r="AC233" s="13"/>
      <c r="AD233" s="13"/>
      <c r="AE233" s="13"/>
      <c r="AF233" s="289"/>
      <c r="AG233" s="289"/>
      <c r="AH233" s="665"/>
      <c r="AI233" s="665"/>
      <c r="AJ233" s="665"/>
      <c r="AK233" s="665"/>
      <c r="AL233" s="665"/>
      <c r="AM233" s="266">
        <v>1</v>
      </c>
      <c r="AN233" s="665"/>
      <c r="AO233" s="665"/>
      <c r="AP233" s="666"/>
      <c r="AQ233" s="666"/>
      <c r="AR233" s="666"/>
      <c r="AS233" s="666"/>
      <c r="AT233" s="666"/>
      <c r="AU233" s="666"/>
      <c r="AV233" s="666"/>
      <c r="AW233" s="666"/>
      <c r="AX233" s="666"/>
      <c r="AY233" s="666"/>
      <c r="AZ233" s="666"/>
      <c r="BA233" s="666"/>
      <c r="BB233" s="666"/>
      <c r="BC233" s="666"/>
      <c r="BD233" s="666"/>
      <c r="BE233" s="666"/>
      <c r="BF233" s="666"/>
      <c r="BG233" s="666"/>
      <c r="BH233" s="666"/>
      <c r="BI233" s="665"/>
      <c r="BJ233" s="265"/>
    </row>
    <row r="234" spans="1:62">
      <c r="A234" s="265"/>
      <c r="B234" s="289"/>
      <c r="C234" s="289"/>
      <c r="D234" s="409"/>
      <c r="E234" s="409"/>
      <c r="F234" s="409"/>
      <c r="G234" s="409"/>
      <c r="H234" s="409"/>
      <c r="I234" s="409"/>
      <c r="J234" s="409"/>
      <c r="K234" s="409"/>
      <c r="L234" s="409"/>
      <c r="M234" s="409"/>
      <c r="N234" s="409"/>
      <c r="O234" s="409"/>
      <c r="P234" s="409"/>
      <c r="Q234" s="409"/>
      <c r="R234" s="409"/>
      <c r="S234" s="409"/>
      <c r="T234" s="409"/>
      <c r="U234" s="409"/>
      <c r="V234" s="409"/>
      <c r="W234" s="289"/>
      <c r="X234" s="289"/>
      <c r="Y234" s="289"/>
      <c r="Z234" s="289"/>
      <c r="AA234" s="289"/>
      <c r="AB234" s="289"/>
      <c r="AC234" s="289"/>
      <c r="AE234" s="289"/>
      <c r="AF234" s="289"/>
      <c r="AG234" s="289"/>
      <c r="AH234" s="289"/>
      <c r="AI234" s="289"/>
      <c r="AJ234" s="289"/>
      <c r="AK234" s="289"/>
      <c r="AL234" s="289"/>
      <c r="AM234" s="289"/>
      <c r="AN234" s="289"/>
      <c r="AO234" s="289"/>
      <c r="AP234" s="409"/>
      <c r="AQ234" s="409"/>
      <c r="AR234" s="409"/>
      <c r="AS234" s="409"/>
      <c r="AT234" s="409"/>
      <c r="AU234" s="409"/>
      <c r="AV234" s="409"/>
      <c r="AW234" s="409"/>
      <c r="AX234" s="409"/>
      <c r="AY234" s="409"/>
      <c r="AZ234" s="409"/>
      <c r="BA234" s="409"/>
      <c r="BB234" s="409"/>
      <c r="BC234" s="409"/>
      <c r="BD234" s="409"/>
      <c r="BE234" s="409"/>
      <c r="BF234" s="409"/>
      <c r="BG234" s="409"/>
      <c r="BH234" s="409"/>
      <c r="BI234" s="266"/>
      <c r="BJ234" s="265"/>
    </row>
    <row r="235" spans="1:62" ht="21">
      <c r="A235" s="261"/>
      <c r="B235" s="263"/>
      <c r="C235" s="567" t="str">
        <f>Dane!S241</f>
        <v>Autor:</v>
      </c>
      <c r="D235" s="264"/>
      <c r="E235" s="264"/>
      <c r="F235" s="264"/>
      <c r="G235" s="264"/>
      <c r="H235" s="567" t="str">
        <f>Dane!T241</f>
        <v>PanD, 2023</v>
      </c>
      <c r="I235" s="264"/>
      <c r="J235" s="264"/>
      <c r="K235" s="264"/>
      <c r="L235" s="264"/>
      <c r="M235" s="264"/>
      <c r="N235" s="264"/>
      <c r="O235" s="264"/>
      <c r="P235" s="264"/>
      <c r="Q235" s="264"/>
      <c r="R235" s="264"/>
      <c r="S235" s="264"/>
      <c r="T235" s="264"/>
      <c r="U235" s="264"/>
      <c r="V235" s="264"/>
      <c r="W235" s="264"/>
      <c r="X235" s="264"/>
      <c r="Y235" s="264"/>
      <c r="Z235" s="264"/>
      <c r="AA235" s="264"/>
      <c r="AB235" s="264"/>
      <c r="AC235" s="264"/>
      <c r="AD235" s="264"/>
      <c r="AE235" s="264"/>
      <c r="AF235" s="264"/>
      <c r="AG235" s="264"/>
      <c r="AH235" s="566"/>
      <c r="AI235" s="264"/>
      <c r="AJ235" s="264" t="s">
        <v>468</v>
      </c>
      <c r="AK235" s="775">
        <f>AD137+IFERROR(VLOOKUP(X145,rozdzial,4,0),0)+AD154+IFERROR(VLOOKUP(X158,rozdzial,4,0),0)+AD167+AM167+AM172+AD172+AD177+AM177+AD182+AD201+AD206+AM201+AM206+AD220+AM220+AD225+AM225+AM182+AD230+AM230+AD187+AD192+AM187+AM192</f>
        <v>28207</v>
      </c>
      <c r="AL235" s="776"/>
      <c r="AM235" s="565" t="str">
        <f>"R "&amp;AM236&amp;" %"</f>
        <v>R 0 %</v>
      </c>
      <c r="AN235" s="604"/>
      <c r="AO235" s="604" t="s">
        <v>536</v>
      </c>
      <c r="AP235" s="263"/>
      <c r="AQ235" s="263"/>
      <c r="AR235" s="263"/>
      <c r="AS235" s="263"/>
      <c r="AT235" s="263"/>
      <c r="AU235" s="263"/>
      <c r="AV235" s="263"/>
      <c r="AW235" s="263"/>
      <c r="AX235" s="263"/>
      <c r="AY235" s="263"/>
      <c r="AZ235" s="263"/>
      <c r="BA235" s="263"/>
      <c r="BB235" s="263"/>
      <c r="BC235" s="263"/>
      <c r="BD235" s="263"/>
      <c r="BE235" s="263"/>
      <c r="BF235" s="263"/>
      <c r="BG235" s="263"/>
      <c r="BH235" s="263"/>
      <c r="BI235" s="263"/>
      <c r="BJ235" s="265"/>
    </row>
    <row r="236" spans="1:62" ht="7.2" hidden="1" customHeight="1">
      <c r="A236" s="261"/>
      <c r="B236" s="263"/>
      <c r="C236" s="566"/>
      <c r="D236" s="263"/>
      <c r="E236" s="263"/>
      <c r="F236" s="263"/>
      <c r="G236" s="263"/>
      <c r="H236" s="263"/>
      <c r="I236" s="263"/>
      <c r="J236" s="263"/>
      <c r="K236" s="263"/>
      <c r="L236" s="263"/>
      <c r="M236" s="263"/>
      <c r="N236" s="263"/>
      <c r="O236" s="263"/>
      <c r="P236" s="263"/>
      <c r="Q236" s="263"/>
      <c r="R236" s="263"/>
      <c r="S236" s="263"/>
      <c r="T236" s="263"/>
      <c r="U236" s="263"/>
      <c r="V236" s="263"/>
      <c r="W236" s="263"/>
      <c r="X236" s="263"/>
      <c r="Y236" s="263"/>
      <c r="Z236" s="263"/>
      <c r="AA236" s="263"/>
      <c r="AB236" s="263"/>
      <c r="AC236" s="263"/>
      <c r="AD236" s="263"/>
      <c r="AE236" s="263"/>
      <c r="AF236" s="263"/>
      <c r="AG236" s="263"/>
      <c r="AH236" s="566"/>
      <c r="AI236" s="263"/>
      <c r="AJ236" s="263"/>
      <c r="AK236" s="263"/>
      <c r="AL236" s="263"/>
      <c r="AM236" s="569">
        <v>0</v>
      </c>
      <c r="AN236" s="263"/>
      <c r="AO236" s="263"/>
      <c r="AP236" s="263"/>
      <c r="AQ236" s="263"/>
      <c r="AR236" s="263"/>
      <c r="AS236" s="263"/>
      <c r="AT236" s="263"/>
      <c r="AU236" s="263"/>
      <c r="AV236" s="263"/>
      <c r="AW236" s="263"/>
      <c r="AX236" s="263"/>
      <c r="AY236" s="263"/>
      <c r="AZ236" s="263"/>
      <c r="BA236" s="263"/>
      <c r="BB236" s="263"/>
      <c r="BC236" s="263"/>
      <c r="BD236" s="263"/>
      <c r="BE236" s="263"/>
      <c r="BF236" s="263"/>
      <c r="BG236" s="263"/>
      <c r="BH236" s="263"/>
      <c r="BI236" s="263"/>
      <c r="BJ236" s="265"/>
    </row>
    <row r="237" spans="1:62" ht="6.6" customHeight="1">
      <c r="A237" s="265"/>
      <c r="B237" s="265"/>
      <c r="C237" s="265"/>
      <c r="D237" s="265"/>
      <c r="E237" s="265"/>
      <c r="F237" s="265"/>
      <c r="G237" s="265"/>
      <c r="H237" s="265"/>
      <c r="I237" s="265"/>
      <c r="J237" s="265"/>
      <c r="K237" s="265"/>
      <c r="L237" s="265"/>
      <c r="M237" s="265"/>
      <c r="N237" s="265"/>
      <c r="O237" s="265"/>
      <c r="P237" s="265"/>
      <c r="Q237" s="265"/>
      <c r="R237" s="265"/>
      <c r="S237" s="265"/>
      <c r="T237" s="265"/>
      <c r="U237" s="265"/>
      <c r="V237" s="265"/>
      <c r="W237" s="265"/>
      <c r="X237" s="265"/>
      <c r="Y237" s="265"/>
      <c r="Z237" s="265"/>
      <c r="AA237" s="265"/>
      <c r="AB237" s="265"/>
      <c r="AC237" s="265"/>
      <c r="AD237" s="265"/>
      <c r="AE237" s="265"/>
      <c r="AF237" s="265"/>
      <c r="AG237" s="265"/>
      <c r="AH237" s="265"/>
      <c r="AI237" s="265"/>
      <c r="AJ237" s="265"/>
      <c r="AK237" s="265"/>
      <c r="AL237" s="265"/>
      <c r="AM237" s="265"/>
      <c r="AN237" s="265"/>
      <c r="AO237" s="265"/>
      <c r="AP237" s="265"/>
      <c r="AQ237" s="265"/>
      <c r="AR237" s="265"/>
      <c r="AS237" s="265"/>
      <c r="AT237" s="265"/>
      <c r="AU237" s="265"/>
      <c r="AV237" s="265"/>
      <c r="AW237" s="265"/>
      <c r="AX237" s="265"/>
      <c r="AY237" s="265"/>
      <c r="AZ237" s="265"/>
      <c r="BA237" s="265"/>
      <c r="BB237" s="265"/>
      <c r="BC237" s="265"/>
      <c r="BD237" s="265"/>
      <c r="BE237" s="265"/>
      <c r="BF237" s="265"/>
      <c r="BG237" s="265"/>
      <c r="BH237" s="265"/>
      <c r="BI237" s="265"/>
      <c r="BJ237" s="265"/>
    </row>
    <row r="238" spans="1:62" ht="14.4" customHeight="1">
      <c r="A238" s="265"/>
      <c r="B238" s="266"/>
      <c r="C238" s="366"/>
      <c r="D238" s="410"/>
      <c r="E238" s="410"/>
      <c r="F238" s="410"/>
      <c r="G238" s="410"/>
      <c r="H238" s="410"/>
      <c r="I238" s="410"/>
      <c r="J238" s="410"/>
      <c r="K238" s="410"/>
      <c r="L238" s="410"/>
      <c r="M238" s="410"/>
      <c r="N238" s="410"/>
      <c r="O238" s="410"/>
      <c r="P238" s="410"/>
      <c r="Q238" s="410"/>
      <c r="R238" s="410"/>
      <c r="S238" s="410"/>
      <c r="T238" s="410"/>
      <c r="U238" s="410"/>
      <c r="V238" s="410"/>
      <c r="W238" s="290"/>
      <c r="X238" s="290"/>
      <c r="Y238" s="290"/>
      <c r="Z238" s="290"/>
      <c r="AA238" s="383"/>
      <c r="AB238" s="385"/>
      <c r="AC238" s="13"/>
      <c r="AD238" s="390"/>
      <c r="AE238" s="388"/>
      <c r="AF238" s="388"/>
      <c r="AG238" s="386"/>
      <c r="AH238" s="389"/>
      <c r="AI238" s="386"/>
      <c r="AJ238" s="13"/>
      <c r="AK238" s="387"/>
      <c r="AL238" s="387"/>
      <c r="AM238" s="386"/>
      <c r="AN238" s="266"/>
      <c r="AO238" s="366" t="str">
        <f>IF(Obliczenia!AP10&lt;&gt;0,Obliczenia!AP10,"")</f>
        <v/>
      </c>
      <c r="AP238" s="410"/>
      <c r="AQ238" s="410"/>
      <c r="AR238" s="410"/>
      <c r="AS238" s="410"/>
      <c r="AT238" s="410"/>
      <c r="AU238" s="410"/>
      <c r="AV238" s="410"/>
      <c r="AW238" s="410"/>
      <c r="AX238" s="410"/>
      <c r="AY238" s="410"/>
      <c r="AZ238" s="410"/>
      <c r="BA238" s="410"/>
      <c r="BB238" s="410"/>
      <c r="BC238" s="410"/>
      <c r="BD238" s="410"/>
      <c r="BE238" s="410"/>
      <c r="BF238" s="410"/>
      <c r="BG238" s="410"/>
      <c r="BH238" s="410"/>
      <c r="BI238" s="266"/>
      <c r="BJ238" s="266"/>
    </row>
    <row r="239" spans="1:62" ht="14.4" customHeight="1">
      <c r="A239" s="265"/>
      <c r="B239" s="266"/>
      <c r="C239" s="366"/>
      <c r="D239" s="410"/>
      <c r="E239" s="410"/>
      <c r="F239" s="410"/>
      <c r="G239" s="410"/>
      <c r="H239" s="410"/>
      <c r="I239" s="410"/>
      <c r="J239" s="410"/>
      <c r="K239" s="410"/>
      <c r="L239" s="410"/>
      <c r="M239" s="410"/>
      <c r="N239" s="410"/>
      <c r="O239" s="410"/>
      <c r="P239" s="410"/>
      <c r="Q239" s="410"/>
      <c r="R239" s="410"/>
      <c r="S239" s="410"/>
      <c r="T239" s="410"/>
      <c r="U239" s="410"/>
      <c r="V239" s="410"/>
      <c r="W239" s="290"/>
      <c r="X239" s="290"/>
      <c r="Y239" s="290"/>
      <c r="Z239" s="290"/>
      <c r="AA239" s="383"/>
      <c r="AB239" s="385"/>
      <c r="AC239" s="13"/>
      <c r="AD239" s="390"/>
      <c r="AE239" s="388"/>
      <c r="AF239" s="388"/>
      <c r="AG239" s="386"/>
      <c r="AH239" s="389"/>
      <c r="AI239" s="386"/>
      <c r="AJ239" s="13"/>
      <c r="AK239" s="387"/>
      <c r="AL239" s="387"/>
      <c r="AM239" s="386"/>
      <c r="AN239" s="266"/>
      <c r="AO239" s="366"/>
      <c r="AP239" s="410"/>
      <c r="AQ239" s="410"/>
      <c r="AR239" s="410"/>
      <c r="AS239" s="410"/>
      <c r="AT239" s="410"/>
      <c r="AU239" s="410"/>
      <c r="AV239" s="410"/>
      <c r="AW239" s="410"/>
      <c r="AX239" s="410"/>
      <c r="AY239" s="410"/>
      <c r="AZ239" s="410"/>
      <c r="BA239" s="410"/>
      <c r="BB239" s="410"/>
      <c r="BC239" s="410"/>
      <c r="BD239" s="410"/>
      <c r="BE239" s="410"/>
      <c r="BF239" s="410"/>
      <c r="BG239" s="410"/>
      <c r="BH239" s="410"/>
      <c r="BI239" s="266"/>
      <c r="BJ239" s="266"/>
    </row>
    <row r="240" spans="1:62" ht="14.4" customHeight="1">
      <c r="A240" s="265"/>
      <c r="B240" s="266"/>
      <c r="C240" s="366"/>
      <c r="D240" s="410"/>
      <c r="E240" s="410"/>
      <c r="F240" s="410"/>
      <c r="G240" s="410"/>
      <c r="H240" s="410"/>
      <c r="I240" s="410"/>
      <c r="J240" s="410"/>
      <c r="K240" s="410"/>
      <c r="L240" s="410"/>
      <c r="M240" s="410"/>
      <c r="N240" s="410"/>
      <c r="O240" s="410"/>
      <c r="P240" s="410"/>
      <c r="Q240" s="410"/>
      <c r="R240" s="410"/>
      <c r="S240" s="410"/>
      <c r="T240" s="410"/>
      <c r="U240" s="410"/>
      <c r="V240" s="410"/>
      <c r="W240" s="290"/>
      <c r="X240" s="290"/>
      <c r="Y240" s="290"/>
      <c r="Z240" s="290"/>
      <c r="AA240" s="384"/>
      <c r="AB240" s="385"/>
      <c r="AC240" s="13"/>
      <c r="AD240" s="390"/>
      <c r="AE240" s="388"/>
      <c r="AF240" s="388"/>
      <c r="AG240" s="386"/>
      <c r="AH240" s="389"/>
      <c r="AI240" s="386"/>
      <c r="AJ240" s="13"/>
      <c r="AK240" s="386"/>
      <c r="AL240" s="386"/>
      <c r="AM240" s="386"/>
      <c r="AN240" s="266"/>
      <c r="AO240" s="366">
        <f>IF(Obliczenia!AP11&lt;&gt;0,Obliczenia!AP11,"")</f>
        <v>3</v>
      </c>
      <c r="AP240" s="410"/>
      <c r="AQ240" s="410"/>
      <c r="AR240" s="410"/>
      <c r="AS240" s="410"/>
      <c r="AT240" s="410"/>
      <c r="AU240" s="410"/>
      <c r="AV240" s="410"/>
      <c r="AW240" s="410"/>
      <c r="AX240" s="410"/>
      <c r="AY240" s="410"/>
      <c r="AZ240" s="410"/>
      <c r="BA240" s="410"/>
      <c r="BB240" s="410"/>
      <c r="BC240" s="410"/>
      <c r="BD240" s="410"/>
      <c r="BE240" s="410"/>
      <c r="BF240" s="410"/>
      <c r="BG240" s="410"/>
      <c r="BH240" s="410"/>
      <c r="BI240" s="266"/>
      <c r="BJ240" s="266"/>
    </row>
    <row r="241" spans="1:62" ht="14.4" customHeight="1">
      <c r="A241" s="265"/>
      <c r="B241" s="266"/>
      <c r="C241" s="366"/>
      <c r="D241" s="410"/>
      <c r="E241" s="410"/>
      <c r="F241" s="410"/>
      <c r="G241" s="410"/>
      <c r="H241" s="410"/>
      <c r="I241" s="410"/>
      <c r="J241" s="410"/>
      <c r="K241" s="410"/>
      <c r="L241" s="410"/>
      <c r="M241" s="410"/>
      <c r="N241" s="410"/>
      <c r="O241" s="410"/>
      <c r="P241" s="410"/>
      <c r="Q241" s="410"/>
      <c r="R241" s="410"/>
      <c r="S241" s="410"/>
      <c r="T241" s="410"/>
      <c r="U241" s="410"/>
      <c r="V241" s="410"/>
      <c r="W241" s="290"/>
      <c r="X241" s="290"/>
      <c r="Y241" s="290"/>
      <c r="Z241" s="290"/>
      <c r="AA241" s="384"/>
      <c r="AB241" s="385"/>
      <c r="AC241" s="13"/>
      <c r="AD241" s="390"/>
      <c r="AE241" s="388"/>
      <c r="AF241" s="388"/>
      <c r="AG241" s="386"/>
      <c r="AH241" s="389"/>
      <c r="AI241" s="386"/>
      <c r="AJ241" s="13"/>
      <c r="AK241" s="386"/>
      <c r="AL241" s="386"/>
      <c r="AM241" s="386"/>
      <c r="AN241" s="266"/>
      <c r="AO241" s="366"/>
      <c r="AP241" s="410"/>
      <c r="AQ241" s="410"/>
      <c r="AR241" s="410"/>
      <c r="AS241" s="410"/>
      <c r="AT241" s="410"/>
      <c r="AU241" s="410"/>
      <c r="AV241" s="410"/>
      <c r="AW241" s="410"/>
      <c r="AX241" s="410"/>
      <c r="AY241" s="410"/>
      <c r="AZ241" s="410"/>
      <c r="BA241" s="410"/>
      <c r="BB241" s="410"/>
      <c r="BC241" s="410"/>
      <c r="BD241" s="410"/>
      <c r="BE241" s="410"/>
      <c r="BF241" s="410"/>
      <c r="BG241" s="410"/>
      <c r="BH241" s="410"/>
      <c r="BI241" s="266"/>
      <c r="BJ241" s="266"/>
    </row>
    <row r="242" spans="1:62" ht="14.4" customHeight="1">
      <c r="A242" s="265"/>
      <c r="B242" s="266"/>
      <c r="C242" s="366"/>
      <c r="D242" s="410"/>
      <c r="E242" s="410"/>
      <c r="F242" s="410"/>
      <c r="G242" s="410"/>
      <c r="H242" s="410"/>
      <c r="I242" s="410"/>
      <c r="J242" s="410"/>
      <c r="K242" s="410"/>
      <c r="L242" s="410"/>
      <c r="M242" s="410"/>
      <c r="N242" s="410"/>
      <c r="O242" s="410"/>
      <c r="P242" s="410"/>
      <c r="Q242" s="410"/>
      <c r="R242" s="410"/>
      <c r="S242" s="410"/>
      <c r="T242" s="410"/>
      <c r="U242" s="410"/>
      <c r="V242" s="410"/>
      <c r="W242" s="290"/>
      <c r="X242" s="290"/>
      <c r="Y242" s="290"/>
      <c r="Z242" s="290"/>
      <c r="AA242" s="290"/>
      <c r="AB242" s="385"/>
      <c r="AC242" s="13"/>
      <c r="AD242" s="390"/>
      <c r="AE242" s="388"/>
      <c r="AF242" s="388"/>
      <c r="AG242" s="386"/>
      <c r="AH242" s="389"/>
      <c r="AI242" s="386"/>
      <c r="AJ242" s="13"/>
      <c r="AK242" s="266"/>
      <c r="AL242" s="266"/>
      <c r="AM242" s="266"/>
      <c r="AN242" s="266"/>
      <c r="AO242" s="366" t="str">
        <f>IF(Obliczenia!AP12&lt;&gt;0,Obliczenia!AP12,"")</f>
        <v/>
      </c>
      <c r="AP242" s="410"/>
      <c r="AQ242" s="410"/>
      <c r="AR242" s="410"/>
      <c r="AS242" s="410"/>
      <c r="AT242" s="410"/>
      <c r="AU242" s="410"/>
      <c r="AV242" s="410"/>
      <c r="AW242" s="410"/>
      <c r="AX242" s="410"/>
      <c r="AY242" s="410"/>
      <c r="AZ242" s="410"/>
      <c r="BA242" s="410"/>
      <c r="BB242" s="410"/>
      <c r="BC242" s="410"/>
      <c r="BD242" s="410"/>
      <c r="BE242" s="410"/>
      <c r="BF242" s="410"/>
      <c r="BG242" s="410"/>
      <c r="BH242" s="410"/>
      <c r="BI242" s="266"/>
      <c r="BJ242" s="266"/>
    </row>
    <row r="243" spans="1:62" ht="14.4" customHeight="1">
      <c r="A243" s="265"/>
      <c r="B243" s="266"/>
      <c r="C243" s="366"/>
      <c r="D243" s="410"/>
      <c r="E243" s="410"/>
      <c r="F243" s="410"/>
      <c r="G243" s="410"/>
      <c r="H243" s="410"/>
      <c r="I243" s="410"/>
      <c r="J243" s="410"/>
      <c r="K243" s="410"/>
      <c r="L243" s="410"/>
      <c r="M243" s="410"/>
      <c r="N243" s="410"/>
      <c r="O243" s="410"/>
      <c r="P243" s="410"/>
      <c r="Q243" s="410"/>
      <c r="R243" s="410"/>
      <c r="S243" s="410"/>
      <c r="T243" s="410"/>
      <c r="U243" s="410"/>
      <c r="V243" s="410"/>
      <c r="W243" s="290"/>
      <c r="X243" s="290"/>
      <c r="Y243" s="290"/>
      <c r="Z243" s="290"/>
      <c r="AA243" s="290"/>
      <c r="AB243" s="385"/>
      <c r="AC243" s="13"/>
      <c r="AD243" s="390"/>
      <c r="AE243" s="388"/>
      <c r="AF243" s="388"/>
      <c r="AG243" s="386"/>
      <c r="AH243" s="389"/>
      <c r="AI243" s="386"/>
      <c r="AJ243" s="13"/>
      <c r="AK243" s="266"/>
      <c r="AL243" s="266"/>
      <c r="AM243" s="266"/>
      <c r="AN243" s="266"/>
      <c r="AO243" s="366"/>
      <c r="AP243" s="410"/>
      <c r="AQ243" s="410"/>
      <c r="AR243" s="410"/>
      <c r="AS243" s="410"/>
      <c r="AT243" s="410"/>
      <c r="AU243" s="410"/>
      <c r="AV243" s="410"/>
      <c r="AW243" s="410"/>
      <c r="AX243" s="410"/>
      <c r="AY243" s="410"/>
      <c r="AZ243" s="410"/>
      <c r="BA243" s="410"/>
      <c r="BB243" s="410"/>
      <c r="BC243" s="410"/>
      <c r="BD243" s="410"/>
      <c r="BE243" s="410"/>
      <c r="BF243" s="410"/>
      <c r="BG243" s="410"/>
      <c r="BH243" s="410"/>
      <c r="BI243" s="266"/>
      <c r="BJ243" s="266"/>
    </row>
    <row r="244" spans="1:62" ht="14.4" customHeight="1">
      <c r="A244" s="265"/>
      <c r="B244" s="266"/>
      <c r="C244" s="366"/>
      <c r="D244" s="410"/>
      <c r="E244" s="410"/>
      <c r="F244" s="410"/>
      <c r="G244" s="410"/>
      <c r="H244" s="410"/>
      <c r="I244" s="410"/>
      <c r="J244" s="410"/>
      <c r="K244" s="410"/>
      <c r="L244" s="410"/>
      <c r="M244" s="410"/>
      <c r="N244" s="410"/>
      <c r="O244" s="410"/>
      <c r="P244" s="410"/>
      <c r="Q244" s="410"/>
      <c r="R244" s="410"/>
      <c r="S244" s="410"/>
      <c r="T244" s="410"/>
      <c r="U244" s="410"/>
      <c r="V244" s="410"/>
      <c r="W244" s="290"/>
      <c r="X244" s="290"/>
      <c r="Y244" s="290"/>
      <c r="Z244" s="290"/>
      <c r="AA244" s="290"/>
      <c r="AB244" s="385"/>
      <c r="AC244" s="13"/>
      <c r="AD244" s="390"/>
      <c r="AE244" s="388"/>
      <c r="AF244" s="388"/>
      <c r="AG244" s="386"/>
      <c r="AH244" s="389"/>
      <c r="AI244" s="386"/>
      <c r="AJ244" s="13"/>
      <c r="AK244" s="266"/>
      <c r="AL244" s="266"/>
      <c r="AM244" s="266"/>
      <c r="AN244" s="266"/>
      <c r="AO244" s="366">
        <f>IF(Obliczenia!AP13&lt;&gt;0,Obliczenia!AP13,"")</f>
        <v>1</v>
      </c>
      <c r="AP244" s="410"/>
      <c r="AQ244" s="410"/>
      <c r="AR244" s="410"/>
      <c r="AS244" s="410"/>
      <c r="AT244" s="410"/>
      <c r="AU244" s="410"/>
      <c r="AV244" s="410"/>
      <c r="AW244" s="410"/>
      <c r="AX244" s="410"/>
      <c r="AY244" s="410"/>
      <c r="AZ244" s="410"/>
      <c r="BA244" s="410"/>
      <c r="BB244" s="410"/>
      <c r="BC244" s="410"/>
      <c r="BD244" s="410"/>
      <c r="BE244" s="410"/>
      <c r="BF244" s="410"/>
      <c r="BG244" s="410"/>
      <c r="BH244" s="410"/>
      <c r="BI244" s="266"/>
      <c r="BJ244" s="266"/>
    </row>
    <row r="245" spans="1:62" ht="14.4" customHeight="1">
      <c r="A245" s="265"/>
      <c r="B245" s="266"/>
      <c r="C245" s="366"/>
      <c r="D245" s="410"/>
      <c r="E245" s="410"/>
      <c r="F245" s="410"/>
      <c r="G245" s="410"/>
      <c r="H245" s="410"/>
      <c r="I245" s="410"/>
      <c r="J245" s="410"/>
      <c r="K245" s="410"/>
      <c r="L245" s="410"/>
      <c r="M245" s="410"/>
      <c r="N245" s="410"/>
      <c r="O245" s="410"/>
      <c r="P245" s="410"/>
      <c r="Q245" s="410"/>
      <c r="R245" s="410"/>
      <c r="S245" s="410"/>
      <c r="T245" s="410"/>
      <c r="U245" s="410"/>
      <c r="V245" s="410"/>
      <c r="W245" s="290"/>
      <c r="X245" s="290"/>
      <c r="Y245" s="290"/>
      <c r="Z245" s="290"/>
      <c r="AA245" s="290"/>
      <c r="AB245" s="385"/>
      <c r="AC245" s="13"/>
      <c r="AD245" s="390"/>
      <c r="AE245" s="388"/>
      <c r="AF245" s="388"/>
      <c r="AG245" s="386"/>
      <c r="AH245" s="389"/>
      <c r="AI245" s="386"/>
      <c r="AJ245" s="13"/>
      <c r="AK245" s="266"/>
      <c r="AL245" s="266"/>
      <c r="AM245" s="266"/>
      <c r="AN245" s="266"/>
      <c r="AO245" s="366"/>
      <c r="AP245" s="410"/>
      <c r="AQ245" s="410"/>
      <c r="AR245" s="410"/>
      <c r="AS245" s="410"/>
      <c r="AT245" s="410"/>
      <c r="AU245" s="410"/>
      <c r="AV245" s="410"/>
      <c r="AW245" s="410"/>
      <c r="AX245" s="410"/>
      <c r="AY245" s="410"/>
      <c r="AZ245" s="410"/>
      <c r="BA245" s="410"/>
      <c r="BB245" s="410"/>
      <c r="BC245" s="410"/>
      <c r="BD245" s="410"/>
      <c r="BE245" s="410"/>
      <c r="BF245" s="410"/>
      <c r="BG245" s="410"/>
      <c r="BH245" s="410"/>
      <c r="BI245" s="266"/>
      <c r="BJ245" s="266"/>
    </row>
    <row r="246" spans="1:62" ht="14.4" customHeight="1">
      <c r="A246" s="265"/>
      <c r="B246" s="266"/>
      <c r="C246" s="366"/>
      <c r="D246" s="410"/>
      <c r="E246" s="410"/>
      <c r="F246" s="410"/>
      <c r="G246" s="410"/>
      <c r="H246" s="410"/>
      <c r="I246" s="410"/>
      <c r="J246" s="410"/>
      <c r="K246" s="410"/>
      <c r="L246" s="410"/>
      <c r="M246" s="410"/>
      <c r="N246" s="410"/>
      <c r="O246" s="410"/>
      <c r="P246" s="410"/>
      <c r="Q246" s="410"/>
      <c r="R246" s="410"/>
      <c r="S246" s="410"/>
      <c r="T246" s="410"/>
      <c r="U246" s="410"/>
      <c r="V246" s="410"/>
      <c r="W246" s="290"/>
      <c r="X246" s="290"/>
      <c r="Y246" s="290"/>
      <c r="Z246" s="290"/>
      <c r="AA246" s="290"/>
      <c r="AB246" s="385"/>
      <c r="AC246" s="13"/>
      <c r="AD246" s="390"/>
      <c r="AE246" s="388"/>
      <c r="AF246" s="388"/>
      <c r="AG246" s="386"/>
      <c r="AH246" s="389"/>
      <c r="AI246" s="386"/>
      <c r="AJ246" s="13"/>
      <c r="AK246" s="266"/>
      <c r="AL246" s="266"/>
      <c r="AM246" s="266"/>
      <c r="AN246" s="266"/>
      <c r="AO246" s="366"/>
      <c r="AP246" s="410"/>
      <c r="AQ246" s="410"/>
      <c r="AR246" s="410"/>
      <c r="AS246" s="410"/>
      <c r="AT246" s="410"/>
      <c r="AU246" s="410"/>
      <c r="AV246" s="410"/>
      <c r="AW246" s="410"/>
      <c r="AX246" s="410"/>
      <c r="AY246" s="410"/>
      <c r="AZ246" s="410"/>
      <c r="BA246" s="410"/>
      <c r="BB246" s="410"/>
      <c r="BC246" s="410"/>
      <c r="BD246" s="410"/>
      <c r="BE246" s="410"/>
      <c r="BF246" s="410"/>
      <c r="BG246" s="410"/>
      <c r="BH246" s="410"/>
      <c r="BI246" s="266"/>
      <c r="BJ246" s="266"/>
    </row>
    <row r="247" spans="1:62" ht="14.4" customHeight="1">
      <c r="A247" s="265"/>
      <c r="B247" s="266"/>
      <c r="C247" s="366"/>
      <c r="D247" s="410"/>
      <c r="E247" s="410"/>
      <c r="F247" s="410"/>
      <c r="G247" s="410"/>
      <c r="H247" s="410"/>
      <c r="I247" s="410"/>
      <c r="J247" s="410"/>
      <c r="K247" s="410"/>
      <c r="L247" s="410"/>
      <c r="M247" s="410"/>
      <c r="N247" s="410"/>
      <c r="O247" s="410"/>
      <c r="P247" s="410"/>
      <c r="Q247" s="410"/>
      <c r="R247" s="410"/>
      <c r="S247" s="410"/>
      <c r="T247" s="410"/>
      <c r="U247" s="410"/>
      <c r="V247" s="410"/>
      <c r="W247" s="290"/>
      <c r="X247" s="290"/>
      <c r="Y247" s="290"/>
      <c r="Z247" s="290"/>
      <c r="AA247" s="290"/>
      <c r="AB247" s="385"/>
      <c r="AC247" s="13"/>
      <c r="AD247" s="390"/>
      <c r="AE247" s="388"/>
      <c r="AF247" s="388"/>
      <c r="AG247" s="386"/>
      <c r="AH247" s="389"/>
      <c r="AI247" s="386"/>
      <c r="AJ247" s="13"/>
      <c r="AK247" s="266"/>
      <c r="AL247" s="266"/>
      <c r="AM247" s="266"/>
      <c r="AN247" s="266"/>
      <c r="AO247" s="366"/>
      <c r="AP247" s="410"/>
      <c r="AQ247" s="410"/>
      <c r="AR247" s="410"/>
      <c r="AS247" s="410"/>
      <c r="AT247" s="410"/>
      <c r="AU247" s="410"/>
      <c r="AV247" s="410"/>
      <c r="AW247" s="410"/>
      <c r="AX247" s="410"/>
      <c r="AY247" s="410"/>
      <c r="AZ247" s="410"/>
      <c r="BA247" s="410"/>
      <c r="BB247" s="410"/>
      <c r="BC247" s="410"/>
      <c r="BD247" s="410"/>
      <c r="BE247" s="410"/>
      <c r="BF247" s="410"/>
      <c r="BG247" s="410"/>
      <c r="BH247" s="410"/>
      <c r="BI247" s="266"/>
      <c r="BJ247" s="266"/>
    </row>
    <row r="248" spans="1:62" ht="14.4" customHeight="1">
      <c r="A248" s="265"/>
      <c r="B248" s="266"/>
      <c r="C248" s="366"/>
      <c r="D248" s="410"/>
      <c r="E248" s="410"/>
      <c r="F248" s="410"/>
      <c r="G248" s="410"/>
      <c r="H248" s="410"/>
      <c r="I248" s="410"/>
      <c r="J248" s="410"/>
      <c r="K248" s="410"/>
      <c r="L248" s="410"/>
      <c r="M248" s="410"/>
      <c r="N248" s="410"/>
      <c r="O248" s="410"/>
      <c r="P248" s="410"/>
      <c r="Q248" s="410"/>
      <c r="R248" s="410"/>
      <c r="S248" s="410"/>
      <c r="T248" s="410"/>
      <c r="U248" s="410"/>
      <c r="V248" s="410"/>
      <c r="W248" s="290"/>
      <c r="X248" s="290"/>
      <c r="Y248" s="290"/>
      <c r="Z248" s="290"/>
      <c r="AA248" s="290"/>
      <c r="AB248" s="385"/>
      <c r="AC248" s="13"/>
      <c r="AD248" s="390"/>
      <c r="AE248" s="388"/>
      <c r="AF248" s="388"/>
      <c r="AG248" s="386"/>
      <c r="AH248" s="389"/>
      <c r="AI248" s="386"/>
      <c r="AJ248" s="13"/>
      <c r="AK248" s="266"/>
      <c r="AL248" s="266"/>
      <c r="AM248" s="266"/>
      <c r="AN248" s="266"/>
      <c r="AO248" s="366"/>
      <c r="AP248" s="410"/>
      <c r="AQ248" s="410"/>
      <c r="AR248" s="410"/>
      <c r="AS248" s="410"/>
      <c r="AT248" s="410"/>
      <c r="AU248" s="410"/>
      <c r="AV248" s="410"/>
      <c r="AW248" s="410"/>
      <c r="AX248" s="410"/>
      <c r="AY248" s="410"/>
      <c r="AZ248" s="410"/>
      <c r="BA248" s="410"/>
      <c r="BB248" s="410"/>
      <c r="BC248" s="410"/>
      <c r="BD248" s="410"/>
      <c r="BE248" s="410"/>
      <c r="BF248" s="410"/>
      <c r="BG248" s="410"/>
      <c r="BH248" s="410"/>
      <c r="BI248" s="266"/>
      <c r="BJ248" s="266"/>
    </row>
    <row r="249" spans="1:62" ht="14.4" customHeight="1">
      <c r="A249" s="265"/>
      <c r="B249" s="266"/>
      <c r="C249" s="366"/>
      <c r="D249" s="410"/>
      <c r="E249" s="410"/>
      <c r="F249" s="410"/>
      <c r="G249" s="410"/>
      <c r="H249" s="410"/>
      <c r="I249" s="410"/>
      <c r="J249" s="410"/>
      <c r="K249" s="410"/>
      <c r="L249" s="410"/>
      <c r="M249" s="410"/>
      <c r="N249" s="410"/>
      <c r="O249" s="410"/>
      <c r="P249" s="410"/>
      <c r="Q249" s="410"/>
      <c r="R249" s="410"/>
      <c r="S249" s="410"/>
      <c r="T249" s="410"/>
      <c r="U249" s="410"/>
      <c r="V249" s="410"/>
      <c r="W249" s="290"/>
      <c r="X249" s="290"/>
      <c r="Y249" s="290"/>
      <c r="Z249" s="290"/>
      <c r="AA249" s="290"/>
      <c r="AB249" s="385"/>
      <c r="AC249" s="13"/>
      <c r="AD249" s="390"/>
      <c r="AE249" s="388"/>
      <c r="AF249" s="388"/>
      <c r="AG249" s="386"/>
      <c r="AH249" s="389"/>
      <c r="AI249" s="386"/>
      <c r="AJ249" s="13"/>
      <c r="AK249" s="266"/>
      <c r="AL249" s="266"/>
      <c r="AM249" s="266"/>
      <c r="AN249" s="266"/>
      <c r="AO249" s="366"/>
      <c r="AP249" s="410"/>
      <c r="AQ249" s="410"/>
      <c r="AR249" s="410"/>
      <c r="AS249" s="410"/>
      <c r="AT249" s="410"/>
      <c r="AU249" s="410"/>
      <c r="AV249" s="410"/>
      <c r="AW249" s="410"/>
      <c r="AX249" s="410"/>
      <c r="AY249" s="410"/>
      <c r="AZ249" s="410"/>
      <c r="BA249" s="410"/>
      <c r="BB249" s="410"/>
      <c r="BC249" s="410"/>
      <c r="BD249" s="410"/>
      <c r="BE249" s="410"/>
      <c r="BF249" s="410"/>
      <c r="BG249" s="410"/>
      <c r="BH249" s="410"/>
      <c r="BI249" s="266"/>
      <c r="BJ249" s="266"/>
    </row>
    <row r="250" spans="1:62" ht="14.4" customHeight="1">
      <c r="A250" s="265"/>
      <c r="B250" s="266"/>
      <c r="C250" s="366"/>
      <c r="D250" s="410"/>
      <c r="E250" s="410"/>
      <c r="F250" s="410"/>
      <c r="G250" s="410"/>
      <c r="H250" s="410"/>
      <c r="I250" s="410"/>
      <c r="J250" s="410"/>
      <c r="K250" s="410"/>
      <c r="L250" s="410"/>
      <c r="M250" s="410"/>
      <c r="N250" s="410"/>
      <c r="O250" s="410"/>
      <c r="P250" s="410"/>
      <c r="Q250" s="410"/>
      <c r="R250" s="410"/>
      <c r="S250" s="410"/>
      <c r="T250" s="410"/>
      <c r="U250" s="410"/>
      <c r="V250" s="410"/>
      <c r="W250" s="290"/>
      <c r="X250" s="290"/>
      <c r="Y250" s="290"/>
      <c r="Z250" s="290"/>
      <c r="AA250" s="290"/>
      <c r="AB250" s="385"/>
      <c r="AC250" s="13"/>
      <c r="AD250" s="390"/>
      <c r="AE250" s="388"/>
      <c r="AF250" s="388"/>
      <c r="AG250" s="386"/>
      <c r="AH250" s="389"/>
      <c r="AI250" s="386"/>
      <c r="AJ250" s="13"/>
      <c r="AK250" s="266"/>
      <c r="AL250" s="266"/>
      <c r="AM250" s="266"/>
      <c r="AN250" s="266"/>
      <c r="AO250" s="366"/>
      <c r="AP250" s="410"/>
      <c r="AQ250" s="410"/>
      <c r="AR250" s="410"/>
      <c r="AS250" s="410"/>
      <c r="AT250" s="410"/>
      <c r="AU250" s="410"/>
      <c r="AV250" s="410"/>
      <c r="AW250" s="410"/>
      <c r="AX250" s="410"/>
      <c r="AY250" s="410"/>
      <c r="AZ250" s="410"/>
      <c r="BA250" s="410"/>
      <c r="BB250" s="410"/>
      <c r="BC250" s="410"/>
      <c r="BD250" s="410"/>
      <c r="BE250" s="410"/>
      <c r="BF250" s="410"/>
      <c r="BG250" s="410"/>
      <c r="BH250" s="410"/>
      <c r="BI250" s="266"/>
      <c r="BJ250" s="266"/>
    </row>
    <row r="251" spans="1:62" ht="14.4" customHeight="1">
      <c r="A251" s="265"/>
      <c r="B251" s="266"/>
      <c r="C251" s="366"/>
      <c r="D251" s="410"/>
      <c r="E251" s="410"/>
      <c r="F251" s="410"/>
      <c r="G251" s="410"/>
      <c r="H251" s="410"/>
      <c r="I251" s="410"/>
      <c r="J251" s="410"/>
      <c r="K251" s="410"/>
      <c r="L251" s="410"/>
      <c r="M251" s="410"/>
      <c r="N251" s="410"/>
      <c r="O251" s="410"/>
      <c r="P251" s="410"/>
      <c r="Q251" s="410"/>
      <c r="R251" s="410"/>
      <c r="S251" s="410"/>
      <c r="T251" s="410"/>
      <c r="U251" s="410"/>
      <c r="V251" s="410"/>
      <c r="W251" s="290"/>
      <c r="X251" s="290"/>
      <c r="Y251" s="290"/>
      <c r="Z251" s="290"/>
      <c r="AA251" s="290"/>
      <c r="AB251" s="290"/>
      <c r="AC251" s="290"/>
      <c r="AD251" s="266"/>
      <c r="AE251" s="266"/>
      <c r="AF251" s="266"/>
      <c r="AG251" s="266"/>
      <c r="AH251" s="386"/>
      <c r="AI251" s="266"/>
      <c r="AJ251" s="13"/>
      <c r="AK251" s="266"/>
      <c r="AL251" s="266"/>
      <c r="AM251" s="266"/>
      <c r="AN251" s="266"/>
      <c r="AO251" s="366" t="str">
        <f>IF(Obliczenia!AP14&lt;&gt;0,Obliczenia!AP14,"")</f>
        <v/>
      </c>
      <c r="AP251" s="410"/>
      <c r="AQ251" s="410"/>
      <c r="AR251" s="410"/>
      <c r="AS251" s="410"/>
      <c r="AT251" s="410"/>
      <c r="AU251" s="410"/>
      <c r="AV251" s="410"/>
      <c r="AW251" s="410"/>
      <c r="AX251" s="410"/>
      <c r="AY251" s="410"/>
      <c r="AZ251" s="410"/>
      <c r="BA251" s="410"/>
      <c r="BB251" s="410"/>
      <c r="BC251" s="410"/>
      <c r="BD251" s="410"/>
      <c r="BE251" s="410"/>
      <c r="BF251" s="410"/>
      <c r="BG251" s="410"/>
      <c r="BH251" s="410"/>
      <c r="BI251" s="266"/>
      <c r="BJ251" s="266"/>
    </row>
    <row r="252" spans="1:62" ht="14.4" customHeight="1">
      <c r="A252" s="265"/>
      <c r="B252" s="266"/>
      <c r="C252" s="366"/>
      <c r="D252" s="410"/>
      <c r="E252" s="410"/>
      <c r="F252" s="410"/>
      <c r="G252" s="410"/>
      <c r="H252" s="410"/>
      <c r="I252" s="410"/>
      <c r="J252" s="410"/>
      <c r="K252" s="410"/>
      <c r="L252" s="410"/>
      <c r="M252" s="410"/>
      <c r="N252" s="410"/>
      <c r="O252" s="410"/>
      <c r="P252" s="410"/>
      <c r="Q252" s="410"/>
      <c r="R252" s="410"/>
      <c r="S252" s="410"/>
      <c r="T252" s="410"/>
      <c r="U252" s="410"/>
      <c r="V252" s="410"/>
      <c r="W252" s="290"/>
      <c r="X252" s="290"/>
      <c r="Y252" s="290"/>
      <c r="Z252" s="290"/>
      <c r="AA252" s="290"/>
      <c r="AB252" s="290"/>
      <c r="AC252" s="290"/>
      <c r="AD252" s="266"/>
      <c r="AE252" s="266"/>
      <c r="AF252" s="266"/>
      <c r="AG252" s="266"/>
      <c r="AH252" s="386"/>
      <c r="AI252" s="266"/>
      <c r="AJ252" s="13"/>
      <c r="AK252" s="266"/>
      <c r="AL252" s="266"/>
      <c r="AM252" s="266"/>
      <c r="AN252" s="266"/>
      <c r="AO252" s="366">
        <f>IF(Obliczenia!AP15&lt;&gt;0,Obliczenia!AP15,"")</f>
        <v>1</v>
      </c>
      <c r="AP252" s="410"/>
      <c r="AQ252" s="410"/>
      <c r="AR252" s="410"/>
      <c r="AS252" s="410"/>
      <c r="AT252" s="410"/>
      <c r="AU252" s="410"/>
      <c r="AV252" s="410"/>
      <c r="AW252" s="410"/>
      <c r="AX252" s="410"/>
      <c r="AY252" s="410"/>
      <c r="AZ252" s="410"/>
      <c r="BA252" s="410"/>
      <c r="BB252" s="410"/>
      <c r="BC252" s="410"/>
      <c r="BD252" s="410"/>
      <c r="BE252" s="410"/>
      <c r="BF252" s="410"/>
      <c r="BG252" s="410"/>
      <c r="BH252" s="410"/>
      <c r="BI252" s="266"/>
      <c r="BJ252" s="266"/>
    </row>
    <row r="253" spans="1:62" ht="14.4" customHeight="1">
      <c r="A253" s="265"/>
      <c r="B253" s="266"/>
      <c r="C253" s="366"/>
      <c r="D253" s="410"/>
      <c r="E253" s="410"/>
      <c r="F253" s="410"/>
      <c r="G253" s="410"/>
      <c r="H253" s="410"/>
      <c r="I253" s="410"/>
      <c r="J253" s="410"/>
      <c r="K253" s="410"/>
      <c r="L253" s="410"/>
      <c r="M253" s="410"/>
      <c r="N253" s="410"/>
      <c r="O253" s="410"/>
      <c r="P253" s="410"/>
      <c r="Q253" s="410"/>
      <c r="R253" s="410"/>
      <c r="S253" s="410"/>
      <c r="T253" s="410"/>
      <c r="U253" s="410"/>
      <c r="V253" s="410"/>
      <c r="W253" s="290"/>
      <c r="X253" s="290"/>
      <c r="Y253" s="290"/>
      <c r="Z253" s="290"/>
      <c r="AA253" s="290"/>
      <c r="AB253" s="290"/>
      <c r="AC253" s="290"/>
      <c r="AD253" s="266"/>
      <c r="AE253" s="266"/>
      <c r="AF253" s="266"/>
      <c r="AG253" s="266"/>
      <c r="AH253" s="386"/>
      <c r="AI253" s="266"/>
      <c r="AJ253" s="13"/>
      <c r="AK253" s="266"/>
      <c r="AL253" s="386"/>
      <c r="AM253" s="386"/>
      <c r="AN253" s="266"/>
      <c r="AO253" s="366">
        <f>IF(Obliczenia!AP16&lt;&gt;0,Obliczenia!AP16,"")</f>
        <v>2</v>
      </c>
      <c r="AP253" s="410"/>
      <c r="AQ253" s="410"/>
      <c r="AR253" s="410"/>
      <c r="AS253" s="410"/>
      <c r="AT253" s="410"/>
      <c r="AU253" s="410"/>
      <c r="AV253" s="410"/>
      <c r="AW253" s="410"/>
      <c r="AX253" s="410"/>
      <c r="AY253" s="410"/>
      <c r="AZ253" s="410"/>
      <c r="BA253" s="410"/>
      <c r="BB253" s="410"/>
      <c r="BC253" s="410"/>
      <c r="BD253" s="410"/>
      <c r="BE253" s="410"/>
      <c r="BF253" s="410"/>
      <c r="BG253" s="410"/>
      <c r="BH253" s="410"/>
      <c r="BI253" s="266"/>
      <c r="BJ253" s="266"/>
    </row>
    <row r="254" spans="1:62" ht="14.4" customHeight="1">
      <c r="A254" s="265"/>
      <c r="B254" s="266"/>
      <c r="C254" s="366"/>
      <c r="D254" s="410"/>
      <c r="E254" s="410"/>
      <c r="F254" s="410"/>
      <c r="G254" s="410"/>
      <c r="H254" s="410"/>
      <c r="I254" s="410"/>
      <c r="J254" s="410"/>
      <c r="K254" s="410"/>
      <c r="L254" s="410"/>
      <c r="M254" s="410"/>
      <c r="N254" s="410"/>
      <c r="O254" s="410"/>
      <c r="P254" s="410"/>
      <c r="Q254" s="410"/>
      <c r="R254" s="410"/>
      <c r="S254" s="410"/>
      <c r="T254" s="410"/>
      <c r="U254" s="410"/>
      <c r="V254" s="410"/>
      <c r="W254" s="290"/>
      <c r="X254" s="290"/>
      <c r="Y254" s="290"/>
      <c r="Z254" s="290"/>
      <c r="AA254" s="290"/>
      <c r="AB254" s="290"/>
      <c r="AC254" s="290"/>
      <c r="AD254" s="266"/>
      <c r="AE254" s="266"/>
      <c r="AF254" s="266"/>
      <c r="AG254" s="266"/>
      <c r="AH254" s="386"/>
      <c r="AI254" s="386"/>
      <c r="AJ254" s="13"/>
      <c r="AK254" s="266"/>
      <c r="AL254" s="266"/>
      <c r="AM254" s="386"/>
      <c r="AN254" s="266"/>
      <c r="AO254" s="366" t="str">
        <f>IF(Obliczenia!AP17&lt;&gt;0,Obliczenia!AP17,"")</f>
        <v/>
      </c>
      <c r="AP254" s="410"/>
      <c r="AQ254" s="410"/>
      <c r="AR254" s="410"/>
      <c r="AS254" s="410"/>
      <c r="AT254" s="410"/>
      <c r="AU254" s="410"/>
      <c r="AV254" s="410"/>
      <c r="AW254" s="410"/>
      <c r="AX254" s="410"/>
      <c r="AY254" s="410"/>
      <c r="AZ254" s="410"/>
      <c r="BA254" s="410"/>
      <c r="BB254" s="410"/>
      <c r="BC254" s="410"/>
      <c r="BD254" s="410"/>
      <c r="BE254" s="410"/>
      <c r="BF254" s="410"/>
      <c r="BG254" s="410"/>
      <c r="BH254" s="410"/>
      <c r="BI254" s="266"/>
      <c r="BJ254" s="266"/>
    </row>
    <row r="255" spans="1:62" ht="14.4" customHeight="1">
      <c r="A255" s="265"/>
      <c r="B255" s="266"/>
      <c r="C255" s="366"/>
      <c r="D255" s="410"/>
      <c r="E255" s="410"/>
      <c r="F255" s="410"/>
      <c r="G255" s="410"/>
      <c r="H255" s="410"/>
      <c r="I255" s="410"/>
      <c r="J255" s="410"/>
      <c r="K255" s="410"/>
      <c r="L255" s="410"/>
      <c r="M255" s="410"/>
      <c r="N255" s="410"/>
      <c r="O255" s="410"/>
      <c r="P255" s="410"/>
      <c r="Q255" s="410"/>
      <c r="R255" s="410"/>
      <c r="S255" s="410"/>
      <c r="T255" s="410"/>
      <c r="U255" s="410"/>
      <c r="V255" s="410"/>
      <c r="W255" s="290"/>
      <c r="X255" s="290"/>
      <c r="Y255" s="290"/>
      <c r="Z255" s="290"/>
      <c r="AA255" s="290"/>
      <c r="AB255" s="290"/>
      <c r="AC255" s="290"/>
      <c r="AD255" s="266"/>
      <c r="AE255" s="266"/>
      <c r="AF255" s="266"/>
      <c r="AG255" s="266"/>
      <c r="AH255" s="386"/>
      <c r="AI255" s="386"/>
      <c r="AJ255" s="13"/>
      <c r="AK255" s="266"/>
      <c r="AL255" s="266"/>
      <c r="AM255" s="386"/>
      <c r="AN255" s="266"/>
      <c r="AO255" s="366" t="str">
        <f>IF(Obliczenia!AP18&lt;&gt;0,Obliczenia!AP18,"")</f>
        <v/>
      </c>
      <c r="AP255" s="410"/>
      <c r="AQ255" s="410"/>
      <c r="AR255" s="410"/>
      <c r="AS255" s="410"/>
      <c r="AT255" s="410"/>
      <c r="AU255" s="410"/>
      <c r="AV255" s="410"/>
      <c r="AW255" s="410"/>
      <c r="AX255" s="410"/>
      <c r="AY255" s="410"/>
      <c r="AZ255" s="410"/>
      <c r="BA255" s="410"/>
      <c r="BB255" s="410"/>
      <c r="BC255" s="410"/>
      <c r="BD255" s="410"/>
      <c r="BE255" s="410"/>
      <c r="BF255" s="410"/>
      <c r="BG255" s="410"/>
      <c r="BH255" s="410"/>
      <c r="BI255" s="266"/>
      <c r="BJ255" s="266"/>
    </row>
    <row r="256" spans="1:62" ht="14.4" customHeight="1">
      <c r="A256" s="265"/>
      <c r="B256" s="266"/>
      <c r="C256" s="366"/>
      <c r="D256" s="410"/>
      <c r="E256" s="410"/>
      <c r="F256" s="410"/>
      <c r="G256" s="410"/>
      <c r="H256" s="410"/>
      <c r="I256" s="410"/>
      <c r="J256" s="410"/>
      <c r="K256" s="410"/>
      <c r="L256" s="410"/>
      <c r="M256" s="410"/>
      <c r="N256" s="410"/>
      <c r="O256" s="410"/>
      <c r="P256" s="410"/>
      <c r="Q256" s="410"/>
      <c r="R256" s="410"/>
      <c r="S256" s="410"/>
      <c r="T256" s="410"/>
      <c r="U256" s="410"/>
      <c r="V256" s="410"/>
      <c r="W256" s="290"/>
      <c r="X256" s="290"/>
      <c r="Y256" s="290"/>
      <c r="Z256" s="290"/>
      <c r="AA256" s="290"/>
      <c r="AB256" s="290"/>
      <c r="AC256" s="290"/>
      <c r="AD256" s="266"/>
      <c r="AE256" s="266"/>
      <c r="AF256" s="266"/>
      <c r="AG256" s="266"/>
      <c r="AH256" s="386"/>
      <c r="AI256" s="386"/>
      <c r="AJ256" s="13"/>
      <c r="AK256" s="266"/>
      <c r="AL256" s="266"/>
      <c r="AM256" s="266"/>
      <c r="AN256" s="266"/>
      <c r="AO256" s="366"/>
      <c r="AP256" s="410"/>
      <c r="AQ256" s="410"/>
      <c r="AR256" s="410"/>
      <c r="AS256" s="410"/>
      <c r="AT256" s="410"/>
      <c r="AU256" s="410"/>
      <c r="AV256" s="410"/>
      <c r="AW256" s="410"/>
      <c r="AX256" s="410"/>
      <c r="AY256" s="410"/>
      <c r="AZ256" s="410"/>
      <c r="BA256" s="410"/>
      <c r="BB256" s="410"/>
      <c r="BC256" s="410"/>
      <c r="BD256" s="410"/>
      <c r="BE256" s="410"/>
      <c r="BF256" s="410"/>
      <c r="BG256" s="410"/>
      <c r="BH256" s="410"/>
      <c r="BI256" s="266"/>
      <c r="BJ256" s="266"/>
    </row>
    <row r="257" spans="4:60" s="13" customFormat="1">
      <c r="D257" s="595"/>
      <c r="E257" s="595"/>
      <c r="F257" s="595"/>
      <c r="G257" s="595"/>
      <c r="H257" s="595"/>
      <c r="I257" s="595"/>
      <c r="J257" s="595"/>
      <c r="K257" s="595"/>
      <c r="L257" s="595"/>
      <c r="M257" s="595"/>
      <c r="N257" s="595"/>
      <c r="O257" s="595"/>
      <c r="P257" s="595"/>
      <c r="Q257" s="595"/>
      <c r="R257" s="595"/>
      <c r="S257" s="595"/>
      <c r="T257" s="595"/>
      <c r="U257" s="595"/>
      <c r="V257" s="595"/>
      <c r="AP257" s="595"/>
      <c r="AQ257" s="595"/>
      <c r="AR257" s="595"/>
      <c r="AS257" s="595"/>
      <c r="AT257" s="595"/>
      <c r="AU257" s="595"/>
      <c r="AV257" s="595"/>
      <c r="AW257" s="595"/>
      <c r="AX257" s="595"/>
      <c r="AY257" s="595"/>
      <c r="AZ257" s="595"/>
      <c r="BA257" s="595"/>
      <c r="BB257" s="595"/>
      <c r="BC257" s="595"/>
      <c r="BD257" s="595"/>
      <c r="BE257" s="595"/>
      <c r="BF257" s="595"/>
      <c r="BG257" s="595"/>
      <c r="BH257" s="595"/>
    </row>
    <row r="258" spans="4:60" s="13" customFormat="1">
      <c r="D258" s="595"/>
      <c r="E258" s="595"/>
      <c r="F258" s="595"/>
      <c r="G258" s="595"/>
      <c r="H258" s="595"/>
      <c r="I258" s="595"/>
      <c r="J258" s="595"/>
      <c r="K258" s="595"/>
      <c r="L258" s="595"/>
      <c r="M258" s="595"/>
      <c r="N258" s="595"/>
      <c r="O258" s="595"/>
      <c r="P258" s="595"/>
      <c r="Q258" s="595"/>
      <c r="R258" s="595"/>
      <c r="S258" s="595"/>
      <c r="T258" s="595"/>
      <c r="U258" s="595"/>
      <c r="V258" s="595"/>
      <c r="AP258" s="595"/>
      <c r="AQ258" s="595"/>
      <c r="AR258" s="595"/>
      <c r="AS258" s="595"/>
      <c r="AT258" s="595"/>
      <c r="AU258" s="595"/>
      <c r="AV258" s="595"/>
      <c r="AW258" s="595"/>
      <c r="AX258" s="595"/>
      <c r="AY258" s="595"/>
      <c r="AZ258" s="595"/>
      <c r="BA258" s="595"/>
      <c r="BB258" s="595"/>
      <c r="BC258" s="595"/>
      <c r="BD258" s="595"/>
      <c r="BE258" s="595"/>
      <c r="BF258" s="595"/>
      <c r="BG258" s="595"/>
      <c r="BH258" s="595"/>
    </row>
    <row r="259" spans="4:60" s="13" customFormat="1">
      <c r="D259" s="595"/>
      <c r="E259" s="595"/>
      <c r="F259" s="595"/>
      <c r="G259" s="595"/>
      <c r="H259" s="595"/>
      <c r="I259" s="595"/>
      <c r="J259" s="595"/>
      <c r="K259" s="595"/>
      <c r="L259" s="595"/>
      <c r="M259" s="595"/>
      <c r="N259" s="595"/>
      <c r="O259" s="595"/>
      <c r="P259" s="595"/>
      <c r="Q259" s="595"/>
      <c r="R259" s="595"/>
      <c r="S259" s="595"/>
      <c r="T259" s="595"/>
      <c r="U259" s="595"/>
      <c r="V259" s="595"/>
      <c r="AP259" s="595"/>
      <c r="AQ259" s="595"/>
      <c r="AR259" s="595"/>
      <c r="AS259" s="595"/>
      <c r="AT259" s="595"/>
      <c r="AU259" s="595"/>
      <c r="AV259" s="595"/>
      <c r="AW259" s="595"/>
      <c r="AX259" s="595"/>
      <c r="AY259" s="595"/>
      <c r="AZ259" s="595"/>
      <c r="BA259" s="595"/>
      <c r="BB259" s="595"/>
      <c r="BC259" s="595"/>
      <c r="BD259" s="595"/>
      <c r="BE259" s="595"/>
      <c r="BF259" s="595"/>
      <c r="BG259" s="595"/>
      <c r="BH259" s="595"/>
    </row>
    <row r="260" spans="4:60" s="13" customFormat="1">
      <c r="D260" s="595"/>
      <c r="E260" s="595"/>
      <c r="F260" s="595"/>
      <c r="G260" s="595"/>
      <c r="H260" s="595"/>
      <c r="I260" s="595"/>
      <c r="J260" s="595"/>
      <c r="K260" s="595"/>
      <c r="L260" s="595"/>
      <c r="M260" s="595"/>
      <c r="N260" s="595"/>
      <c r="O260" s="595"/>
      <c r="P260" s="595"/>
      <c r="Q260" s="595"/>
      <c r="R260" s="595"/>
      <c r="S260" s="595"/>
      <c r="T260" s="595"/>
      <c r="U260" s="595"/>
      <c r="V260" s="595"/>
      <c r="AP260" s="595"/>
      <c r="AQ260" s="595"/>
      <c r="AR260" s="595"/>
      <c r="AS260" s="595"/>
      <c r="AT260" s="595"/>
      <c r="AU260" s="595"/>
      <c r="AV260" s="595"/>
      <c r="AW260" s="595"/>
      <c r="AX260" s="595"/>
      <c r="AY260" s="595"/>
      <c r="AZ260" s="595"/>
      <c r="BA260" s="595"/>
      <c r="BB260" s="595"/>
      <c r="BC260" s="595"/>
      <c r="BD260" s="595"/>
      <c r="BE260" s="595"/>
      <c r="BF260" s="595"/>
      <c r="BG260" s="595"/>
      <c r="BH260" s="595"/>
    </row>
    <row r="261" spans="4:60" s="13" customFormat="1">
      <c r="D261" s="595"/>
      <c r="E261" s="595"/>
      <c r="F261" s="595"/>
      <c r="G261" s="595"/>
      <c r="H261" s="595"/>
      <c r="I261" s="595"/>
      <c r="J261" s="595"/>
      <c r="K261" s="595"/>
      <c r="L261" s="595"/>
      <c r="M261" s="595"/>
      <c r="N261" s="595"/>
      <c r="O261" s="595"/>
      <c r="P261" s="595"/>
      <c r="Q261" s="595"/>
      <c r="R261" s="595"/>
      <c r="S261" s="595"/>
      <c r="T261" s="595"/>
      <c r="U261" s="595"/>
      <c r="V261" s="595"/>
      <c r="AP261" s="595"/>
      <c r="AQ261" s="595"/>
      <c r="AR261" s="595"/>
      <c r="AS261" s="595"/>
      <c r="AT261" s="595"/>
      <c r="AU261" s="595"/>
      <c r="AV261" s="595"/>
      <c r="AW261" s="595"/>
      <c r="AX261" s="595"/>
      <c r="AY261" s="595"/>
      <c r="AZ261" s="595"/>
      <c r="BA261" s="595"/>
      <c r="BB261" s="595"/>
      <c r="BC261" s="595"/>
      <c r="BD261" s="595"/>
      <c r="BE261" s="595"/>
      <c r="BF261" s="595"/>
      <c r="BG261" s="595"/>
      <c r="BH261" s="595"/>
    </row>
    <row r="262" spans="4:60" s="13" customFormat="1">
      <c r="D262" s="595"/>
      <c r="E262" s="595"/>
      <c r="F262" s="595"/>
      <c r="G262" s="595"/>
      <c r="H262" s="595"/>
      <c r="I262" s="595"/>
      <c r="J262" s="595"/>
      <c r="K262" s="595"/>
      <c r="L262" s="595"/>
      <c r="M262" s="595"/>
      <c r="N262" s="595"/>
      <c r="O262" s="595"/>
      <c r="P262" s="595"/>
      <c r="Q262" s="595"/>
      <c r="R262" s="595"/>
      <c r="S262" s="595"/>
      <c r="T262" s="595"/>
      <c r="U262" s="595"/>
      <c r="V262" s="595"/>
      <c r="AP262" s="595"/>
      <c r="AQ262" s="595"/>
      <c r="AR262" s="595"/>
      <c r="AS262" s="595"/>
      <c r="AT262" s="595"/>
      <c r="AU262" s="595"/>
      <c r="AV262" s="595"/>
      <c r="AW262" s="595"/>
      <c r="AX262" s="595"/>
      <c r="AY262" s="595"/>
      <c r="AZ262" s="595"/>
      <c r="BA262" s="595"/>
      <c r="BB262" s="595"/>
      <c r="BC262" s="595"/>
      <c r="BD262" s="595"/>
      <c r="BE262" s="595"/>
      <c r="BF262" s="595"/>
      <c r="BG262" s="595"/>
      <c r="BH262" s="595"/>
    </row>
    <row r="263" spans="4:60" s="13" customFormat="1">
      <c r="D263" s="595"/>
      <c r="E263" s="595"/>
      <c r="F263" s="595"/>
      <c r="G263" s="595"/>
      <c r="H263" s="595"/>
      <c r="I263" s="595"/>
      <c r="J263" s="595"/>
      <c r="K263" s="595"/>
      <c r="L263" s="595"/>
      <c r="M263" s="595"/>
      <c r="N263" s="595"/>
      <c r="O263" s="595"/>
      <c r="P263" s="595"/>
      <c r="Q263" s="595"/>
      <c r="R263" s="595"/>
      <c r="S263" s="595"/>
      <c r="T263" s="595"/>
      <c r="U263" s="595"/>
      <c r="V263" s="595"/>
      <c r="AP263" s="595"/>
      <c r="AQ263" s="595"/>
      <c r="AR263" s="595"/>
      <c r="AS263" s="595"/>
      <c r="AT263" s="595"/>
      <c r="AU263" s="595"/>
      <c r="AV263" s="595"/>
      <c r="AW263" s="595"/>
      <c r="AX263" s="595"/>
      <c r="AY263" s="595"/>
      <c r="AZ263" s="595"/>
      <c r="BA263" s="595"/>
      <c r="BB263" s="595"/>
      <c r="BC263" s="595"/>
      <c r="BD263" s="595"/>
      <c r="BE263" s="595"/>
      <c r="BF263" s="595"/>
      <c r="BG263" s="595"/>
      <c r="BH263" s="595"/>
    </row>
    <row r="264" spans="4:60" s="13" customFormat="1">
      <c r="D264" s="595"/>
      <c r="E264" s="595"/>
      <c r="F264" s="595"/>
      <c r="G264" s="595"/>
      <c r="H264" s="595"/>
      <c r="I264" s="595"/>
      <c r="J264" s="595"/>
      <c r="K264" s="595"/>
      <c r="L264" s="595"/>
      <c r="M264" s="595"/>
      <c r="N264" s="595"/>
      <c r="O264" s="595"/>
      <c r="P264" s="595"/>
      <c r="Q264" s="595"/>
      <c r="R264" s="595"/>
      <c r="S264" s="595"/>
      <c r="T264" s="595"/>
      <c r="U264" s="595"/>
      <c r="V264" s="595"/>
      <c r="AP264" s="595"/>
      <c r="AQ264" s="595"/>
      <c r="AR264" s="595"/>
      <c r="AS264" s="595"/>
      <c r="AT264" s="595"/>
      <c r="AU264" s="595"/>
      <c r="AV264" s="595"/>
      <c r="AW264" s="595"/>
      <c r="AX264" s="595"/>
      <c r="AY264" s="595"/>
      <c r="AZ264" s="595"/>
      <c r="BA264" s="595"/>
      <c r="BB264" s="595"/>
      <c r="BC264" s="595"/>
      <c r="BD264" s="595"/>
      <c r="BE264" s="595"/>
      <c r="BF264" s="595"/>
      <c r="BG264" s="595"/>
      <c r="BH264" s="595"/>
    </row>
    <row r="265" spans="4:60" s="13" customFormat="1">
      <c r="D265" s="595"/>
      <c r="E265" s="595"/>
      <c r="F265" s="595"/>
      <c r="G265" s="595"/>
      <c r="H265" s="595"/>
      <c r="I265" s="595"/>
      <c r="J265" s="595"/>
      <c r="K265" s="595"/>
      <c r="L265" s="595"/>
      <c r="M265" s="595"/>
      <c r="N265" s="595"/>
      <c r="O265" s="595"/>
      <c r="P265" s="595"/>
      <c r="Q265" s="595"/>
      <c r="R265" s="595"/>
      <c r="S265" s="595"/>
      <c r="T265" s="595"/>
      <c r="U265" s="595"/>
      <c r="V265" s="595"/>
      <c r="AP265" s="595"/>
      <c r="AQ265" s="595"/>
      <c r="AR265" s="595"/>
      <c r="AS265" s="595"/>
      <c r="AT265" s="595"/>
      <c r="AU265" s="595"/>
      <c r="AV265" s="595"/>
      <c r="AW265" s="595"/>
      <c r="AX265" s="595"/>
      <c r="AY265" s="595"/>
      <c r="AZ265" s="595"/>
      <c r="BA265" s="595"/>
      <c r="BB265" s="595"/>
      <c r="BC265" s="595"/>
      <c r="BD265" s="595"/>
      <c r="BE265" s="595"/>
      <c r="BF265" s="595"/>
      <c r="BG265" s="595"/>
      <c r="BH265" s="595"/>
    </row>
    <row r="266" spans="4:60" s="13" customFormat="1">
      <c r="D266" s="595"/>
      <c r="E266" s="595"/>
      <c r="F266" s="595"/>
      <c r="G266" s="595"/>
      <c r="H266" s="595"/>
      <c r="I266" s="595"/>
      <c r="J266" s="595"/>
      <c r="K266" s="595"/>
      <c r="L266" s="595"/>
      <c r="M266" s="595"/>
      <c r="N266" s="595"/>
      <c r="O266" s="595"/>
      <c r="P266" s="595"/>
      <c r="Q266" s="595"/>
      <c r="R266" s="595"/>
      <c r="S266" s="595"/>
      <c r="T266" s="595"/>
      <c r="U266" s="595"/>
      <c r="V266" s="595"/>
      <c r="AP266" s="595"/>
      <c r="AQ266" s="595"/>
      <c r="AR266" s="595"/>
      <c r="AS266" s="595"/>
      <c r="AT266" s="595"/>
      <c r="AU266" s="595"/>
      <c r="AV266" s="595"/>
      <c r="AW266" s="595"/>
      <c r="AX266" s="595"/>
      <c r="AY266" s="595"/>
      <c r="AZ266" s="595"/>
      <c r="BA266" s="595"/>
      <c r="BB266" s="595"/>
      <c r="BC266" s="595"/>
      <c r="BD266" s="595"/>
      <c r="BE266" s="595"/>
      <c r="BF266" s="595"/>
      <c r="BG266" s="595"/>
      <c r="BH266" s="595"/>
    </row>
    <row r="267" spans="4:60" s="13" customFormat="1">
      <c r="D267" s="595"/>
      <c r="E267" s="595"/>
      <c r="F267" s="595"/>
      <c r="G267" s="595"/>
      <c r="H267" s="595"/>
      <c r="I267" s="595"/>
      <c r="J267" s="595"/>
      <c r="K267" s="595"/>
      <c r="L267" s="595"/>
      <c r="M267" s="595"/>
      <c r="N267" s="595"/>
      <c r="O267" s="595"/>
      <c r="P267" s="595"/>
      <c r="Q267" s="595"/>
      <c r="R267" s="595"/>
      <c r="S267" s="595"/>
      <c r="T267" s="595"/>
      <c r="U267" s="595"/>
      <c r="V267" s="595"/>
      <c r="AP267" s="595"/>
      <c r="AQ267" s="595"/>
      <c r="AR267" s="595"/>
      <c r="AS267" s="595"/>
      <c r="AT267" s="595"/>
      <c r="AU267" s="595"/>
      <c r="AV267" s="595"/>
      <c r="AW267" s="595"/>
      <c r="AX267" s="595"/>
      <c r="AY267" s="595"/>
      <c r="AZ267" s="595"/>
      <c r="BA267" s="595"/>
      <c r="BB267" s="595"/>
      <c r="BC267" s="595"/>
      <c r="BD267" s="595"/>
      <c r="BE267" s="595"/>
      <c r="BF267" s="595"/>
      <c r="BG267" s="595"/>
      <c r="BH267" s="595"/>
    </row>
    <row r="268" spans="4:60" s="13" customFormat="1">
      <c r="D268" s="595"/>
      <c r="E268" s="595"/>
      <c r="F268" s="595"/>
      <c r="G268" s="595"/>
      <c r="H268" s="595"/>
      <c r="I268" s="595"/>
      <c r="J268" s="595"/>
      <c r="K268" s="595"/>
      <c r="L268" s="595"/>
      <c r="M268" s="595"/>
      <c r="N268" s="595"/>
      <c r="O268" s="595"/>
      <c r="P268" s="595"/>
      <c r="Q268" s="595"/>
      <c r="R268" s="595"/>
      <c r="S268" s="595"/>
      <c r="T268" s="595"/>
      <c r="U268" s="595"/>
      <c r="V268" s="595"/>
      <c r="AP268" s="595"/>
      <c r="AQ268" s="595"/>
      <c r="AR268" s="595"/>
      <c r="AS268" s="595"/>
      <c r="AT268" s="595"/>
      <c r="AU268" s="595"/>
      <c r="AV268" s="595"/>
      <c r="AW268" s="595"/>
      <c r="AX268" s="595"/>
      <c r="AY268" s="595"/>
      <c r="AZ268" s="595"/>
      <c r="BA268" s="595"/>
      <c r="BB268" s="595"/>
      <c r="BC268" s="595"/>
      <c r="BD268" s="595"/>
      <c r="BE268" s="595"/>
      <c r="BF268" s="595"/>
      <c r="BG268" s="595"/>
      <c r="BH268" s="595"/>
    </row>
    <row r="269" spans="4:60" s="13" customFormat="1">
      <c r="D269" s="595"/>
      <c r="E269" s="595"/>
      <c r="F269" s="595"/>
      <c r="G269" s="595"/>
      <c r="H269" s="595"/>
      <c r="I269" s="595"/>
      <c r="J269" s="595"/>
      <c r="K269" s="595"/>
      <c r="L269" s="595"/>
      <c r="M269" s="595"/>
      <c r="N269" s="595"/>
      <c r="O269" s="595"/>
      <c r="P269" s="595"/>
      <c r="Q269" s="595"/>
      <c r="R269" s="595"/>
      <c r="S269" s="595"/>
      <c r="T269" s="595"/>
      <c r="U269" s="595"/>
      <c r="V269" s="595"/>
      <c r="AP269" s="595"/>
      <c r="AQ269" s="595"/>
      <c r="AR269" s="595"/>
      <c r="AS269" s="595"/>
      <c r="AT269" s="595"/>
      <c r="AU269" s="595"/>
      <c r="AV269" s="595"/>
      <c r="AW269" s="595"/>
      <c r="AX269" s="595"/>
      <c r="AY269" s="595"/>
      <c r="AZ269" s="595"/>
      <c r="BA269" s="595"/>
      <c r="BB269" s="595"/>
      <c r="BC269" s="595"/>
      <c r="BD269" s="595"/>
      <c r="BE269" s="595"/>
      <c r="BF269" s="595"/>
      <c r="BG269" s="595"/>
      <c r="BH269" s="595"/>
    </row>
    <row r="270" spans="4:60" s="13" customFormat="1">
      <c r="D270" s="595"/>
      <c r="E270" s="595"/>
      <c r="F270" s="595"/>
      <c r="G270" s="595"/>
      <c r="H270" s="595"/>
      <c r="I270" s="595"/>
      <c r="J270" s="595"/>
      <c r="K270" s="595"/>
      <c r="L270" s="595"/>
      <c r="M270" s="595"/>
      <c r="N270" s="595"/>
      <c r="O270" s="595"/>
      <c r="P270" s="595"/>
      <c r="Q270" s="595"/>
      <c r="R270" s="595"/>
      <c r="S270" s="595"/>
      <c r="T270" s="595"/>
      <c r="U270" s="595"/>
      <c r="V270" s="595"/>
      <c r="AP270" s="595"/>
      <c r="AQ270" s="595"/>
      <c r="AR270" s="595"/>
      <c r="AS270" s="595"/>
      <c r="AT270" s="595"/>
      <c r="AU270" s="595"/>
      <c r="AV270" s="595"/>
      <c r="AW270" s="595"/>
      <c r="AX270" s="595"/>
      <c r="AY270" s="595"/>
      <c r="AZ270" s="595"/>
      <c r="BA270" s="595"/>
      <c r="BB270" s="595"/>
      <c r="BC270" s="595"/>
      <c r="BD270" s="595"/>
      <c r="BE270" s="595"/>
      <c r="BF270" s="595"/>
      <c r="BG270" s="595"/>
      <c r="BH270" s="595"/>
    </row>
    <row r="271" spans="4:60" s="13" customFormat="1">
      <c r="D271" s="595"/>
      <c r="E271" s="595"/>
      <c r="F271" s="595"/>
      <c r="G271" s="595"/>
      <c r="H271" s="595"/>
      <c r="I271" s="595"/>
      <c r="J271" s="595"/>
      <c r="K271" s="595"/>
      <c r="L271" s="595"/>
      <c r="M271" s="595"/>
      <c r="N271" s="595"/>
      <c r="O271" s="595"/>
      <c r="P271" s="595"/>
      <c r="Q271" s="595"/>
      <c r="R271" s="595"/>
      <c r="S271" s="595"/>
      <c r="T271" s="595"/>
      <c r="U271" s="595"/>
      <c r="V271" s="595"/>
      <c r="AP271" s="595"/>
      <c r="AQ271" s="595"/>
      <c r="AR271" s="595"/>
      <c r="AS271" s="595"/>
      <c r="AT271" s="595"/>
      <c r="AU271" s="595"/>
      <c r="AV271" s="595"/>
      <c r="AW271" s="595"/>
      <c r="AX271" s="595"/>
      <c r="AY271" s="595"/>
      <c r="AZ271" s="595"/>
      <c r="BA271" s="595"/>
      <c r="BB271" s="595"/>
      <c r="BC271" s="595"/>
      <c r="BD271" s="595"/>
      <c r="BE271" s="595"/>
      <c r="BF271" s="595"/>
      <c r="BG271" s="595"/>
      <c r="BH271" s="595"/>
    </row>
    <row r="272" spans="4:60" s="13" customFormat="1">
      <c r="D272" s="595"/>
      <c r="E272" s="595"/>
      <c r="F272" s="595"/>
      <c r="G272" s="595"/>
      <c r="H272" s="595"/>
      <c r="I272" s="595"/>
      <c r="J272" s="595"/>
      <c r="K272" s="595"/>
      <c r="L272" s="595"/>
      <c r="M272" s="595"/>
      <c r="N272" s="595"/>
      <c r="O272" s="595"/>
      <c r="P272" s="595"/>
      <c r="Q272" s="595"/>
      <c r="R272" s="595"/>
      <c r="S272" s="595"/>
      <c r="T272" s="595"/>
      <c r="U272" s="595"/>
      <c r="V272" s="595"/>
      <c r="AP272" s="595"/>
      <c r="AQ272" s="595"/>
      <c r="AR272" s="595"/>
      <c r="AS272" s="595"/>
      <c r="AT272" s="595"/>
      <c r="AU272" s="595"/>
      <c r="AV272" s="595"/>
      <c r="AW272" s="595"/>
      <c r="AX272" s="595"/>
      <c r="AY272" s="595"/>
      <c r="AZ272" s="595"/>
      <c r="BA272" s="595"/>
      <c r="BB272" s="595"/>
      <c r="BC272" s="595"/>
      <c r="BD272" s="595"/>
      <c r="BE272" s="595"/>
      <c r="BF272" s="595"/>
      <c r="BG272" s="595"/>
      <c r="BH272" s="595"/>
    </row>
    <row r="273" spans="4:60" s="13" customFormat="1">
      <c r="D273" s="595"/>
      <c r="E273" s="595"/>
      <c r="F273" s="595"/>
      <c r="G273" s="595"/>
      <c r="H273" s="595"/>
      <c r="I273" s="595"/>
      <c r="J273" s="595"/>
      <c r="K273" s="595"/>
      <c r="L273" s="595"/>
      <c r="M273" s="595"/>
      <c r="N273" s="595"/>
      <c r="O273" s="595"/>
      <c r="P273" s="595"/>
      <c r="Q273" s="595"/>
      <c r="R273" s="595"/>
      <c r="S273" s="595"/>
      <c r="T273" s="595"/>
      <c r="U273" s="595"/>
      <c r="V273" s="595"/>
      <c r="AP273" s="595"/>
      <c r="AQ273" s="595"/>
      <c r="AR273" s="595"/>
      <c r="AS273" s="595"/>
      <c r="AT273" s="595"/>
      <c r="AU273" s="595"/>
      <c r="AV273" s="595"/>
      <c r="AW273" s="595"/>
      <c r="AX273" s="595"/>
      <c r="AY273" s="595"/>
      <c r="AZ273" s="595"/>
      <c r="BA273" s="595"/>
      <c r="BB273" s="595"/>
      <c r="BC273" s="595"/>
      <c r="BD273" s="595"/>
      <c r="BE273" s="595"/>
      <c r="BF273" s="595"/>
      <c r="BG273" s="595"/>
      <c r="BH273" s="595"/>
    </row>
    <row r="274" spans="4:60" s="13" customFormat="1">
      <c r="D274" s="595"/>
      <c r="E274" s="595"/>
      <c r="F274" s="595"/>
      <c r="G274" s="595"/>
      <c r="H274" s="595"/>
      <c r="I274" s="595"/>
      <c r="J274" s="595"/>
      <c r="K274" s="595"/>
      <c r="L274" s="595"/>
      <c r="M274" s="595"/>
      <c r="N274" s="595"/>
      <c r="O274" s="595"/>
      <c r="P274" s="595"/>
      <c r="Q274" s="595"/>
      <c r="R274" s="595"/>
      <c r="S274" s="595"/>
      <c r="T274" s="595"/>
      <c r="U274" s="595"/>
      <c r="V274" s="595"/>
      <c r="AP274" s="595"/>
      <c r="AQ274" s="595"/>
      <c r="AR274" s="595"/>
      <c r="AS274" s="595"/>
      <c r="AT274" s="595"/>
      <c r="AU274" s="595"/>
      <c r="AV274" s="595"/>
      <c r="AW274" s="595"/>
      <c r="AX274" s="595"/>
      <c r="AY274" s="595"/>
      <c r="AZ274" s="595"/>
      <c r="BA274" s="595"/>
      <c r="BB274" s="595"/>
      <c r="BC274" s="595"/>
      <c r="BD274" s="595"/>
      <c r="BE274" s="595"/>
      <c r="BF274" s="595"/>
      <c r="BG274" s="595"/>
      <c r="BH274" s="595"/>
    </row>
    <row r="275" spans="4:60" s="13" customFormat="1">
      <c r="D275" s="595"/>
      <c r="E275" s="595"/>
      <c r="F275" s="595"/>
      <c r="G275" s="595"/>
      <c r="H275" s="595"/>
      <c r="I275" s="595"/>
      <c r="J275" s="595"/>
      <c r="K275" s="595"/>
      <c r="L275" s="595"/>
      <c r="M275" s="595"/>
      <c r="N275" s="595"/>
      <c r="O275" s="595"/>
      <c r="P275" s="595"/>
      <c r="Q275" s="595"/>
      <c r="R275" s="595"/>
      <c r="S275" s="595"/>
      <c r="T275" s="595"/>
      <c r="U275" s="595"/>
      <c r="V275" s="595"/>
      <c r="AP275" s="595"/>
      <c r="AQ275" s="595"/>
      <c r="AR275" s="595"/>
      <c r="AS275" s="595"/>
      <c r="AT275" s="595"/>
      <c r="AU275" s="595"/>
      <c r="AV275" s="595"/>
      <c r="AW275" s="595"/>
      <c r="AX275" s="595"/>
      <c r="AY275" s="595"/>
      <c r="AZ275" s="595"/>
      <c r="BA275" s="595"/>
      <c r="BB275" s="595"/>
      <c r="BC275" s="595"/>
      <c r="BD275" s="595"/>
      <c r="BE275" s="595"/>
      <c r="BF275" s="595"/>
      <c r="BG275" s="595"/>
      <c r="BH275" s="595"/>
    </row>
    <row r="276" spans="4:60" s="13" customFormat="1">
      <c r="D276" s="595"/>
      <c r="E276" s="595"/>
      <c r="F276" s="595"/>
      <c r="G276" s="595"/>
      <c r="H276" s="595"/>
      <c r="I276" s="595"/>
      <c r="J276" s="595"/>
      <c r="K276" s="595"/>
      <c r="L276" s="595"/>
      <c r="M276" s="595"/>
      <c r="N276" s="595"/>
      <c r="O276" s="595"/>
      <c r="P276" s="595"/>
      <c r="Q276" s="595"/>
      <c r="R276" s="595"/>
      <c r="S276" s="595"/>
      <c r="T276" s="595"/>
      <c r="U276" s="595"/>
      <c r="V276" s="595"/>
      <c r="AP276" s="595"/>
      <c r="AQ276" s="595"/>
      <c r="AR276" s="595"/>
      <c r="AS276" s="595"/>
      <c r="AT276" s="595"/>
      <c r="AU276" s="595"/>
      <c r="AV276" s="595"/>
      <c r="AW276" s="595"/>
      <c r="AX276" s="595"/>
      <c r="AY276" s="595"/>
      <c r="AZ276" s="595"/>
      <c r="BA276" s="595"/>
      <c r="BB276" s="595"/>
      <c r="BC276" s="595"/>
      <c r="BD276" s="595"/>
      <c r="BE276" s="595"/>
      <c r="BF276" s="595"/>
      <c r="BG276" s="595"/>
      <c r="BH276" s="595"/>
    </row>
    <row r="277" spans="4:60" s="13" customFormat="1">
      <c r="D277" s="595"/>
      <c r="E277" s="595"/>
      <c r="F277" s="595"/>
      <c r="G277" s="595"/>
      <c r="H277" s="595"/>
      <c r="I277" s="595"/>
      <c r="J277" s="595"/>
      <c r="K277" s="595"/>
      <c r="L277" s="595"/>
      <c r="M277" s="595"/>
      <c r="N277" s="595"/>
      <c r="O277" s="595"/>
      <c r="P277" s="595"/>
      <c r="Q277" s="595"/>
      <c r="R277" s="595"/>
      <c r="S277" s="595"/>
      <c r="T277" s="595"/>
      <c r="U277" s="595"/>
      <c r="V277" s="595"/>
      <c r="AP277" s="595"/>
      <c r="AQ277" s="595"/>
      <c r="AR277" s="595"/>
      <c r="AS277" s="595"/>
      <c r="AT277" s="595"/>
      <c r="AU277" s="595"/>
      <c r="AV277" s="595"/>
      <c r="AW277" s="595"/>
      <c r="AX277" s="595"/>
      <c r="AY277" s="595"/>
      <c r="AZ277" s="595"/>
      <c r="BA277" s="595"/>
      <c r="BB277" s="595"/>
      <c r="BC277" s="595"/>
      <c r="BD277" s="595"/>
      <c r="BE277" s="595"/>
      <c r="BF277" s="595"/>
      <c r="BG277" s="595"/>
      <c r="BH277" s="595"/>
    </row>
    <row r="278" spans="4:60" s="13" customFormat="1">
      <c r="D278" s="595"/>
      <c r="E278" s="595"/>
      <c r="F278" s="595"/>
      <c r="G278" s="595"/>
      <c r="H278" s="595"/>
      <c r="I278" s="595"/>
      <c r="J278" s="595"/>
      <c r="K278" s="595"/>
      <c r="L278" s="595"/>
      <c r="M278" s="595"/>
      <c r="N278" s="595"/>
      <c r="O278" s="595"/>
      <c r="P278" s="595"/>
      <c r="Q278" s="595"/>
      <c r="R278" s="595"/>
      <c r="S278" s="595"/>
      <c r="T278" s="595"/>
      <c r="U278" s="595"/>
      <c r="V278" s="595"/>
      <c r="AP278" s="595"/>
      <c r="AQ278" s="595"/>
      <c r="AR278" s="595"/>
      <c r="AS278" s="595"/>
      <c r="AT278" s="595"/>
      <c r="AU278" s="595"/>
      <c r="AV278" s="595"/>
      <c r="AW278" s="595"/>
      <c r="AX278" s="595"/>
      <c r="AY278" s="595"/>
      <c r="AZ278" s="595"/>
      <c r="BA278" s="595"/>
      <c r="BB278" s="595"/>
      <c r="BC278" s="595"/>
      <c r="BD278" s="595"/>
      <c r="BE278" s="595"/>
      <c r="BF278" s="595"/>
      <c r="BG278" s="595"/>
      <c r="BH278" s="595"/>
    </row>
    <row r="279" spans="4:60" s="13" customFormat="1">
      <c r="D279" s="595"/>
      <c r="E279" s="595"/>
      <c r="F279" s="595"/>
      <c r="G279" s="595"/>
      <c r="H279" s="595"/>
      <c r="I279" s="595"/>
      <c r="J279" s="595"/>
      <c r="K279" s="595"/>
      <c r="L279" s="595"/>
      <c r="M279" s="595"/>
      <c r="N279" s="595"/>
      <c r="O279" s="595"/>
      <c r="P279" s="595"/>
      <c r="Q279" s="595"/>
      <c r="R279" s="595"/>
      <c r="S279" s="595"/>
      <c r="T279" s="595"/>
      <c r="U279" s="595"/>
      <c r="V279" s="595"/>
      <c r="AP279" s="595"/>
      <c r="AQ279" s="595"/>
      <c r="AR279" s="595"/>
      <c r="AS279" s="595"/>
      <c r="AT279" s="595"/>
      <c r="AU279" s="595"/>
      <c r="AV279" s="595"/>
      <c r="AW279" s="595"/>
      <c r="AX279" s="595"/>
      <c r="AY279" s="595"/>
      <c r="AZ279" s="595"/>
      <c r="BA279" s="595"/>
      <c r="BB279" s="595"/>
      <c r="BC279" s="595"/>
      <c r="BD279" s="595"/>
      <c r="BE279" s="595"/>
      <c r="BF279" s="595"/>
      <c r="BG279" s="595"/>
      <c r="BH279" s="595"/>
    </row>
    <row r="280" spans="4:60" s="13" customFormat="1">
      <c r="D280" s="595"/>
      <c r="E280" s="595"/>
      <c r="F280" s="595"/>
      <c r="G280" s="595"/>
      <c r="H280" s="595"/>
      <c r="I280" s="595"/>
      <c r="J280" s="595"/>
      <c r="K280" s="595"/>
      <c r="L280" s="595"/>
      <c r="M280" s="595"/>
      <c r="N280" s="595"/>
      <c r="O280" s="595"/>
      <c r="P280" s="595"/>
      <c r="Q280" s="595"/>
      <c r="R280" s="595"/>
      <c r="S280" s="595"/>
      <c r="T280" s="595"/>
      <c r="U280" s="595"/>
      <c r="V280" s="595"/>
      <c r="AP280" s="595"/>
      <c r="AQ280" s="595"/>
      <c r="AR280" s="595"/>
      <c r="AS280" s="595"/>
      <c r="AT280" s="595"/>
      <c r="AU280" s="595"/>
      <c r="AV280" s="595"/>
      <c r="AW280" s="595"/>
      <c r="AX280" s="595"/>
      <c r="AY280" s="595"/>
      <c r="AZ280" s="595"/>
      <c r="BA280" s="595"/>
      <c r="BB280" s="595"/>
      <c r="BC280" s="595"/>
      <c r="BD280" s="595"/>
      <c r="BE280" s="595"/>
      <c r="BF280" s="595"/>
      <c r="BG280" s="595"/>
      <c r="BH280" s="595"/>
    </row>
    <row r="281" spans="4:60" s="13" customFormat="1">
      <c r="D281" s="595"/>
      <c r="E281" s="595"/>
      <c r="F281" s="595"/>
      <c r="G281" s="595"/>
      <c r="H281" s="595"/>
      <c r="I281" s="595"/>
      <c r="J281" s="595"/>
      <c r="K281" s="595"/>
      <c r="L281" s="595"/>
      <c r="M281" s="595"/>
      <c r="N281" s="595"/>
      <c r="O281" s="595"/>
      <c r="P281" s="595"/>
      <c r="Q281" s="595"/>
      <c r="R281" s="595"/>
      <c r="S281" s="595"/>
      <c r="T281" s="595"/>
      <c r="U281" s="595"/>
      <c r="V281" s="595"/>
      <c r="AP281" s="595"/>
      <c r="AQ281" s="595"/>
      <c r="AR281" s="595"/>
      <c r="AS281" s="595"/>
      <c r="AT281" s="595"/>
      <c r="AU281" s="595"/>
      <c r="AV281" s="595"/>
      <c r="AW281" s="595"/>
      <c r="AX281" s="595"/>
      <c r="AY281" s="595"/>
      <c r="AZ281" s="595"/>
      <c r="BA281" s="595"/>
      <c r="BB281" s="595"/>
      <c r="BC281" s="595"/>
      <c r="BD281" s="595"/>
      <c r="BE281" s="595"/>
      <c r="BF281" s="595"/>
      <c r="BG281" s="595"/>
      <c r="BH281" s="595"/>
    </row>
    <row r="282" spans="4:60" s="13" customFormat="1">
      <c r="D282" s="595"/>
      <c r="E282" s="595"/>
      <c r="F282" s="595"/>
      <c r="G282" s="595"/>
      <c r="H282" s="595"/>
      <c r="I282" s="595"/>
      <c r="J282" s="595"/>
      <c r="K282" s="595"/>
      <c r="L282" s="595"/>
      <c r="M282" s="595"/>
      <c r="N282" s="595"/>
      <c r="O282" s="595"/>
      <c r="P282" s="595"/>
      <c r="Q282" s="595"/>
      <c r="R282" s="595"/>
      <c r="S282" s="595"/>
      <c r="T282" s="595"/>
      <c r="U282" s="595"/>
      <c r="V282" s="595"/>
      <c r="AP282" s="595"/>
      <c r="AQ282" s="595"/>
      <c r="AR282" s="595"/>
      <c r="AS282" s="595"/>
      <c r="AT282" s="595"/>
      <c r="AU282" s="595"/>
      <c r="AV282" s="595"/>
      <c r="AW282" s="595"/>
      <c r="AX282" s="595"/>
      <c r="AY282" s="595"/>
      <c r="AZ282" s="595"/>
      <c r="BA282" s="595"/>
      <c r="BB282" s="595"/>
      <c r="BC282" s="595"/>
      <c r="BD282" s="595"/>
      <c r="BE282" s="595"/>
      <c r="BF282" s="595"/>
      <c r="BG282" s="595"/>
      <c r="BH282" s="595"/>
    </row>
    <row r="283" spans="4:60" s="13" customFormat="1">
      <c r="D283" s="595"/>
      <c r="E283" s="595"/>
      <c r="F283" s="595"/>
      <c r="G283" s="595"/>
      <c r="H283" s="595"/>
      <c r="I283" s="595"/>
      <c r="J283" s="595"/>
      <c r="K283" s="595"/>
      <c r="L283" s="595"/>
      <c r="M283" s="595"/>
      <c r="N283" s="595"/>
      <c r="O283" s="595"/>
      <c r="P283" s="595"/>
      <c r="Q283" s="595"/>
      <c r="R283" s="595"/>
      <c r="S283" s="595"/>
      <c r="T283" s="595"/>
      <c r="U283" s="595"/>
      <c r="V283" s="595"/>
      <c r="AP283" s="595"/>
      <c r="AQ283" s="595"/>
      <c r="AR283" s="595"/>
      <c r="AS283" s="595"/>
      <c r="AT283" s="595"/>
      <c r="AU283" s="595"/>
      <c r="AV283" s="595"/>
      <c r="AW283" s="595"/>
      <c r="AX283" s="595"/>
      <c r="AY283" s="595"/>
      <c r="AZ283" s="595"/>
      <c r="BA283" s="595"/>
      <c r="BB283" s="595"/>
      <c r="BC283" s="595"/>
      <c r="BD283" s="595"/>
      <c r="BE283" s="595"/>
      <c r="BF283" s="595"/>
      <c r="BG283" s="595"/>
      <c r="BH283" s="595"/>
    </row>
    <row r="284" spans="4:60" s="13" customFormat="1">
      <c r="D284" s="595"/>
      <c r="E284" s="595"/>
      <c r="F284" s="595"/>
      <c r="G284" s="595"/>
      <c r="H284" s="595"/>
      <c r="I284" s="595"/>
      <c r="J284" s="595"/>
      <c r="K284" s="595"/>
      <c r="L284" s="595"/>
      <c r="M284" s="595"/>
      <c r="N284" s="595"/>
      <c r="O284" s="595"/>
      <c r="P284" s="595"/>
      <c r="Q284" s="595"/>
      <c r="R284" s="595"/>
      <c r="S284" s="595"/>
      <c r="T284" s="595"/>
      <c r="U284" s="595"/>
      <c r="V284" s="595"/>
      <c r="AP284" s="595"/>
      <c r="AQ284" s="595"/>
      <c r="AR284" s="595"/>
      <c r="AS284" s="595"/>
      <c r="AT284" s="595"/>
      <c r="AU284" s="595"/>
      <c r="AV284" s="595"/>
      <c r="AW284" s="595"/>
      <c r="AX284" s="595"/>
      <c r="AY284" s="595"/>
      <c r="AZ284" s="595"/>
      <c r="BA284" s="595"/>
      <c r="BB284" s="595"/>
      <c r="BC284" s="595"/>
      <c r="BD284" s="595"/>
      <c r="BE284" s="595"/>
      <c r="BF284" s="595"/>
      <c r="BG284" s="595"/>
      <c r="BH284" s="595"/>
    </row>
    <row r="285" spans="4:60" s="13" customFormat="1">
      <c r="D285" s="595"/>
      <c r="E285" s="595"/>
      <c r="F285" s="595"/>
      <c r="G285" s="595"/>
      <c r="H285" s="595"/>
      <c r="I285" s="595"/>
      <c r="J285" s="595"/>
      <c r="K285" s="595"/>
      <c r="L285" s="595"/>
      <c r="M285" s="595"/>
      <c r="N285" s="595"/>
      <c r="O285" s="595"/>
      <c r="P285" s="595"/>
      <c r="Q285" s="595"/>
      <c r="R285" s="595"/>
      <c r="S285" s="595"/>
      <c r="T285" s="595"/>
      <c r="U285" s="595"/>
      <c r="V285" s="595"/>
      <c r="AP285" s="595"/>
      <c r="AQ285" s="595"/>
      <c r="AR285" s="595"/>
      <c r="AS285" s="595"/>
      <c r="AT285" s="595"/>
      <c r="AU285" s="595"/>
      <c r="AV285" s="595"/>
      <c r="AW285" s="595"/>
      <c r="AX285" s="595"/>
      <c r="AY285" s="595"/>
      <c r="AZ285" s="595"/>
      <c r="BA285" s="595"/>
      <c r="BB285" s="595"/>
      <c r="BC285" s="595"/>
      <c r="BD285" s="595"/>
      <c r="BE285" s="595"/>
      <c r="BF285" s="595"/>
      <c r="BG285" s="595"/>
      <c r="BH285" s="595"/>
    </row>
    <row r="286" spans="4:60" s="13" customFormat="1">
      <c r="D286" s="595"/>
      <c r="E286" s="595"/>
      <c r="F286" s="595"/>
      <c r="G286" s="595"/>
      <c r="H286" s="595"/>
      <c r="I286" s="595"/>
      <c r="J286" s="595"/>
      <c r="K286" s="595"/>
      <c r="L286" s="595"/>
      <c r="M286" s="595"/>
      <c r="N286" s="595"/>
      <c r="O286" s="595"/>
      <c r="P286" s="595"/>
      <c r="Q286" s="595"/>
      <c r="R286" s="595"/>
      <c r="S286" s="595"/>
      <c r="T286" s="595"/>
      <c r="U286" s="595"/>
      <c r="V286" s="595"/>
      <c r="AP286" s="595"/>
      <c r="AQ286" s="595"/>
      <c r="AR286" s="595"/>
      <c r="AS286" s="595"/>
      <c r="AT286" s="595"/>
      <c r="AU286" s="595"/>
      <c r="AV286" s="595"/>
      <c r="AW286" s="595"/>
      <c r="AX286" s="595"/>
      <c r="AY286" s="595"/>
      <c r="AZ286" s="595"/>
      <c r="BA286" s="595"/>
      <c r="BB286" s="595"/>
      <c r="BC286" s="595"/>
      <c r="BD286" s="595"/>
      <c r="BE286" s="595"/>
      <c r="BF286" s="595"/>
      <c r="BG286" s="595"/>
      <c r="BH286" s="595"/>
    </row>
    <row r="287" spans="4:60" s="13" customFormat="1">
      <c r="D287" s="595"/>
      <c r="E287" s="595"/>
      <c r="F287" s="595"/>
      <c r="G287" s="595"/>
      <c r="H287" s="595"/>
      <c r="I287" s="595"/>
      <c r="J287" s="595"/>
      <c r="K287" s="595"/>
      <c r="L287" s="595"/>
      <c r="M287" s="595"/>
      <c r="N287" s="595"/>
      <c r="O287" s="595"/>
      <c r="P287" s="595"/>
      <c r="Q287" s="595"/>
      <c r="R287" s="595"/>
      <c r="S287" s="595"/>
      <c r="T287" s="595"/>
      <c r="U287" s="595"/>
      <c r="V287" s="595"/>
      <c r="AP287" s="595"/>
      <c r="AQ287" s="595"/>
      <c r="AR287" s="595"/>
      <c r="AS287" s="595"/>
      <c r="AT287" s="595"/>
      <c r="AU287" s="595"/>
      <c r="AV287" s="595"/>
      <c r="AW287" s="595"/>
      <c r="AX287" s="595"/>
      <c r="AY287" s="595"/>
      <c r="AZ287" s="595"/>
      <c r="BA287" s="595"/>
      <c r="BB287" s="595"/>
      <c r="BC287" s="595"/>
      <c r="BD287" s="595"/>
      <c r="BE287" s="595"/>
      <c r="BF287" s="595"/>
      <c r="BG287" s="595"/>
      <c r="BH287" s="595"/>
    </row>
    <row r="288" spans="4:60" s="13" customFormat="1">
      <c r="D288" s="595"/>
      <c r="E288" s="595"/>
      <c r="F288" s="595"/>
      <c r="G288" s="595"/>
      <c r="H288" s="595"/>
      <c r="I288" s="595"/>
      <c r="J288" s="595"/>
      <c r="K288" s="595"/>
      <c r="L288" s="595"/>
      <c r="M288" s="595"/>
      <c r="N288" s="595"/>
      <c r="O288" s="595"/>
      <c r="P288" s="595"/>
      <c r="Q288" s="595"/>
      <c r="R288" s="595"/>
      <c r="S288" s="595"/>
      <c r="T288" s="595"/>
      <c r="U288" s="595"/>
      <c r="V288" s="595"/>
      <c r="AP288" s="595"/>
      <c r="AQ288" s="595"/>
      <c r="AR288" s="595"/>
      <c r="AS288" s="595"/>
      <c r="AT288" s="595"/>
      <c r="AU288" s="595"/>
      <c r="AV288" s="595"/>
      <c r="AW288" s="595"/>
      <c r="AX288" s="595"/>
      <c r="AY288" s="595"/>
      <c r="AZ288" s="595"/>
      <c r="BA288" s="595"/>
      <c r="BB288" s="595"/>
      <c r="BC288" s="595"/>
      <c r="BD288" s="595"/>
      <c r="BE288" s="595"/>
      <c r="BF288" s="595"/>
      <c r="BG288" s="595"/>
      <c r="BH288" s="595"/>
    </row>
    <row r="289" spans="4:60" s="13" customFormat="1">
      <c r="D289" s="595"/>
      <c r="E289" s="595"/>
      <c r="F289" s="595"/>
      <c r="G289" s="595"/>
      <c r="H289" s="595"/>
      <c r="I289" s="595"/>
      <c r="J289" s="595"/>
      <c r="K289" s="595"/>
      <c r="L289" s="595"/>
      <c r="M289" s="595"/>
      <c r="N289" s="595"/>
      <c r="O289" s="595"/>
      <c r="P289" s="595"/>
      <c r="Q289" s="595"/>
      <c r="R289" s="595"/>
      <c r="S289" s="595"/>
      <c r="T289" s="595"/>
      <c r="U289" s="595"/>
      <c r="V289" s="595"/>
      <c r="AP289" s="595"/>
      <c r="AQ289" s="595"/>
      <c r="AR289" s="595"/>
      <c r="AS289" s="595"/>
      <c r="AT289" s="595"/>
      <c r="AU289" s="595"/>
      <c r="AV289" s="595"/>
      <c r="AW289" s="595"/>
      <c r="AX289" s="595"/>
      <c r="AY289" s="595"/>
      <c r="AZ289" s="595"/>
      <c r="BA289" s="595"/>
      <c r="BB289" s="595"/>
      <c r="BC289" s="595"/>
      <c r="BD289" s="595"/>
      <c r="BE289" s="595"/>
      <c r="BF289" s="595"/>
      <c r="BG289" s="595"/>
      <c r="BH289" s="595"/>
    </row>
    <row r="290" spans="4:60" s="13" customFormat="1">
      <c r="D290" s="595"/>
      <c r="E290" s="595"/>
      <c r="F290" s="595"/>
      <c r="G290" s="595"/>
      <c r="H290" s="595"/>
      <c r="I290" s="595"/>
      <c r="J290" s="595"/>
      <c r="K290" s="595"/>
      <c r="L290" s="595"/>
      <c r="M290" s="595"/>
      <c r="N290" s="595"/>
      <c r="O290" s="595"/>
      <c r="P290" s="595"/>
      <c r="Q290" s="595"/>
      <c r="R290" s="595"/>
      <c r="S290" s="595"/>
      <c r="T290" s="595"/>
      <c r="U290" s="595"/>
      <c r="V290" s="595"/>
      <c r="AP290" s="595"/>
      <c r="AQ290" s="595"/>
      <c r="AR290" s="595"/>
      <c r="AS290" s="595"/>
      <c r="AT290" s="595"/>
      <c r="AU290" s="595"/>
      <c r="AV290" s="595"/>
      <c r="AW290" s="595"/>
      <c r="AX290" s="595"/>
      <c r="AY290" s="595"/>
      <c r="AZ290" s="595"/>
      <c r="BA290" s="595"/>
      <c r="BB290" s="595"/>
      <c r="BC290" s="595"/>
      <c r="BD290" s="595"/>
      <c r="BE290" s="595"/>
      <c r="BF290" s="595"/>
      <c r="BG290" s="595"/>
      <c r="BH290" s="595"/>
    </row>
    <row r="291" spans="4:60" s="13" customFormat="1">
      <c r="D291" s="595"/>
      <c r="E291" s="595"/>
      <c r="F291" s="595"/>
      <c r="G291" s="595"/>
      <c r="H291" s="595"/>
      <c r="I291" s="595"/>
      <c r="J291" s="595"/>
      <c r="K291" s="595"/>
      <c r="L291" s="595"/>
      <c r="M291" s="595"/>
      <c r="N291" s="595"/>
      <c r="O291" s="595"/>
      <c r="P291" s="595"/>
      <c r="Q291" s="595"/>
      <c r="R291" s="595"/>
      <c r="S291" s="595"/>
      <c r="T291" s="595"/>
      <c r="U291" s="595"/>
      <c r="V291" s="595"/>
      <c r="AP291" s="595"/>
      <c r="AQ291" s="595"/>
      <c r="AR291" s="595"/>
      <c r="AS291" s="595"/>
      <c r="AT291" s="595"/>
      <c r="AU291" s="595"/>
      <c r="AV291" s="595"/>
      <c r="AW291" s="595"/>
      <c r="AX291" s="595"/>
      <c r="AY291" s="595"/>
      <c r="AZ291" s="595"/>
      <c r="BA291" s="595"/>
      <c r="BB291" s="595"/>
      <c r="BC291" s="595"/>
      <c r="BD291" s="595"/>
      <c r="BE291" s="595"/>
      <c r="BF291" s="595"/>
      <c r="BG291" s="595"/>
      <c r="BH291" s="595"/>
    </row>
    <row r="292" spans="4:60" s="13" customFormat="1">
      <c r="D292" s="595"/>
      <c r="E292" s="595"/>
      <c r="F292" s="595"/>
      <c r="G292" s="595"/>
      <c r="H292" s="595"/>
      <c r="I292" s="595"/>
      <c r="J292" s="595"/>
      <c r="K292" s="595"/>
      <c r="L292" s="595"/>
      <c r="M292" s="595"/>
      <c r="N292" s="595"/>
      <c r="O292" s="595"/>
      <c r="P292" s="595"/>
      <c r="Q292" s="595"/>
      <c r="R292" s="595"/>
      <c r="S292" s="595"/>
      <c r="T292" s="595"/>
      <c r="U292" s="595"/>
      <c r="V292" s="595"/>
      <c r="AP292" s="595"/>
      <c r="AQ292" s="595"/>
      <c r="AR292" s="595"/>
      <c r="AS292" s="595"/>
      <c r="AT292" s="595"/>
      <c r="AU292" s="595"/>
      <c r="AV292" s="595"/>
      <c r="AW292" s="595"/>
      <c r="AX292" s="595"/>
      <c r="AY292" s="595"/>
      <c r="AZ292" s="595"/>
      <c r="BA292" s="595"/>
      <c r="BB292" s="595"/>
      <c r="BC292" s="595"/>
      <c r="BD292" s="595"/>
      <c r="BE292" s="595"/>
      <c r="BF292" s="595"/>
      <c r="BG292" s="595"/>
      <c r="BH292" s="595"/>
    </row>
    <row r="293" spans="4:60" s="13" customFormat="1">
      <c r="D293" s="595"/>
      <c r="E293" s="595"/>
      <c r="F293" s="595"/>
      <c r="G293" s="595"/>
      <c r="H293" s="595"/>
      <c r="I293" s="595"/>
      <c r="J293" s="595"/>
      <c r="K293" s="595"/>
      <c r="L293" s="595"/>
      <c r="M293" s="595"/>
      <c r="N293" s="595"/>
      <c r="O293" s="595"/>
      <c r="P293" s="595"/>
      <c r="Q293" s="595"/>
      <c r="R293" s="595"/>
      <c r="S293" s="595"/>
      <c r="T293" s="595"/>
      <c r="U293" s="595"/>
      <c r="V293" s="595"/>
      <c r="AP293" s="595"/>
      <c r="AQ293" s="595"/>
      <c r="AR293" s="595"/>
      <c r="AS293" s="595"/>
      <c r="AT293" s="595"/>
      <c r="AU293" s="595"/>
      <c r="AV293" s="595"/>
      <c r="AW293" s="595"/>
      <c r="AX293" s="595"/>
      <c r="AY293" s="595"/>
      <c r="AZ293" s="595"/>
      <c r="BA293" s="595"/>
      <c r="BB293" s="595"/>
      <c r="BC293" s="595"/>
      <c r="BD293" s="595"/>
      <c r="BE293" s="595"/>
      <c r="BF293" s="595"/>
      <c r="BG293" s="595"/>
      <c r="BH293" s="595"/>
    </row>
    <row r="294" spans="4:60" s="13" customFormat="1">
      <c r="D294" s="595"/>
      <c r="E294" s="595"/>
      <c r="F294" s="595"/>
      <c r="G294" s="595"/>
      <c r="H294" s="595"/>
      <c r="I294" s="595"/>
      <c r="J294" s="595"/>
      <c r="K294" s="595"/>
      <c r="L294" s="595"/>
      <c r="M294" s="595"/>
      <c r="N294" s="595"/>
      <c r="O294" s="595"/>
      <c r="P294" s="595"/>
      <c r="Q294" s="595"/>
      <c r="R294" s="595"/>
      <c r="S294" s="595"/>
      <c r="T294" s="595"/>
      <c r="U294" s="595"/>
      <c r="V294" s="595"/>
      <c r="AP294" s="595"/>
      <c r="AQ294" s="595"/>
      <c r="AR294" s="595"/>
      <c r="AS294" s="595"/>
      <c r="AT294" s="595"/>
      <c r="AU294" s="595"/>
      <c r="AV294" s="595"/>
      <c r="AW294" s="595"/>
      <c r="AX294" s="595"/>
      <c r="AY294" s="595"/>
      <c r="AZ294" s="595"/>
      <c r="BA294" s="595"/>
      <c r="BB294" s="595"/>
      <c r="BC294" s="595"/>
      <c r="BD294" s="595"/>
      <c r="BE294" s="595"/>
      <c r="BF294" s="595"/>
      <c r="BG294" s="595"/>
      <c r="BH294" s="595"/>
    </row>
    <row r="295" spans="4:60" s="13" customFormat="1">
      <c r="D295" s="595"/>
      <c r="E295" s="595"/>
      <c r="F295" s="595"/>
      <c r="G295" s="595"/>
      <c r="H295" s="595"/>
      <c r="I295" s="595"/>
      <c r="J295" s="595"/>
      <c r="K295" s="595"/>
      <c r="L295" s="595"/>
      <c r="M295" s="595"/>
      <c r="N295" s="595"/>
      <c r="O295" s="595"/>
      <c r="P295" s="595"/>
      <c r="Q295" s="595"/>
      <c r="R295" s="595"/>
      <c r="S295" s="595"/>
      <c r="T295" s="595"/>
      <c r="U295" s="595"/>
      <c r="V295" s="595"/>
      <c r="AP295" s="595"/>
      <c r="AQ295" s="595"/>
      <c r="AR295" s="595"/>
      <c r="AS295" s="595"/>
      <c r="AT295" s="595"/>
      <c r="AU295" s="595"/>
      <c r="AV295" s="595"/>
      <c r="AW295" s="595"/>
      <c r="AX295" s="595"/>
      <c r="AY295" s="595"/>
      <c r="AZ295" s="595"/>
      <c r="BA295" s="595"/>
      <c r="BB295" s="595"/>
      <c r="BC295" s="595"/>
      <c r="BD295" s="595"/>
      <c r="BE295" s="595"/>
      <c r="BF295" s="595"/>
      <c r="BG295" s="595"/>
      <c r="BH295" s="595"/>
    </row>
    <row r="296" spans="4:60" s="13" customFormat="1">
      <c r="D296" s="595"/>
      <c r="E296" s="595"/>
      <c r="F296" s="595"/>
      <c r="G296" s="595"/>
      <c r="H296" s="595"/>
      <c r="I296" s="595"/>
      <c r="J296" s="595"/>
      <c r="K296" s="595"/>
      <c r="L296" s="595"/>
      <c r="M296" s="595"/>
      <c r="N296" s="595"/>
      <c r="O296" s="595"/>
      <c r="P296" s="595"/>
      <c r="Q296" s="595"/>
      <c r="R296" s="595"/>
      <c r="S296" s="595"/>
      <c r="T296" s="595"/>
      <c r="U296" s="595"/>
      <c r="V296" s="595"/>
      <c r="AP296" s="595"/>
      <c r="AQ296" s="595"/>
      <c r="AR296" s="595"/>
      <c r="AS296" s="595"/>
      <c r="AT296" s="595"/>
      <c r="AU296" s="595"/>
      <c r="AV296" s="595"/>
      <c r="AW296" s="595"/>
      <c r="AX296" s="595"/>
      <c r="AY296" s="595"/>
      <c r="AZ296" s="595"/>
      <c r="BA296" s="595"/>
      <c r="BB296" s="595"/>
      <c r="BC296" s="595"/>
      <c r="BD296" s="595"/>
      <c r="BE296" s="595"/>
      <c r="BF296" s="595"/>
      <c r="BG296" s="595"/>
      <c r="BH296" s="595"/>
    </row>
    <row r="297" spans="4:60" s="13" customFormat="1">
      <c r="D297" s="595"/>
      <c r="E297" s="595"/>
      <c r="F297" s="595"/>
      <c r="G297" s="595"/>
      <c r="H297" s="595"/>
      <c r="I297" s="595"/>
      <c r="J297" s="595"/>
      <c r="K297" s="595"/>
      <c r="L297" s="595"/>
      <c r="M297" s="595"/>
      <c r="N297" s="595"/>
      <c r="O297" s="595"/>
      <c r="P297" s="595"/>
      <c r="Q297" s="595"/>
      <c r="R297" s="595"/>
      <c r="S297" s="595"/>
      <c r="T297" s="595"/>
      <c r="U297" s="595"/>
      <c r="V297" s="595"/>
      <c r="AP297" s="595"/>
      <c r="AQ297" s="595"/>
      <c r="AR297" s="595"/>
      <c r="AS297" s="595"/>
      <c r="AT297" s="595"/>
      <c r="AU297" s="595"/>
      <c r="AV297" s="595"/>
      <c r="AW297" s="595"/>
      <c r="AX297" s="595"/>
      <c r="AY297" s="595"/>
      <c r="AZ297" s="595"/>
      <c r="BA297" s="595"/>
      <c r="BB297" s="595"/>
      <c r="BC297" s="595"/>
      <c r="BD297" s="595"/>
      <c r="BE297" s="595"/>
      <c r="BF297" s="595"/>
      <c r="BG297" s="595"/>
      <c r="BH297" s="595"/>
    </row>
    <row r="298" spans="4:60" s="13" customFormat="1">
      <c r="D298" s="595"/>
      <c r="E298" s="595"/>
      <c r="F298" s="595"/>
      <c r="G298" s="595"/>
      <c r="H298" s="595"/>
      <c r="I298" s="595"/>
      <c r="J298" s="595"/>
      <c r="K298" s="595"/>
      <c r="L298" s="595"/>
      <c r="M298" s="595"/>
      <c r="N298" s="595"/>
      <c r="O298" s="595"/>
      <c r="P298" s="595"/>
      <c r="Q298" s="595"/>
      <c r="R298" s="595"/>
      <c r="S298" s="595"/>
      <c r="T298" s="595"/>
      <c r="U298" s="595"/>
      <c r="V298" s="595"/>
      <c r="AP298" s="595"/>
      <c r="AQ298" s="595"/>
      <c r="AR298" s="595"/>
      <c r="AS298" s="595"/>
      <c r="AT298" s="595"/>
      <c r="AU298" s="595"/>
      <c r="AV298" s="595"/>
      <c r="AW298" s="595"/>
      <c r="AX298" s="595"/>
      <c r="AY298" s="595"/>
      <c r="AZ298" s="595"/>
      <c r="BA298" s="595"/>
      <c r="BB298" s="595"/>
      <c r="BC298" s="595"/>
      <c r="BD298" s="595"/>
      <c r="BE298" s="595"/>
      <c r="BF298" s="595"/>
      <c r="BG298" s="595"/>
      <c r="BH298" s="595"/>
    </row>
    <row r="299" spans="4:60" s="13" customFormat="1">
      <c r="D299" s="595"/>
      <c r="E299" s="595"/>
      <c r="F299" s="595"/>
      <c r="G299" s="595"/>
      <c r="H299" s="595"/>
      <c r="I299" s="595"/>
      <c r="J299" s="595"/>
      <c r="K299" s="595"/>
      <c r="L299" s="595"/>
      <c r="M299" s="595"/>
      <c r="N299" s="595"/>
      <c r="O299" s="595"/>
      <c r="P299" s="595"/>
      <c r="Q299" s="595"/>
      <c r="R299" s="595"/>
      <c r="S299" s="595"/>
      <c r="T299" s="595"/>
      <c r="U299" s="595"/>
      <c r="V299" s="595"/>
      <c r="AP299" s="595"/>
      <c r="AQ299" s="595"/>
      <c r="AR299" s="595"/>
      <c r="AS299" s="595"/>
      <c r="AT299" s="595"/>
      <c r="AU299" s="595"/>
      <c r="AV299" s="595"/>
      <c r="AW299" s="595"/>
      <c r="AX299" s="595"/>
      <c r="AY299" s="595"/>
      <c r="AZ299" s="595"/>
      <c r="BA299" s="595"/>
      <c r="BB299" s="595"/>
      <c r="BC299" s="595"/>
      <c r="BD299" s="595"/>
      <c r="BE299" s="595"/>
      <c r="BF299" s="595"/>
      <c r="BG299" s="595"/>
      <c r="BH299" s="595"/>
    </row>
    <row r="300" spans="4:60" s="13" customFormat="1">
      <c r="D300" s="595"/>
      <c r="E300" s="595"/>
      <c r="F300" s="595"/>
      <c r="G300" s="595"/>
      <c r="H300" s="595"/>
      <c r="I300" s="595"/>
      <c r="J300" s="595"/>
      <c r="K300" s="595"/>
      <c r="L300" s="595"/>
      <c r="M300" s="595"/>
      <c r="N300" s="595"/>
      <c r="O300" s="595"/>
      <c r="P300" s="595"/>
      <c r="Q300" s="595"/>
      <c r="R300" s="595"/>
      <c r="S300" s="595"/>
      <c r="T300" s="595"/>
      <c r="U300" s="595"/>
      <c r="V300" s="595"/>
      <c r="AP300" s="595"/>
      <c r="AQ300" s="595"/>
      <c r="AR300" s="595"/>
      <c r="AS300" s="595"/>
      <c r="AT300" s="595"/>
      <c r="AU300" s="595"/>
      <c r="AV300" s="595"/>
      <c r="AW300" s="595"/>
      <c r="AX300" s="595"/>
      <c r="AY300" s="595"/>
      <c r="AZ300" s="595"/>
      <c r="BA300" s="595"/>
      <c r="BB300" s="595"/>
      <c r="BC300" s="595"/>
      <c r="BD300" s="595"/>
      <c r="BE300" s="595"/>
      <c r="BF300" s="595"/>
      <c r="BG300" s="595"/>
      <c r="BH300" s="595"/>
    </row>
    <row r="301" spans="4:60" s="13" customFormat="1">
      <c r="D301" s="595"/>
      <c r="E301" s="595"/>
      <c r="F301" s="595"/>
      <c r="G301" s="595"/>
      <c r="H301" s="595"/>
      <c r="I301" s="595"/>
      <c r="J301" s="595"/>
      <c r="K301" s="595"/>
      <c r="L301" s="595"/>
      <c r="M301" s="595"/>
      <c r="N301" s="595"/>
      <c r="O301" s="595"/>
      <c r="P301" s="595"/>
      <c r="Q301" s="595"/>
      <c r="R301" s="595"/>
      <c r="S301" s="595"/>
      <c r="T301" s="595"/>
      <c r="U301" s="595"/>
      <c r="V301" s="595"/>
      <c r="AP301" s="595"/>
      <c r="AQ301" s="595"/>
      <c r="AR301" s="595"/>
      <c r="AS301" s="595"/>
      <c r="AT301" s="595"/>
      <c r="AU301" s="595"/>
      <c r="AV301" s="595"/>
      <c r="AW301" s="595"/>
      <c r="AX301" s="595"/>
      <c r="AY301" s="595"/>
      <c r="AZ301" s="595"/>
      <c r="BA301" s="595"/>
      <c r="BB301" s="595"/>
      <c r="BC301" s="595"/>
      <c r="BD301" s="595"/>
      <c r="BE301" s="595"/>
      <c r="BF301" s="595"/>
      <c r="BG301" s="595"/>
      <c r="BH301" s="595"/>
    </row>
    <row r="302" spans="4:60" s="13" customFormat="1">
      <c r="D302" s="595"/>
      <c r="E302" s="595"/>
      <c r="F302" s="595"/>
      <c r="G302" s="595"/>
      <c r="H302" s="595"/>
      <c r="I302" s="595"/>
      <c r="J302" s="595"/>
      <c r="K302" s="595"/>
      <c r="L302" s="595"/>
      <c r="M302" s="595"/>
      <c r="N302" s="595"/>
      <c r="O302" s="595"/>
      <c r="P302" s="595"/>
      <c r="Q302" s="595"/>
      <c r="R302" s="595"/>
      <c r="S302" s="595"/>
      <c r="T302" s="595"/>
      <c r="U302" s="595"/>
      <c r="V302" s="595"/>
      <c r="AP302" s="595"/>
      <c r="AQ302" s="595"/>
      <c r="AR302" s="595"/>
      <c r="AS302" s="595"/>
      <c r="AT302" s="595"/>
      <c r="AU302" s="595"/>
      <c r="AV302" s="595"/>
      <c r="AW302" s="595"/>
      <c r="AX302" s="595"/>
      <c r="AY302" s="595"/>
      <c r="AZ302" s="595"/>
      <c r="BA302" s="595"/>
      <c r="BB302" s="595"/>
      <c r="BC302" s="595"/>
      <c r="BD302" s="595"/>
      <c r="BE302" s="595"/>
      <c r="BF302" s="595"/>
      <c r="BG302" s="595"/>
      <c r="BH302" s="595"/>
    </row>
    <row r="303" spans="4:60" s="13" customFormat="1">
      <c r="D303" s="595"/>
      <c r="E303" s="595"/>
      <c r="F303" s="595"/>
      <c r="G303" s="595"/>
      <c r="H303" s="595"/>
      <c r="I303" s="595"/>
      <c r="J303" s="595"/>
      <c r="K303" s="595"/>
      <c r="L303" s="595"/>
      <c r="M303" s="595"/>
      <c r="N303" s="595"/>
      <c r="O303" s="595"/>
      <c r="P303" s="595"/>
      <c r="Q303" s="595"/>
      <c r="R303" s="595"/>
      <c r="S303" s="595"/>
      <c r="T303" s="595"/>
      <c r="U303" s="595"/>
      <c r="V303" s="595"/>
      <c r="AP303" s="595"/>
      <c r="AQ303" s="595"/>
      <c r="AR303" s="595"/>
      <c r="AS303" s="595"/>
      <c r="AT303" s="595"/>
      <c r="AU303" s="595"/>
      <c r="AV303" s="595"/>
      <c r="AW303" s="595"/>
      <c r="AX303" s="595"/>
      <c r="AY303" s="595"/>
      <c r="AZ303" s="595"/>
      <c r="BA303" s="595"/>
      <c r="BB303" s="595"/>
      <c r="BC303" s="595"/>
      <c r="BD303" s="595"/>
      <c r="BE303" s="595"/>
      <c r="BF303" s="595"/>
      <c r="BG303" s="595"/>
      <c r="BH303" s="595"/>
    </row>
    <row r="304" spans="4:60" s="13" customFormat="1">
      <c r="D304" s="595"/>
      <c r="E304" s="595"/>
      <c r="F304" s="595"/>
      <c r="G304" s="595"/>
      <c r="H304" s="595"/>
      <c r="I304" s="595"/>
      <c r="J304" s="595"/>
      <c r="K304" s="595"/>
      <c r="L304" s="595"/>
      <c r="M304" s="595"/>
      <c r="N304" s="595"/>
      <c r="O304" s="595"/>
      <c r="P304" s="595"/>
      <c r="Q304" s="595"/>
      <c r="R304" s="595"/>
      <c r="S304" s="595"/>
      <c r="T304" s="595"/>
      <c r="U304" s="595"/>
      <c r="V304" s="595"/>
      <c r="AP304" s="595"/>
      <c r="AQ304" s="595"/>
      <c r="AR304" s="595"/>
      <c r="AS304" s="595"/>
      <c r="AT304" s="595"/>
      <c r="AU304" s="595"/>
      <c r="AV304" s="595"/>
      <c r="AW304" s="595"/>
      <c r="AX304" s="595"/>
      <c r="AY304" s="595"/>
      <c r="AZ304" s="595"/>
      <c r="BA304" s="595"/>
      <c r="BB304" s="595"/>
      <c r="BC304" s="595"/>
      <c r="BD304" s="595"/>
      <c r="BE304" s="595"/>
      <c r="BF304" s="595"/>
      <c r="BG304" s="595"/>
      <c r="BH304" s="595"/>
    </row>
    <row r="305" spans="4:60" s="13" customFormat="1">
      <c r="D305" s="595"/>
      <c r="E305" s="595"/>
      <c r="F305" s="595"/>
      <c r="G305" s="595"/>
      <c r="H305" s="595"/>
      <c r="I305" s="595"/>
      <c r="J305" s="595"/>
      <c r="K305" s="595"/>
      <c r="L305" s="595"/>
      <c r="M305" s="595"/>
      <c r="N305" s="595"/>
      <c r="O305" s="595"/>
      <c r="P305" s="595"/>
      <c r="Q305" s="595"/>
      <c r="R305" s="595"/>
      <c r="S305" s="595"/>
      <c r="T305" s="595"/>
      <c r="U305" s="595"/>
      <c r="V305" s="595"/>
      <c r="AP305" s="595"/>
      <c r="AQ305" s="595"/>
      <c r="AR305" s="595"/>
      <c r="AS305" s="595"/>
      <c r="AT305" s="595"/>
      <c r="AU305" s="595"/>
      <c r="AV305" s="595"/>
      <c r="AW305" s="595"/>
      <c r="AX305" s="595"/>
      <c r="AY305" s="595"/>
      <c r="AZ305" s="595"/>
      <c r="BA305" s="595"/>
      <c r="BB305" s="595"/>
      <c r="BC305" s="595"/>
      <c r="BD305" s="595"/>
      <c r="BE305" s="595"/>
      <c r="BF305" s="595"/>
      <c r="BG305" s="595"/>
      <c r="BH305" s="595"/>
    </row>
    <row r="306" spans="4:60" s="13" customFormat="1">
      <c r="D306" s="595"/>
      <c r="E306" s="595"/>
      <c r="F306" s="595"/>
      <c r="G306" s="595"/>
      <c r="H306" s="595"/>
      <c r="I306" s="595"/>
      <c r="J306" s="595"/>
      <c r="K306" s="595"/>
      <c r="L306" s="595"/>
      <c r="M306" s="595"/>
      <c r="N306" s="595"/>
      <c r="O306" s="595"/>
      <c r="P306" s="595"/>
      <c r="Q306" s="595"/>
      <c r="R306" s="595"/>
      <c r="S306" s="595"/>
      <c r="T306" s="595"/>
      <c r="U306" s="595"/>
      <c r="V306" s="595"/>
      <c r="AP306" s="595"/>
      <c r="AQ306" s="595"/>
      <c r="AR306" s="595"/>
      <c r="AS306" s="595"/>
      <c r="AT306" s="595"/>
      <c r="AU306" s="595"/>
      <c r="AV306" s="595"/>
      <c r="AW306" s="595"/>
      <c r="AX306" s="595"/>
      <c r="AY306" s="595"/>
      <c r="AZ306" s="595"/>
      <c r="BA306" s="595"/>
      <c r="BB306" s="595"/>
      <c r="BC306" s="595"/>
      <c r="BD306" s="595"/>
      <c r="BE306" s="595"/>
      <c r="BF306" s="595"/>
      <c r="BG306" s="595"/>
      <c r="BH306" s="595"/>
    </row>
    <row r="307" spans="4:60" s="13" customFormat="1">
      <c r="D307" s="595"/>
      <c r="E307" s="595"/>
      <c r="F307" s="595"/>
      <c r="G307" s="595"/>
      <c r="H307" s="595"/>
      <c r="I307" s="595"/>
      <c r="J307" s="595"/>
      <c r="K307" s="595"/>
      <c r="L307" s="595"/>
      <c r="M307" s="595"/>
      <c r="N307" s="595"/>
      <c r="O307" s="595"/>
      <c r="P307" s="595"/>
      <c r="Q307" s="595"/>
      <c r="R307" s="595"/>
      <c r="S307" s="595"/>
      <c r="T307" s="595"/>
      <c r="U307" s="595"/>
      <c r="V307" s="595"/>
      <c r="AP307" s="595"/>
      <c r="AQ307" s="595"/>
      <c r="AR307" s="595"/>
      <c r="AS307" s="595"/>
      <c r="AT307" s="595"/>
      <c r="AU307" s="595"/>
      <c r="AV307" s="595"/>
      <c r="AW307" s="595"/>
      <c r="AX307" s="595"/>
      <c r="AY307" s="595"/>
      <c r="AZ307" s="595"/>
      <c r="BA307" s="595"/>
      <c r="BB307" s="595"/>
      <c r="BC307" s="595"/>
      <c r="BD307" s="595"/>
      <c r="BE307" s="595"/>
      <c r="BF307" s="595"/>
      <c r="BG307" s="595"/>
      <c r="BH307" s="595"/>
    </row>
    <row r="308" spans="4:60" s="13" customFormat="1">
      <c r="D308" s="595"/>
      <c r="E308" s="595"/>
      <c r="F308" s="595"/>
      <c r="G308" s="595"/>
      <c r="H308" s="595"/>
      <c r="I308" s="595"/>
      <c r="J308" s="595"/>
      <c r="K308" s="595"/>
      <c r="L308" s="595"/>
      <c r="M308" s="595"/>
      <c r="N308" s="595"/>
      <c r="O308" s="595"/>
      <c r="P308" s="595"/>
      <c r="Q308" s="595"/>
      <c r="R308" s="595"/>
      <c r="S308" s="595"/>
      <c r="T308" s="595"/>
      <c r="U308" s="595"/>
      <c r="V308" s="595"/>
      <c r="AP308" s="595"/>
      <c r="AQ308" s="595"/>
      <c r="AR308" s="595"/>
      <c r="AS308" s="595"/>
      <c r="AT308" s="595"/>
      <c r="AU308" s="595"/>
      <c r="AV308" s="595"/>
      <c r="AW308" s="595"/>
      <c r="AX308" s="595"/>
      <c r="AY308" s="595"/>
      <c r="AZ308" s="595"/>
      <c r="BA308" s="595"/>
      <c r="BB308" s="595"/>
      <c r="BC308" s="595"/>
      <c r="BD308" s="595"/>
      <c r="BE308" s="595"/>
      <c r="BF308" s="595"/>
      <c r="BG308" s="595"/>
      <c r="BH308" s="595"/>
    </row>
    <row r="309" spans="4:60" s="13" customFormat="1">
      <c r="D309" s="595"/>
      <c r="E309" s="595"/>
      <c r="F309" s="595"/>
      <c r="G309" s="595"/>
      <c r="H309" s="595"/>
      <c r="I309" s="595"/>
      <c r="J309" s="595"/>
      <c r="K309" s="595"/>
      <c r="L309" s="595"/>
      <c r="M309" s="595"/>
      <c r="N309" s="595"/>
      <c r="O309" s="595"/>
      <c r="P309" s="595"/>
      <c r="Q309" s="595"/>
      <c r="R309" s="595"/>
      <c r="S309" s="595"/>
      <c r="T309" s="595"/>
      <c r="U309" s="595"/>
      <c r="V309" s="595"/>
      <c r="AP309" s="595"/>
      <c r="AQ309" s="595"/>
      <c r="AR309" s="595"/>
      <c r="AS309" s="595"/>
      <c r="AT309" s="595"/>
      <c r="AU309" s="595"/>
      <c r="AV309" s="595"/>
      <c r="AW309" s="595"/>
      <c r="AX309" s="595"/>
      <c r="AY309" s="595"/>
      <c r="AZ309" s="595"/>
      <c r="BA309" s="595"/>
      <c r="BB309" s="595"/>
      <c r="BC309" s="595"/>
      <c r="BD309" s="595"/>
      <c r="BE309" s="595"/>
      <c r="BF309" s="595"/>
      <c r="BG309" s="595"/>
      <c r="BH309" s="595"/>
    </row>
    <row r="310" spans="4:60" s="13" customFormat="1">
      <c r="D310" s="595"/>
      <c r="E310" s="595"/>
      <c r="F310" s="595"/>
      <c r="G310" s="595"/>
      <c r="H310" s="595"/>
      <c r="I310" s="595"/>
      <c r="J310" s="595"/>
      <c r="K310" s="595"/>
      <c r="L310" s="595"/>
      <c r="M310" s="595"/>
      <c r="N310" s="595"/>
      <c r="O310" s="595"/>
      <c r="P310" s="595"/>
      <c r="Q310" s="595"/>
      <c r="R310" s="595"/>
      <c r="S310" s="595"/>
      <c r="T310" s="595"/>
      <c r="U310" s="595"/>
      <c r="V310" s="595"/>
      <c r="AP310" s="595"/>
      <c r="AQ310" s="595"/>
      <c r="AR310" s="595"/>
      <c r="AS310" s="595"/>
      <c r="AT310" s="595"/>
      <c r="AU310" s="595"/>
      <c r="AV310" s="595"/>
      <c r="AW310" s="595"/>
      <c r="AX310" s="595"/>
      <c r="AY310" s="595"/>
      <c r="AZ310" s="595"/>
      <c r="BA310" s="595"/>
      <c r="BB310" s="595"/>
      <c r="BC310" s="595"/>
      <c r="BD310" s="595"/>
      <c r="BE310" s="595"/>
      <c r="BF310" s="595"/>
      <c r="BG310" s="595"/>
      <c r="BH310" s="595"/>
    </row>
    <row r="311" spans="4:60" s="13" customFormat="1">
      <c r="D311" s="595"/>
      <c r="E311" s="595"/>
      <c r="F311" s="595"/>
      <c r="G311" s="595"/>
      <c r="H311" s="595"/>
      <c r="I311" s="595"/>
      <c r="J311" s="595"/>
      <c r="K311" s="595"/>
      <c r="L311" s="595"/>
      <c r="M311" s="595"/>
      <c r="N311" s="595"/>
      <c r="O311" s="595"/>
      <c r="P311" s="595"/>
      <c r="Q311" s="595"/>
      <c r="R311" s="595"/>
      <c r="S311" s="595"/>
      <c r="T311" s="595"/>
      <c r="U311" s="595"/>
      <c r="V311" s="595"/>
      <c r="AP311" s="595"/>
      <c r="AQ311" s="595"/>
      <c r="AR311" s="595"/>
      <c r="AS311" s="595"/>
      <c r="AT311" s="595"/>
      <c r="AU311" s="595"/>
      <c r="AV311" s="595"/>
      <c r="AW311" s="595"/>
      <c r="AX311" s="595"/>
      <c r="AY311" s="595"/>
      <c r="AZ311" s="595"/>
      <c r="BA311" s="595"/>
      <c r="BB311" s="595"/>
      <c r="BC311" s="595"/>
      <c r="BD311" s="595"/>
      <c r="BE311" s="595"/>
      <c r="BF311" s="595"/>
      <c r="BG311" s="595"/>
      <c r="BH311" s="595"/>
    </row>
    <row r="312" spans="4:60" s="13" customFormat="1">
      <c r="D312" s="595"/>
      <c r="E312" s="595"/>
      <c r="F312" s="595"/>
      <c r="G312" s="595"/>
      <c r="H312" s="595"/>
      <c r="I312" s="595"/>
      <c r="J312" s="595"/>
      <c r="K312" s="595"/>
      <c r="L312" s="595"/>
      <c r="M312" s="595"/>
      <c r="N312" s="595"/>
      <c r="O312" s="595"/>
      <c r="P312" s="595"/>
      <c r="Q312" s="595"/>
      <c r="R312" s="595"/>
      <c r="S312" s="595"/>
      <c r="T312" s="595"/>
      <c r="U312" s="595"/>
      <c r="V312" s="595"/>
      <c r="AP312" s="595"/>
      <c r="AQ312" s="595"/>
      <c r="AR312" s="595"/>
      <c r="AS312" s="595"/>
      <c r="AT312" s="595"/>
      <c r="AU312" s="595"/>
      <c r="AV312" s="595"/>
      <c r="AW312" s="595"/>
      <c r="AX312" s="595"/>
      <c r="AY312" s="595"/>
      <c r="AZ312" s="595"/>
      <c r="BA312" s="595"/>
      <c r="BB312" s="595"/>
      <c r="BC312" s="595"/>
      <c r="BD312" s="595"/>
      <c r="BE312" s="595"/>
      <c r="BF312" s="595"/>
      <c r="BG312" s="595"/>
      <c r="BH312" s="595"/>
    </row>
    <row r="313" spans="4:60" s="13" customFormat="1">
      <c r="D313" s="595"/>
      <c r="E313" s="595"/>
      <c r="F313" s="595"/>
      <c r="G313" s="595"/>
      <c r="H313" s="595"/>
      <c r="I313" s="595"/>
      <c r="J313" s="595"/>
      <c r="K313" s="595"/>
      <c r="L313" s="595"/>
      <c r="M313" s="595"/>
      <c r="N313" s="595"/>
      <c r="O313" s="595"/>
      <c r="P313" s="595"/>
      <c r="Q313" s="595"/>
      <c r="R313" s="595"/>
      <c r="S313" s="595"/>
      <c r="T313" s="595"/>
      <c r="U313" s="595"/>
      <c r="V313" s="595"/>
      <c r="AP313" s="595"/>
      <c r="AQ313" s="595"/>
      <c r="AR313" s="595"/>
      <c r="AS313" s="595"/>
      <c r="AT313" s="595"/>
      <c r="AU313" s="595"/>
      <c r="AV313" s="595"/>
      <c r="AW313" s="595"/>
      <c r="AX313" s="595"/>
      <c r="AY313" s="595"/>
      <c r="AZ313" s="595"/>
      <c r="BA313" s="595"/>
      <c r="BB313" s="595"/>
      <c r="BC313" s="595"/>
      <c r="BD313" s="595"/>
      <c r="BE313" s="595"/>
      <c r="BF313" s="595"/>
      <c r="BG313" s="595"/>
      <c r="BH313" s="595"/>
    </row>
    <row r="314" spans="4:60" s="13" customFormat="1">
      <c r="D314" s="595"/>
      <c r="E314" s="595"/>
      <c r="F314" s="595"/>
      <c r="G314" s="595"/>
      <c r="H314" s="595"/>
      <c r="I314" s="595"/>
      <c r="J314" s="595"/>
      <c r="K314" s="595"/>
      <c r="L314" s="595"/>
      <c r="M314" s="595"/>
      <c r="N314" s="595"/>
      <c r="O314" s="595"/>
      <c r="P314" s="595"/>
      <c r="Q314" s="595"/>
      <c r="R314" s="595"/>
      <c r="S314" s="595"/>
      <c r="T314" s="595"/>
      <c r="U314" s="595"/>
      <c r="V314" s="595"/>
      <c r="AP314" s="595"/>
      <c r="AQ314" s="595"/>
      <c r="AR314" s="595"/>
      <c r="AS314" s="595"/>
      <c r="AT314" s="595"/>
      <c r="AU314" s="595"/>
      <c r="AV314" s="595"/>
      <c r="AW314" s="595"/>
      <c r="AX314" s="595"/>
      <c r="AY314" s="595"/>
      <c r="AZ314" s="595"/>
      <c r="BA314" s="595"/>
      <c r="BB314" s="595"/>
      <c r="BC314" s="595"/>
      <c r="BD314" s="595"/>
      <c r="BE314" s="595"/>
      <c r="BF314" s="595"/>
      <c r="BG314" s="595"/>
      <c r="BH314" s="595"/>
    </row>
    <row r="315" spans="4:60" s="13" customFormat="1">
      <c r="D315" s="595"/>
      <c r="E315" s="595"/>
      <c r="F315" s="595"/>
      <c r="G315" s="595"/>
      <c r="H315" s="595"/>
      <c r="I315" s="595"/>
      <c r="J315" s="595"/>
      <c r="K315" s="595"/>
      <c r="L315" s="595"/>
      <c r="M315" s="595"/>
      <c r="N315" s="595"/>
      <c r="O315" s="595"/>
      <c r="P315" s="595"/>
      <c r="Q315" s="595"/>
      <c r="R315" s="595"/>
      <c r="S315" s="595"/>
      <c r="T315" s="595"/>
      <c r="U315" s="595"/>
      <c r="V315" s="595"/>
      <c r="AP315" s="595"/>
      <c r="AQ315" s="595"/>
      <c r="AR315" s="595"/>
      <c r="AS315" s="595"/>
      <c r="AT315" s="595"/>
      <c r="AU315" s="595"/>
      <c r="AV315" s="595"/>
      <c r="AW315" s="595"/>
      <c r="AX315" s="595"/>
      <c r="AY315" s="595"/>
      <c r="AZ315" s="595"/>
      <c r="BA315" s="595"/>
      <c r="BB315" s="595"/>
      <c r="BC315" s="595"/>
      <c r="BD315" s="595"/>
      <c r="BE315" s="595"/>
      <c r="BF315" s="595"/>
      <c r="BG315" s="595"/>
      <c r="BH315" s="595"/>
    </row>
    <row r="316" spans="4:60" s="13" customFormat="1">
      <c r="D316" s="595"/>
      <c r="E316" s="595"/>
      <c r="F316" s="595"/>
      <c r="G316" s="595"/>
      <c r="H316" s="595"/>
      <c r="I316" s="595"/>
      <c r="J316" s="595"/>
      <c r="K316" s="595"/>
      <c r="L316" s="595"/>
      <c r="M316" s="595"/>
      <c r="N316" s="595"/>
      <c r="O316" s="595"/>
      <c r="P316" s="595"/>
      <c r="Q316" s="595"/>
      <c r="R316" s="595"/>
      <c r="S316" s="595"/>
      <c r="T316" s="595"/>
      <c r="U316" s="595"/>
      <c r="V316" s="595"/>
      <c r="AP316" s="595"/>
      <c r="AQ316" s="595"/>
      <c r="AR316" s="595"/>
      <c r="AS316" s="595"/>
      <c r="AT316" s="595"/>
      <c r="AU316" s="595"/>
      <c r="AV316" s="595"/>
      <c r="AW316" s="595"/>
      <c r="AX316" s="595"/>
      <c r="AY316" s="595"/>
      <c r="AZ316" s="595"/>
      <c r="BA316" s="595"/>
      <c r="BB316" s="595"/>
      <c r="BC316" s="595"/>
      <c r="BD316" s="595"/>
      <c r="BE316" s="595"/>
      <c r="BF316" s="595"/>
      <c r="BG316" s="595"/>
      <c r="BH316" s="595"/>
    </row>
    <row r="317" spans="4:60" s="13" customFormat="1">
      <c r="D317" s="595"/>
      <c r="E317" s="595"/>
      <c r="F317" s="595"/>
      <c r="G317" s="595"/>
      <c r="H317" s="595"/>
      <c r="I317" s="595"/>
      <c r="J317" s="595"/>
      <c r="K317" s="595"/>
      <c r="L317" s="595"/>
      <c r="M317" s="595"/>
      <c r="N317" s="595"/>
      <c r="O317" s="595"/>
      <c r="P317" s="595"/>
      <c r="Q317" s="595"/>
      <c r="R317" s="595"/>
      <c r="S317" s="595"/>
      <c r="T317" s="595"/>
      <c r="U317" s="595"/>
      <c r="V317" s="595"/>
      <c r="AP317" s="595"/>
      <c r="AQ317" s="595"/>
      <c r="AR317" s="595"/>
      <c r="AS317" s="595"/>
      <c r="AT317" s="595"/>
      <c r="AU317" s="595"/>
      <c r="AV317" s="595"/>
      <c r="AW317" s="595"/>
      <c r="AX317" s="595"/>
      <c r="AY317" s="595"/>
      <c r="AZ317" s="595"/>
      <c r="BA317" s="595"/>
      <c r="BB317" s="595"/>
      <c r="BC317" s="595"/>
      <c r="BD317" s="595"/>
      <c r="BE317" s="595"/>
      <c r="BF317" s="595"/>
      <c r="BG317" s="595"/>
      <c r="BH317" s="595"/>
    </row>
    <row r="318" spans="4:60" s="13" customFormat="1">
      <c r="D318" s="595"/>
      <c r="E318" s="595"/>
      <c r="F318" s="595"/>
      <c r="G318" s="595"/>
      <c r="H318" s="595"/>
      <c r="I318" s="595"/>
      <c r="J318" s="595"/>
      <c r="K318" s="595"/>
      <c r="L318" s="595"/>
      <c r="M318" s="595"/>
      <c r="N318" s="595"/>
      <c r="O318" s="595"/>
      <c r="P318" s="595"/>
      <c r="Q318" s="595"/>
      <c r="R318" s="595"/>
      <c r="S318" s="595"/>
      <c r="T318" s="595"/>
      <c r="U318" s="595"/>
      <c r="V318" s="595"/>
      <c r="AP318" s="595"/>
      <c r="AQ318" s="595"/>
      <c r="AR318" s="595"/>
      <c r="AS318" s="595"/>
      <c r="AT318" s="595"/>
      <c r="AU318" s="595"/>
      <c r="AV318" s="595"/>
      <c r="AW318" s="595"/>
      <c r="AX318" s="595"/>
      <c r="AY318" s="595"/>
      <c r="AZ318" s="595"/>
      <c r="BA318" s="595"/>
      <c r="BB318" s="595"/>
      <c r="BC318" s="595"/>
      <c r="BD318" s="595"/>
      <c r="BE318" s="595"/>
      <c r="BF318" s="595"/>
      <c r="BG318" s="595"/>
      <c r="BH318" s="595"/>
    </row>
    <row r="319" spans="4:60" s="13" customFormat="1">
      <c r="D319" s="595"/>
      <c r="E319" s="595"/>
      <c r="F319" s="595"/>
      <c r="G319" s="595"/>
      <c r="H319" s="595"/>
      <c r="I319" s="595"/>
      <c r="J319" s="595"/>
      <c r="K319" s="595"/>
      <c r="L319" s="595"/>
      <c r="M319" s="595"/>
      <c r="N319" s="595"/>
      <c r="O319" s="595"/>
      <c r="P319" s="595"/>
      <c r="Q319" s="595"/>
      <c r="R319" s="595"/>
      <c r="S319" s="595"/>
      <c r="T319" s="595"/>
      <c r="U319" s="595"/>
      <c r="V319" s="595"/>
      <c r="AP319" s="595"/>
      <c r="AQ319" s="595"/>
      <c r="AR319" s="595"/>
      <c r="AS319" s="595"/>
      <c r="AT319" s="595"/>
      <c r="AU319" s="595"/>
      <c r="AV319" s="595"/>
      <c r="AW319" s="595"/>
      <c r="AX319" s="595"/>
      <c r="AY319" s="595"/>
      <c r="AZ319" s="595"/>
      <c r="BA319" s="595"/>
      <c r="BB319" s="595"/>
      <c r="BC319" s="595"/>
      <c r="BD319" s="595"/>
      <c r="BE319" s="595"/>
      <c r="BF319" s="595"/>
      <c r="BG319" s="595"/>
      <c r="BH319" s="595"/>
    </row>
    <row r="320" spans="4:60" s="13" customFormat="1">
      <c r="D320" s="595"/>
      <c r="E320" s="595"/>
      <c r="F320" s="595"/>
      <c r="G320" s="595"/>
      <c r="H320" s="595"/>
      <c r="I320" s="595"/>
      <c r="J320" s="595"/>
      <c r="K320" s="595"/>
      <c r="L320" s="595"/>
      <c r="M320" s="595"/>
      <c r="N320" s="595"/>
      <c r="O320" s="595"/>
      <c r="P320" s="595"/>
      <c r="Q320" s="595"/>
      <c r="R320" s="595"/>
      <c r="S320" s="595"/>
      <c r="T320" s="595"/>
      <c r="U320" s="595"/>
      <c r="V320" s="595"/>
      <c r="AP320" s="595"/>
      <c r="AQ320" s="595"/>
      <c r="AR320" s="595"/>
      <c r="AS320" s="595"/>
      <c r="AT320" s="595"/>
      <c r="AU320" s="595"/>
      <c r="AV320" s="595"/>
      <c r="AW320" s="595"/>
      <c r="AX320" s="595"/>
      <c r="AY320" s="595"/>
      <c r="AZ320" s="595"/>
      <c r="BA320" s="595"/>
      <c r="BB320" s="595"/>
      <c r="BC320" s="595"/>
      <c r="BD320" s="595"/>
      <c r="BE320" s="595"/>
      <c r="BF320" s="595"/>
      <c r="BG320" s="595"/>
      <c r="BH320" s="595"/>
    </row>
    <row r="321" spans="4:60" s="13" customFormat="1">
      <c r="D321" s="595"/>
      <c r="E321" s="595"/>
      <c r="F321" s="595"/>
      <c r="G321" s="595"/>
      <c r="H321" s="595"/>
      <c r="I321" s="595"/>
      <c r="J321" s="595"/>
      <c r="K321" s="595"/>
      <c r="L321" s="595"/>
      <c r="M321" s="595"/>
      <c r="N321" s="595"/>
      <c r="O321" s="595"/>
      <c r="P321" s="595"/>
      <c r="Q321" s="595"/>
      <c r="R321" s="595"/>
      <c r="S321" s="595"/>
      <c r="T321" s="595"/>
      <c r="U321" s="595"/>
      <c r="V321" s="595"/>
      <c r="AP321" s="595"/>
      <c r="AQ321" s="595"/>
      <c r="AR321" s="595"/>
      <c r="AS321" s="595"/>
      <c r="AT321" s="595"/>
      <c r="AU321" s="595"/>
      <c r="AV321" s="595"/>
      <c r="AW321" s="595"/>
      <c r="AX321" s="595"/>
      <c r="AY321" s="595"/>
      <c r="AZ321" s="595"/>
      <c r="BA321" s="595"/>
      <c r="BB321" s="595"/>
      <c r="BC321" s="595"/>
      <c r="BD321" s="595"/>
      <c r="BE321" s="595"/>
      <c r="BF321" s="595"/>
      <c r="BG321" s="595"/>
      <c r="BH321" s="595"/>
    </row>
    <row r="322" spans="4:60" s="13" customFormat="1">
      <c r="D322" s="595"/>
      <c r="E322" s="595"/>
      <c r="F322" s="595"/>
      <c r="G322" s="595"/>
      <c r="H322" s="595"/>
      <c r="I322" s="595"/>
      <c r="J322" s="595"/>
      <c r="K322" s="595"/>
      <c r="L322" s="595"/>
      <c r="M322" s="595"/>
      <c r="N322" s="595"/>
      <c r="O322" s="595"/>
      <c r="P322" s="595"/>
      <c r="Q322" s="595"/>
      <c r="R322" s="595"/>
      <c r="S322" s="595"/>
      <c r="T322" s="595"/>
      <c r="U322" s="595"/>
      <c r="V322" s="595"/>
      <c r="AP322" s="595"/>
      <c r="AQ322" s="595"/>
      <c r="AR322" s="595"/>
      <c r="AS322" s="595"/>
      <c r="AT322" s="595"/>
      <c r="AU322" s="595"/>
      <c r="AV322" s="595"/>
      <c r="AW322" s="595"/>
      <c r="AX322" s="595"/>
      <c r="AY322" s="595"/>
      <c r="AZ322" s="595"/>
      <c r="BA322" s="595"/>
      <c r="BB322" s="595"/>
      <c r="BC322" s="595"/>
      <c r="BD322" s="595"/>
      <c r="BE322" s="595"/>
      <c r="BF322" s="595"/>
      <c r="BG322" s="595"/>
      <c r="BH322" s="595"/>
    </row>
    <row r="323" spans="4:60" s="13" customFormat="1">
      <c r="D323" s="595"/>
      <c r="E323" s="595"/>
      <c r="F323" s="595"/>
      <c r="G323" s="595"/>
      <c r="H323" s="595"/>
      <c r="I323" s="595"/>
      <c r="J323" s="595"/>
      <c r="K323" s="595"/>
      <c r="L323" s="595"/>
      <c r="M323" s="595"/>
      <c r="N323" s="595"/>
      <c r="O323" s="595"/>
      <c r="P323" s="595"/>
      <c r="Q323" s="595"/>
      <c r="R323" s="595"/>
      <c r="S323" s="595"/>
      <c r="T323" s="595"/>
      <c r="U323" s="595"/>
      <c r="V323" s="595"/>
      <c r="AP323" s="595"/>
      <c r="AQ323" s="595"/>
      <c r="AR323" s="595"/>
      <c r="AS323" s="595"/>
      <c r="AT323" s="595"/>
      <c r="AU323" s="595"/>
      <c r="AV323" s="595"/>
      <c r="AW323" s="595"/>
      <c r="AX323" s="595"/>
      <c r="AY323" s="595"/>
      <c r="AZ323" s="595"/>
      <c r="BA323" s="595"/>
      <c r="BB323" s="595"/>
      <c r="BC323" s="595"/>
      <c r="BD323" s="595"/>
      <c r="BE323" s="595"/>
      <c r="BF323" s="595"/>
      <c r="BG323" s="595"/>
      <c r="BH323" s="595"/>
    </row>
    <row r="324" spans="4:60" s="13" customFormat="1">
      <c r="D324" s="595"/>
      <c r="E324" s="595"/>
      <c r="F324" s="595"/>
      <c r="G324" s="595"/>
      <c r="H324" s="595"/>
      <c r="I324" s="595"/>
      <c r="J324" s="595"/>
      <c r="K324" s="595"/>
      <c r="L324" s="595"/>
      <c r="M324" s="595"/>
      <c r="N324" s="595"/>
      <c r="O324" s="595"/>
      <c r="P324" s="595"/>
      <c r="Q324" s="595"/>
      <c r="R324" s="595"/>
      <c r="S324" s="595"/>
      <c r="T324" s="595"/>
      <c r="U324" s="595"/>
      <c r="V324" s="595"/>
      <c r="AP324" s="595"/>
      <c r="AQ324" s="595"/>
      <c r="AR324" s="595"/>
      <c r="AS324" s="595"/>
      <c r="AT324" s="595"/>
      <c r="AU324" s="595"/>
      <c r="AV324" s="595"/>
      <c r="AW324" s="595"/>
      <c r="AX324" s="595"/>
      <c r="AY324" s="595"/>
      <c r="AZ324" s="595"/>
      <c r="BA324" s="595"/>
      <c r="BB324" s="595"/>
      <c r="BC324" s="595"/>
      <c r="BD324" s="595"/>
      <c r="BE324" s="595"/>
      <c r="BF324" s="595"/>
      <c r="BG324" s="595"/>
      <c r="BH324" s="595"/>
    </row>
    <row r="325" spans="4:60" s="13" customFormat="1">
      <c r="D325" s="595"/>
      <c r="E325" s="595"/>
      <c r="F325" s="595"/>
      <c r="G325" s="595"/>
      <c r="H325" s="595"/>
      <c r="I325" s="595"/>
      <c r="J325" s="595"/>
      <c r="K325" s="595"/>
      <c r="L325" s="595"/>
      <c r="M325" s="595"/>
      <c r="N325" s="595"/>
      <c r="O325" s="595"/>
      <c r="P325" s="595"/>
      <c r="Q325" s="595"/>
      <c r="R325" s="595"/>
      <c r="S325" s="595"/>
      <c r="T325" s="595"/>
      <c r="U325" s="595"/>
      <c r="V325" s="595"/>
      <c r="AP325" s="595"/>
      <c r="AQ325" s="595"/>
      <c r="AR325" s="595"/>
      <c r="AS325" s="595"/>
      <c r="AT325" s="595"/>
      <c r="AU325" s="595"/>
      <c r="AV325" s="595"/>
      <c r="AW325" s="595"/>
      <c r="AX325" s="595"/>
      <c r="AY325" s="595"/>
      <c r="AZ325" s="595"/>
      <c r="BA325" s="595"/>
      <c r="BB325" s="595"/>
      <c r="BC325" s="595"/>
      <c r="BD325" s="595"/>
      <c r="BE325" s="595"/>
      <c r="BF325" s="595"/>
      <c r="BG325" s="595"/>
      <c r="BH325" s="595"/>
    </row>
    <row r="326" spans="4:60" s="13" customFormat="1">
      <c r="D326" s="595"/>
      <c r="E326" s="595"/>
      <c r="F326" s="595"/>
      <c r="G326" s="595"/>
      <c r="H326" s="595"/>
      <c r="I326" s="595"/>
      <c r="J326" s="595"/>
      <c r="K326" s="595"/>
      <c r="L326" s="595"/>
      <c r="M326" s="595"/>
      <c r="N326" s="595"/>
      <c r="O326" s="595"/>
      <c r="P326" s="595"/>
      <c r="Q326" s="595"/>
      <c r="R326" s="595"/>
      <c r="S326" s="595"/>
      <c r="T326" s="595"/>
      <c r="U326" s="595"/>
      <c r="V326" s="595"/>
      <c r="AP326" s="595"/>
      <c r="AQ326" s="595"/>
      <c r="AR326" s="595"/>
      <c r="AS326" s="595"/>
      <c r="AT326" s="595"/>
      <c r="AU326" s="595"/>
      <c r="AV326" s="595"/>
      <c r="AW326" s="595"/>
      <c r="AX326" s="595"/>
      <c r="AY326" s="595"/>
      <c r="AZ326" s="595"/>
      <c r="BA326" s="595"/>
      <c r="BB326" s="595"/>
      <c r="BC326" s="595"/>
      <c r="BD326" s="595"/>
      <c r="BE326" s="595"/>
      <c r="BF326" s="595"/>
      <c r="BG326" s="595"/>
      <c r="BH326" s="595"/>
    </row>
    <row r="327" spans="4:60" s="13" customFormat="1">
      <c r="D327" s="595"/>
      <c r="E327" s="595"/>
      <c r="F327" s="595"/>
      <c r="G327" s="595"/>
      <c r="H327" s="595"/>
      <c r="I327" s="595"/>
      <c r="J327" s="595"/>
      <c r="K327" s="595"/>
      <c r="L327" s="595"/>
      <c r="M327" s="595"/>
      <c r="N327" s="595"/>
      <c r="O327" s="595"/>
      <c r="P327" s="595"/>
      <c r="Q327" s="595"/>
      <c r="R327" s="595"/>
      <c r="S327" s="595"/>
      <c r="T327" s="595"/>
      <c r="U327" s="595"/>
      <c r="V327" s="595"/>
      <c r="AP327" s="595"/>
      <c r="AQ327" s="595"/>
      <c r="AR327" s="595"/>
      <c r="AS327" s="595"/>
      <c r="AT327" s="595"/>
      <c r="AU327" s="595"/>
      <c r="AV327" s="595"/>
      <c r="AW327" s="595"/>
      <c r="AX327" s="595"/>
      <c r="AY327" s="595"/>
      <c r="AZ327" s="595"/>
      <c r="BA327" s="595"/>
      <c r="BB327" s="595"/>
      <c r="BC327" s="595"/>
      <c r="BD327" s="595"/>
      <c r="BE327" s="595"/>
      <c r="BF327" s="595"/>
      <c r="BG327" s="595"/>
      <c r="BH327" s="595"/>
    </row>
    <row r="328" spans="4:60" s="13" customFormat="1">
      <c r="D328" s="595"/>
      <c r="E328" s="595"/>
      <c r="F328" s="595"/>
      <c r="G328" s="595"/>
      <c r="H328" s="595"/>
      <c r="I328" s="595"/>
      <c r="J328" s="595"/>
      <c r="K328" s="595"/>
      <c r="L328" s="595"/>
      <c r="M328" s="595"/>
      <c r="N328" s="595"/>
      <c r="O328" s="595"/>
      <c r="P328" s="595"/>
      <c r="Q328" s="595"/>
      <c r="R328" s="595"/>
      <c r="S328" s="595"/>
      <c r="T328" s="595"/>
      <c r="U328" s="595"/>
      <c r="V328" s="595"/>
      <c r="AP328" s="595"/>
      <c r="AQ328" s="595"/>
      <c r="AR328" s="595"/>
      <c r="AS328" s="595"/>
      <c r="AT328" s="595"/>
      <c r="AU328" s="595"/>
      <c r="AV328" s="595"/>
      <c r="AW328" s="595"/>
      <c r="AX328" s="595"/>
      <c r="AY328" s="595"/>
      <c r="AZ328" s="595"/>
      <c r="BA328" s="595"/>
      <c r="BB328" s="595"/>
      <c r="BC328" s="595"/>
      <c r="BD328" s="595"/>
      <c r="BE328" s="595"/>
      <c r="BF328" s="595"/>
      <c r="BG328" s="595"/>
      <c r="BH328" s="595"/>
    </row>
    <row r="329" spans="4:60" s="13" customFormat="1">
      <c r="D329" s="595"/>
      <c r="E329" s="595"/>
      <c r="F329" s="595"/>
      <c r="G329" s="595"/>
      <c r="H329" s="595"/>
      <c r="I329" s="595"/>
      <c r="J329" s="595"/>
      <c r="K329" s="595"/>
      <c r="L329" s="595"/>
      <c r="M329" s="595"/>
      <c r="N329" s="595"/>
      <c r="O329" s="595"/>
      <c r="P329" s="595"/>
      <c r="Q329" s="595"/>
      <c r="R329" s="595"/>
      <c r="S329" s="595"/>
      <c r="T329" s="595"/>
      <c r="U329" s="595"/>
      <c r="V329" s="595"/>
      <c r="AP329" s="595"/>
      <c r="AQ329" s="595"/>
      <c r="AR329" s="595"/>
      <c r="AS329" s="595"/>
      <c r="AT329" s="595"/>
      <c r="AU329" s="595"/>
      <c r="AV329" s="595"/>
      <c r="AW329" s="595"/>
      <c r="AX329" s="595"/>
      <c r="AY329" s="595"/>
      <c r="AZ329" s="595"/>
      <c r="BA329" s="595"/>
      <c r="BB329" s="595"/>
      <c r="BC329" s="595"/>
      <c r="BD329" s="595"/>
      <c r="BE329" s="595"/>
      <c r="BF329" s="595"/>
      <c r="BG329" s="595"/>
      <c r="BH329" s="595"/>
    </row>
    <row r="330" spans="4:60" s="13" customFormat="1">
      <c r="D330" s="595"/>
      <c r="E330" s="595"/>
      <c r="F330" s="595"/>
      <c r="G330" s="595"/>
      <c r="H330" s="595"/>
      <c r="I330" s="595"/>
      <c r="J330" s="595"/>
      <c r="K330" s="595"/>
      <c r="L330" s="595"/>
      <c r="M330" s="595"/>
      <c r="N330" s="595"/>
      <c r="O330" s="595"/>
      <c r="P330" s="595"/>
      <c r="Q330" s="595"/>
      <c r="R330" s="595"/>
      <c r="S330" s="595"/>
      <c r="T330" s="595"/>
      <c r="U330" s="595"/>
      <c r="V330" s="595"/>
      <c r="AP330" s="595"/>
      <c r="AQ330" s="595"/>
      <c r="AR330" s="595"/>
      <c r="AS330" s="595"/>
      <c r="AT330" s="595"/>
      <c r="AU330" s="595"/>
      <c r="AV330" s="595"/>
      <c r="AW330" s="595"/>
      <c r="AX330" s="595"/>
      <c r="AY330" s="595"/>
      <c r="AZ330" s="595"/>
      <c r="BA330" s="595"/>
      <c r="BB330" s="595"/>
      <c r="BC330" s="595"/>
      <c r="BD330" s="595"/>
      <c r="BE330" s="595"/>
      <c r="BF330" s="595"/>
      <c r="BG330" s="595"/>
      <c r="BH330" s="595"/>
    </row>
    <row r="331" spans="4:60" s="13" customFormat="1">
      <c r="D331" s="595"/>
      <c r="E331" s="595"/>
      <c r="F331" s="595"/>
      <c r="G331" s="595"/>
      <c r="H331" s="595"/>
      <c r="I331" s="595"/>
      <c r="J331" s="595"/>
      <c r="K331" s="595"/>
      <c r="L331" s="595"/>
      <c r="M331" s="595"/>
      <c r="N331" s="595"/>
      <c r="O331" s="595"/>
      <c r="P331" s="595"/>
      <c r="Q331" s="595"/>
      <c r="R331" s="595"/>
      <c r="S331" s="595"/>
      <c r="T331" s="595"/>
      <c r="U331" s="595"/>
      <c r="V331" s="595"/>
      <c r="AP331" s="595"/>
      <c r="AQ331" s="595"/>
      <c r="AR331" s="595"/>
      <c r="AS331" s="595"/>
      <c r="AT331" s="595"/>
      <c r="AU331" s="595"/>
      <c r="AV331" s="595"/>
      <c r="AW331" s="595"/>
      <c r="AX331" s="595"/>
      <c r="AY331" s="595"/>
      <c r="AZ331" s="595"/>
      <c r="BA331" s="595"/>
      <c r="BB331" s="595"/>
      <c r="BC331" s="595"/>
      <c r="BD331" s="595"/>
      <c r="BE331" s="595"/>
      <c r="BF331" s="595"/>
      <c r="BG331" s="595"/>
      <c r="BH331" s="595"/>
    </row>
    <row r="332" spans="4:60" s="13" customFormat="1">
      <c r="D332" s="595"/>
      <c r="E332" s="595"/>
      <c r="F332" s="595"/>
      <c r="G332" s="595"/>
      <c r="H332" s="595"/>
      <c r="I332" s="595"/>
      <c r="J332" s="595"/>
      <c r="K332" s="595"/>
      <c r="L332" s="595"/>
      <c r="M332" s="595"/>
      <c r="N332" s="595"/>
      <c r="O332" s="595"/>
      <c r="P332" s="595"/>
      <c r="Q332" s="595"/>
      <c r="R332" s="595"/>
      <c r="S332" s="595"/>
      <c r="T332" s="595"/>
      <c r="U332" s="595"/>
      <c r="V332" s="595"/>
      <c r="AP332" s="595"/>
      <c r="AQ332" s="595"/>
      <c r="AR332" s="595"/>
      <c r="AS332" s="595"/>
      <c r="AT332" s="595"/>
      <c r="AU332" s="595"/>
      <c r="AV332" s="595"/>
      <c r="AW332" s="595"/>
      <c r="AX332" s="595"/>
      <c r="AY332" s="595"/>
      <c r="AZ332" s="595"/>
      <c r="BA332" s="595"/>
      <c r="BB332" s="595"/>
      <c r="BC332" s="595"/>
      <c r="BD332" s="595"/>
      <c r="BE332" s="595"/>
      <c r="BF332" s="595"/>
      <c r="BG332" s="595"/>
      <c r="BH332" s="595"/>
    </row>
    <row r="333" spans="4:60" s="13" customFormat="1">
      <c r="D333" s="595"/>
      <c r="E333" s="595"/>
      <c r="F333" s="595"/>
      <c r="G333" s="595"/>
      <c r="H333" s="595"/>
      <c r="I333" s="595"/>
      <c r="J333" s="595"/>
      <c r="K333" s="595"/>
      <c r="L333" s="595"/>
      <c r="M333" s="595"/>
      <c r="N333" s="595"/>
      <c r="O333" s="595"/>
      <c r="P333" s="595"/>
      <c r="Q333" s="595"/>
      <c r="R333" s="595"/>
      <c r="S333" s="595"/>
      <c r="T333" s="595"/>
      <c r="U333" s="595"/>
      <c r="V333" s="595"/>
      <c r="AP333" s="595"/>
      <c r="AQ333" s="595"/>
      <c r="AR333" s="595"/>
      <c r="AS333" s="595"/>
      <c r="AT333" s="595"/>
      <c r="AU333" s="595"/>
      <c r="AV333" s="595"/>
      <c r="AW333" s="595"/>
      <c r="AX333" s="595"/>
      <c r="AY333" s="595"/>
      <c r="AZ333" s="595"/>
      <c r="BA333" s="595"/>
      <c r="BB333" s="595"/>
      <c r="BC333" s="595"/>
      <c r="BD333" s="595"/>
      <c r="BE333" s="595"/>
      <c r="BF333" s="595"/>
      <c r="BG333" s="595"/>
      <c r="BH333" s="595"/>
    </row>
    <row r="334" spans="4:60" s="13" customFormat="1">
      <c r="D334" s="595"/>
      <c r="E334" s="595"/>
      <c r="F334" s="595"/>
      <c r="G334" s="595"/>
      <c r="H334" s="595"/>
      <c r="I334" s="595"/>
      <c r="J334" s="595"/>
      <c r="K334" s="595"/>
      <c r="L334" s="595"/>
      <c r="M334" s="595"/>
      <c r="N334" s="595"/>
      <c r="O334" s="595"/>
      <c r="P334" s="595"/>
      <c r="Q334" s="595"/>
      <c r="R334" s="595"/>
      <c r="S334" s="595"/>
      <c r="T334" s="595"/>
      <c r="U334" s="595"/>
      <c r="V334" s="595"/>
      <c r="AP334" s="595"/>
      <c r="AQ334" s="595"/>
      <c r="AR334" s="595"/>
      <c r="AS334" s="595"/>
      <c r="AT334" s="595"/>
      <c r="AU334" s="595"/>
      <c r="AV334" s="595"/>
      <c r="AW334" s="595"/>
      <c r="AX334" s="595"/>
      <c r="AY334" s="595"/>
      <c r="AZ334" s="595"/>
      <c r="BA334" s="595"/>
      <c r="BB334" s="595"/>
      <c r="BC334" s="595"/>
      <c r="BD334" s="595"/>
      <c r="BE334" s="595"/>
      <c r="BF334" s="595"/>
      <c r="BG334" s="595"/>
      <c r="BH334" s="595"/>
    </row>
    <row r="335" spans="4:60" s="13" customFormat="1">
      <c r="D335" s="595"/>
      <c r="E335" s="595"/>
      <c r="F335" s="595"/>
      <c r="G335" s="595"/>
      <c r="H335" s="595"/>
      <c r="I335" s="595"/>
      <c r="J335" s="595"/>
      <c r="K335" s="595"/>
      <c r="L335" s="595"/>
      <c r="M335" s="595"/>
      <c r="N335" s="595"/>
      <c r="O335" s="595"/>
      <c r="P335" s="595"/>
      <c r="Q335" s="595"/>
      <c r="R335" s="595"/>
      <c r="S335" s="595"/>
      <c r="T335" s="595"/>
      <c r="U335" s="595"/>
      <c r="V335" s="595"/>
      <c r="AP335" s="595"/>
      <c r="AQ335" s="595"/>
      <c r="AR335" s="595"/>
      <c r="AS335" s="595"/>
      <c r="AT335" s="595"/>
      <c r="AU335" s="595"/>
      <c r="AV335" s="595"/>
      <c r="AW335" s="595"/>
      <c r="AX335" s="595"/>
      <c r="AY335" s="595"/>
      <c r="AZ335" s="595"/>
      <c r="BA335" s="595"/>
      <c r="BB335" s="595"/>
      <c r="BC335" s="595"/>
      <c r="BD335" s="595"/>
      <c r="BE335" s="595"/>
      <c r="BF335" s="595"/>
      <c r="BG335" s="595"/>
      <c r="BH335" s="595"/>
    </row>
    <row r="336" spans="4:60" s="13" customFormat="1">
      <c r="D336" s="595"/>
      <c r="E336" s="595"/>
      <c r="F336" s="595"/>
      <c r="G336" s="595"/>
      <c r="H336" s="595"/>
      <c r="I336" s="595"/>
      <c r="J336" s="595"/>
      <c r="K336" s="595"/>
      <c r="L336" s="595"/>
      <c r="M336" s="595"/>
      <c r="N336" s="595"/>
      <c r="O336" s="595"/>
      <c r="P336" s="595"/>
      <c r="Q336" s="595"/>
      <c r="R336" s="595"/>
      <c r="S336" s="595"/>
      <c r="T336" s="595"/>
      <c r="U336" s="595"/>
      <c r="V336" s="595"/>
      <c r="AP336" s="595"/>
      <c r="AQ336" s="595"/>
      <c r="AR336" s="595"/>
      <c r="AS336" s="595"/>
      <c r="AT336" s="595"/>
      <c r="AU336" s="595"/>
      <c r="AV336" s="595"/>
      <c r="AW336" s="595"/>
      <c r="AX336" s="595"/>
      <c r="AY336" s="595"/>
      <c r="AZ336" s="595"/>
      <c r="BA336" s="595"/>
      <c r="BB336" s="595"/>
      <c r="BC336" s="595"/>
      <c r="BD336" s="595"/>
      <c r="BE336" s="595"/>
      <c r="BF336" s="595"/>
      <c r="BG336" s="595"/>
      <c r="BH336" s="595"/>
    </row>
    <row r="337" spans="4:60" s="13" customFormat="1">
      <c r="D337" s="595"/>
      <c r="E337" s="595"/>
      <c r="F337" s="595"/>
      <c r="G337" s="595"/>
      <c r="H337" s="595"/>
      <c r="I337" s="595"/>
      <c r="J337" s="595"/>
      <c r="K337" s="595"/>
      <c r="L337" s="595"/>
      <c r="M337" s="595"/>
      <c r="N337" s="595"/>
      <c r="O337" s="595"/>
      <c r="P337" s="595"/>
      <c r="Q337" s="595"/>
      <c r="R337" s="595"/>
      <c r="S337" s="595"/>
      <c r="T337" s="595"/>
      <c r="U337" s="595"/>
      <c r="V337" s="595"/>
      <c r="AP337" s="595"/>
      <c r="AQ337" s="595"/>
      <c r="AR337" s="595"/>
      <c r="AS337" s="595"/>
      <c r="AT337" s="595"/>
      <c r="AU337" s="595"/>
      <c r="AV337" s="595"/>
      <c r="AW337" s="595"/>
      <c r="AX337" s="595"/>
      <c r="AY337" s="595"/>
      <c r="AZ337" s="595"/>
      <c r="BA337" s="595"/>
      <c r="BB337" s="595"/>
      <c r="BC337" s="595"/>
      <c r="BD337" s="595"/>
      <c r="BE337" s="595"/>
      <c r="BF337" s="595"/>
      <c r="BG337" s="595"/>
      <c r="BH337" s="595"/>
    </row>
    <row r="338" spans="4:60" s="13" customFormat="1">
      <c r="D338" s="595"/>
      <c r="E338" s="595"/>
      <c r="F338" s="595"/>
      <c r="G338" s="595"/>
      <c r="H338" s="595"/>
      <c r="I338" s="595"/>
      <c r="J338" s="595"/>
      <c r="K338" s="595"/>
      <c r="L338" s="595"/>
      <c r="M338" s="595"/>
      <c r="N338" s="595"/>
      <c r="O338" s="595"/>
      <c r="P338" s="595"/>
      <c r="Q338" s="595"/>
      <c r="R338" s="595"/>
      <c r="S338" s="595"/>
      <c r="T338" s="595"/>
      <c r="U338" s="595"/>
      <c r="V338" s="595"/>
      <c r="AP338" s="595"/>
      <c r="AQ338" s="595"/>
      <c r="AR338" s="595"/>
      <c r="AS338" s="595"/>
      <c r="AT338" s="595"/>
      <c r="AU338" s="595"/>
      <c r="AV338" s="595"/>
      <c r="AW338" s="595"/>
      <c r="AX338" s="595"/>
      <c r="AY338" s="595"/>
      <c r="AZ338" s="595"/>
      <c r="BA338" s="595"/>
      <c r="BB338" s="595"/>
      <c r="BC338" s="595"/>
      <c r="BD338" s="595"/>
      <c r="BE338" s="595"/>
      <c r="BF338" s="595"/>
      <c r="BG338" s="595"/>
      <c r="BH338" s="595"/>
    </row>
    <row r="339" spans="4:60" s="13" customFormat="1">
      <c r="D339" s="595"/>
      <c r="E339" s="595"/>
      <c r="F339" s="595"/>
      <c r="G339" s="595"/>
      <c r="H339" s="595"/>
      <c r="I339" s="595"/>
      <c r="J339" s="595"/>
      <c r="K339" s="595"/>
      <c r="L339" s="595"/>
      <c r="M339" s="595"/>
      <c r="N339" s="595"/>
      <c r="O339" s="595"/>
      <c r="P339" s="595"/>
      <c r="Q339" s="595"/>
      <c r="R339" s="595"/>
      <c r="S339" s="595"/>
      <c r="T339" s="595"/>
      <c r="U339" s="595"/>
      <c r="V339" s="595"/>
      <c r="AP339" s="595"/>
      <c r="AQ339" s="595"/>
      <c r="AR339" s="595"/>
      <c r="AS339" s="595"/>
      <c r="AT339" s="595"/>
      <c r="AU339" s="595"/>
      <c r="AV339" s="595"/>
      <c r="AW339" s="595"/>
      <c r="AX339" s="595"/>
      <c r="AY339" s="595"/>
      <c r="AZ339" s="595"/>
      <c r="BA339" s="595"/>
      <c r="BB339" s="595"/>
      <c r="BC339" s="595"/>
      <c r="BD339" s="595"/>
      <c r="BE339" s="595"/>
      <c r="BF339" s="595"/>
      <c r="BG339" s="595"/>
      <c r="BH339" s="595"/>
    </row>
    <row r="340" spans="4:60" s="13" customFormat="1">
      <c r="D340" s="595"/>
      <c r="E340" s="595"/>
      <c r="F340" s="595"/>
      <c r="G340" s="595"/>
      <c r="H340" s="595"/>
      <c r="I340" s="595"/>
      <c r="J340" s="595"/>
      <c r="K340" s="595"/>
      <c r="L340" s="595"/>
      <c r="M340" s="595"/>
      <c r="N340" s="595"/>
      <c r="O340" s="595"/>
      <c r="P340" s="595"/>
      <c r="Q340" s="595"/>
      <c r="R340" s="595"/>
      <c r="S340" s="595"/>
      <c r="T340" s="595"/>
      <c r="U340" s="595"/>
      <c r="V340" s="595"/>
      <c r="AP340" s="595"/>
      <c r="AQ340" s="595"/>
      <c r="AR340" s="595"/>
      <c r="AS340" s="595"/>
      <c r="AT340" s="595"/>
      <c r="AU340" s="595"/>
      <c r="AV340" s="595"/>
      <c r="AW340" s="595"/>
      <c r="AX340" s="595"/>
      <c r="AY340" s="595"/>
      <c r="AZ340" s="595"/>
      <c r="BA340" s="595"/>
      <c r="BB340" s="595"/>
      <c r="BC340" s="595"/>
      <c r="BD340" s="595"/>
      <c r="BE340" s="595"/>
      <c r="BF340" s="595"/>
      <c r="BG340" s="595"/>
      <c r="BH340" s="595"/>
    </row>
    <row r="341" spans="4:60" s="13" customFormat="1">
      <c r="D341" s="595"/>
      <c r="E341" s="595"/>
      <c r="F341" s="595"/>
      <c r="G341" s="595"/>
      <c r="H341" s="595"/>
      <c r="I341" s="595"/>
      <c r="J341" s="595"/>
      <c r="K341" s="595"/>
      <c r="L341" s="595"/>
      <c r="M341" s="595"/>
      <c r="N341" s="595"/>
      <c r="O341" s="595"/>
      <c r="P341" s="595"/>
      <c r="Q341" s="595"/>
      <c r="R341" s="595"/>
      <c r="S341" s="595"/>
      <c r="T341" s="595"/>
      <c r="U341" s="595"/>
      <c r="V341" s="595"/>
      <c r="AP341" s="595"/>
      <c r="AQ341" s="595"/>
      <c r="AR341" s="595"/>
      <c r="AS341" s="595"/>
      <c r="AT341" s="595"/>
      <c r="AU341" s="595"/>
      <c r="AV341" s="595"/>
      <c r="AW341" s="595"/>
      <c r="AX341" s="595"/>
      <c r="AY341" s="595"/>
      <c r="AZ341" s="595"/>
      <c r="BA341" s="595"/>
      <c r="BB341" s="595"/>
      <c r="BC341" s="595"/>
      <c r="BD341" s="595"/>
      <c r="BE341" s="595"/>
      <c r="BF341" s="595"/>
      <c r="BG341" s="595"/>
      <c r="BH341" s="595"/>
    </row>
    <row r="342" spans="4:60" s="13" customFormat="1">
      <c r="D342" s="595"/>
      <c r="E342" s="595"/>
      <c r="F342" s="595"/>
      <c r="G342" s="595"/>
      <c r="H342" s="595"/>
      <c r="I342" s="595"/>
      <c r="J342" s="595"/>
      <c r="K342" s="595"/>
      <c r="L342" s="595"/>
      <c r="M342" s="595"/>
      <c r="N342" s="595"/>
      <c r="O342" s="595"/>
      <c r="P342" s="595"/>
      <c r="Q342" s="595"/>
      <c r="R342" s="595"/>
      <c r="S342" s="595"/>
      <c r="T342" s="595"/>
      <c r="U342" s="595"/>
      <c r="V342" s="595"/>
      <c r="AP342" s="595"/>
      <c r="AQ342" s="595"/>
      <c r="AR342" s="595"/>
      <c r="AS342" s="595"/>
      <c r="AT342" s="595"/>
      <c r="AU342" s="595"/>
      <c r="AV342" s="595"/>
      <c r="AW342" s="595"/>
      <c r="AX342" s="595"/>
      <c r="AY342" s="595"/>
      <c r="AZ342" s="595"/>
      <c r="BA342" s="595"/>
      <c r="BB342" s="595"/>
      <c r="BC342" s="595"/>
      <c r="BD342" s="595"/>
      <c r="BE342" s="595"/>
      <c r="BF342" s="595"/>
      <c r="BG342" s="595"/>
      <c r="BH342" s="595"/>
    </row>
    <row r="343" spans="4:60" s="13" customFormat="1">
      <c r="D343" s="595"/>
      <c r="E343" s="595"/>
      <c r="F343" s="595"/>
      <c r="G343" s="595"/>
      <c r="H343" s="595"/>
      <c r="I343" s="595"/>
      <c r="J343" s="595"/>
      <c r="K343" s="595"/>
      <c r="L343" s="595"/>
      <c r="M343" s="595"/>
      <c r="N343" s="595"/>
      <c r="O343" s="595"/>
      <c r="P343" s="595"/>
      <c r="Q343" s="595"/>
      <c r="R343" s="595"/>
      <c r="S343" s="595"/>
      <c r="T343" s="595"/>
      <c r="U343" s="595"/>
      <c r="V343" s="595"/>
      <c r="AP343" s="595"/>
      <c r="AQ343" s="595"/>
      <c r="AR343" s="595"/>
      <c r="AS343" s="595"/>
      <c r="AT343" s="595"/>
      <c r="AU343" s="595"/>
      <c r="AV343" s="595"/>
      <c r="AW343" s="595"/>
      <c r="AX343" s="595"/>
      <c r="AY343" s="595"/>
      <c r="AZ343" s="595"/>
      <c r="BA343" s="595"/>
      <c r="BB343" s="595"/>
      <c r="BC343" s="595"/>
      <c r="BD343" s="595"/>
      <c r="BE343" s="595"/>
      <c r="BF343" s="595"/>
      <c r="BG343" s="595"/>
      <c r="BH343" s="595"/>
    </row>
    <row r="344" spans="4:60" s="13" customFormat="1">
      <c r="D344" s="595"/>
      <c r="E344" s="595"/>
      <c r="F344" s="595"/>
      <c r="G344" s="595"/>
      <c r="H344" s="595"/>
      <c r="I344" s="595"/>
      <c r="J344" s="595"/>
      <c r="K344" s="595"/>
      <c r="L344" s="595"/>
      <c r="M344" s="595"/>
      <c r="N344" s="595"/>
      <c r="O344" s="595"/>
      <c r="P344" s="595"/>
      <c r="Q344" s="595"/>
      <c r="R344" s="595"/>
      <c r="S344" s="595"/>
      <c r="T344" s="595"/>
      <c r="U344" s="595"/>
      <c r="V344" s="595"/>
      <c r="AP344" s="595"/>
      <c r="AQ344" s="595"/>
      <c r="AR344" s="595"/>
      <c r="AS344" s="595"/>
      <c r="AT344" s="595"/>
      <c r="AU344" s="595"/>
      <c r="AV344" s="595"/>
      <c r="AW344" s="595"/>
      <c r="AX344" s="595"/>
      <c r="AY344" s="595"/>
      <c r="AZ344" s="595"/>
      <c r="BA344" s="595"/>
      <c r="BB344" s="595"/>
      <c r="BC344" s="595"/>
      <c r="BD344" s="595"/>
      <c r="BE344" s="595"/>
      <c r="BF344" s="595"/>
      <c r="BG344" s="595"/>
      <c r="BH344" s="595"/>
    </row>
    <row r="345" spans="4:60" s="13" customFormat="1">
      <c r="D345" s="595"/>
      <c r="E345" s="595"/>
      <c r="F345" s="595"/>
      <c r="G345" s="595"/>
      <c r="H345" s="595"/>
      <c r="I345" s="595"/>
      <c r="J345" s="595"/>
      <c r="K345" s="595"/>
      <c r="L345" s="595"/>
      <c r="M345" s="595"/>
      <c r="N345" s="595"/>
      <c r="O345" s="595"/>
      <c r="P345" s="595"/>
      <c r="Q345" s="595"/>
      <c r="R345" s="595"/>
      <c r="S345" s="595"/>
      <c r="T345" s="595"/>
      <c r="U345" s="595"/>
      <c r="V345" s="595"/>
      <c r="AP345" s="595"/>
      <c r="AQ345" s="595"/>
      <c r="AR345" s="595"/>
      <c r="AS345" s="595"/>
      <c r="AT345" s="595"/>
      <c r="AU345" s="595"/>
      <c r="AV345" s="595"/>
      <c r="AW345" s="595"/>
      <c r="AX345" s="595"/>
      <c r="AY345" s="595"/>
      <c r="AZ345" s="595"/>
      <c r="BA345" s="595"/>
      <c r="BB345" s="595"/>
      <c r="BC345" s="595"/>
      <c r="BD345" s="595"/>
      <c r="BE345" s="595"/>
      <c r="BF345" s="595"/>
      <c r="BG345" s="595"/>
      <c r="BH345" s="595"/>
    </row>
    <row r="346" spans="4:60" s="13" customFormat="1">
      <c r="D346" s="595"/>
      <c r="E346" s="595"/>
      <c r="F346" s="595"/>
      <c r="G346" s="595"/>
      <c r="H346" s="595"/>
      <c r="I346" s="595"/>
      <c r="J346" s="595"/>
      <c r="K346" s="595"/>
      <c r="L346" s="595"/>
      <c r="M346" s="595"/>
      <c r="N346" s="595"/>
      <c r="O346" s="595"/>
      <c r="P346" s="595"/>
      <c r="Q346" s="595"/>
      <c r="R346" s="595"/>
      <c r="S346" s="595"/>
      <c r="T346" s="595"/>
      <c r="U346" s="595"/>
      <c r="V346" s="595"/>
      <c r="AP346" s="595"/>
      <c r="AQ346" s="595"/>
      <c r="AR346" s="595"/>
      <c r="AS346" s="595"/>
      <c r="AT346" s="595"/>
      <c r="AU346" s="595"/>
      <c r="AV346" s="595"/>
      <c r="AW346" s="595"/>
      <c r="AX346" s="595"/>
      <c r="AY346" s="595"/>
      <c r="AZ346" s="595"/>
      <c r="BA346" s="595"/>
      <c r="BB346" s="595"/>
      <c r="BC346" s="595"/>
      <c r="BD346" s="595"/>
      <c r="BE346" s="595"/>
      <c r="BF346" s="595"/>
      <c r="BG346" s="595"/>
      <c r="BH346" s="595"/>
    </row>
    <row r="347" spans="4:60" s="13" customFormat="1">
      <c r="D347" s="595"/>
      <c r="E347" s="595"/>
      <c r="F347" s="595"/>
      <c r="G347" s="595"/>
      <c r="H347" s="595"/>
      <c r="I347" s="595"/>
      <c r="J347" s="595"/>
      <c r="K347" s="595"/>
      <c r="L347" s="595"/>
      <c r="M347" s="595"/>
      <c r="N347" s="595"/>
      <c r="O347" s="595"/>
      <c r="P347" s="595"/>
      <c r="Q347" s="595"/>
      <c r="R347" s="595"/>
      <c r="S347" s="595"/>
      <c r="T347" s="595"/>
      <c r="U347" s="595"/>
      <c r="V347" s="595"/>
      <c r="AP347" s="595"/>
      <c r="AQ347" s="595"/>
      <c r="AR347" s="595"/>
      <c r="AS347" s="595"/>
      <c r="AT347" s="595"/>
      <c r="AU347" s="595"/>
      <c r="AV347" s="595"/>
      <c r="AW347" s="595"/>
      <c r="AX347" s="595"/>
      <c r="AY347" s="595"/>
      <c r="AZ347" s="595"/>
      <c r="BA347" s="595"/>
      <c r="BB347" s="595"/>
      <c r="BC347" s="595"/>
      <c r="BD347" s="595"/>
      <c r="BE347" s="595"/>
      <c r="BF347" s="595"/>
      <c r="BG347" s="595"/>
      <c r="BH347" s="595"/>
    </row>
    <row r="348" spans="4:60" s="13" customFormat="1">
      <c r="D348" s="595"/>
      <c r="E348" s="595"/>
      <c r="F348" s="595"/>
      <c r="G348" s="595"/>
      <c r="H348" s="595"/>
      <c r="I348" s="595"/>
      <c r="J348" s="595"/>
      <c r="K348" s="595"/>
      <c r="L348" s="595"/>
      <c r="M348" s="595"/>
      <c r="N348" s="595"/>
      <c r="O348" s="595"/>
      <c r="P348" s="595"/>
      <c r="Q348" s="595"/>
      <c r="R348" s="595"/>
      <c r="S348" s="595"/>
      <c r="T348" s="595"/>
      <c r="U348" s="595"/>
      <c r="V348" s="595"/>
      <c r="AP348" s="595"/>
      <c r="AQ348" s="595"/>
      <c r="AR348" s="595"/>
      <c r="AS348" s="595"/>
      <c r="AT348" s="595"/>
      <c r="AU348" s="595"/>
      <c r="AV348" s="595"/>
      <c r="AW348" s="595"/>
      <c r="AX348" s="595"/>
      <c r="AY348" s="595"/>
      <c r="AZ348" s="595"/>
      <c r="BA348" s="595"/>
      <c r="BB348" s="595"/>
      <c r="BC348" s="595"/>
      <c r="BD348" s="595"/>
      <c r="BE348" s="595"/>
      <c r="BF348" s="595"/>
      <c r="BG348" s="595"/>
      <c r="BH348" s="595"/>
    </row>
    <row r="349" spans="4:60" s="13" customFormat="1">
      <c r="D349" s="595"/>
      <c r="E349" s="595"/>
      <c r="F349" s="595"/>
      <c r="G349" s="595"/>
      <c r="H349" s="595"/>
      <c r="I349" s="595"/>
      <c r="J349" s="595"/>
      <c r="K349" s="595"/>
      <c r="L349" s="595"/>
      <c r="M349" s="595"/>
      <c r="N349" s="595"/>
      <c r="O349" s="595"/>
      <c r="P349" s="595"/>
      <c r="Q349" s="595"/>
      <c r="R349" s="595"/>
      <c r="S349" s="595"/>
      <c r="T349" s="595"/>
      <c r="U349" s="595"/>
      <c r="V349" s="595"/>
      <c r="AP349" s="595"/>
      <c r="AQ349" s="595"/>
      <c r="AR349" s="595"/>
      <c r="AS349" s="595"/>
      <c r="AT349" s="595"/>
      <c r="AU349" s="595"/>
      <c r="AV349" s="595"/>
      <c r="AW349" s="595"/>
      <c r="AX349" s="595"/>
      <c r="AY349" s="595"/>
      <c r="AZ349" s="595"/>
      <c r="BA349" s="595"/>
      <c r="BB349" s="595"/>
      <c r="BC349" s="595"/>
      <c r="BD349" s="595"/>
      <c r="BE349" s="595"/>
      <c r="BF349" s="595"/>
      <c r="BG349" s="595"/>
      <c r="BH349" s="595"/>
    </row>
    <row r="350" spans="4:60" s="13" customFormat="1">
      <c r="D350" s="595"/>
      <c r="E350" s="595"/>
      <c r="F350" s="595"/>
      <c r="G350" s="595"/>
      <c r="H350" s="595"/>
      <c r="I350" s="595"/>
      <c r="J350" s="595"/>
      <c r="K350" s="595"/>
      <c r="L350" s="595"/>
      <c r="M350" s="595"/>
      <c r="N350" s="595"/>
      <c r="O350" s="595"/>
      <c r="P350" s="595"/>
      <c r="Q350" s="595"/>
      <c r="R350" s="595"/>
      <c r="S350" s="595"/>
      <c r="T350" s="595"/>
      <c r="U350" s="595"/>
      <c r="V350" s="595"/>
      <c r="AP350" s="595"/>
      <c r="AQ350" s="595"/>
      <c r="AR350" s="595"/>
      <c r="AS350" s="595"/>
      <c r="AT350" s="595"/>
      <c r="AU350" s="595"/>
      <c r="AV350" s="595"/>
      <c r="AW350" s="595"/>
      <c r="AX350" s="595"/>
      <c r="AY350" s="595"/>
      <c r="AZ350" s="595"/>
      <c r="BA350" s="595"/>
      <c r="BB350" s="595"/>
      <c r="BC350" s="595"/>
      <c r="BD350" s="595"/>
      <c r="BE350" s="595"/>
      <c r="BF350" s="595"/>
      <c r="BG350" s="595"/>
      <c r="BH350" s="595"/>
    </row>
    <row r="351" spans="4:60" s="13" customFormat="1">
      <c r="D351" s="595"/>
      <c r="E351" s="595"/>
      <c r="F351" s="595"/>
      <c r="G351" s="595"/>
      <c r="H351" s="595"/>
      <c r="I351" s="595"/>
      <c r="J351" s="595"/>
      <c r="K351" s="595"/>
      <c r="L351" s="595"/>
      <c r="M351" s="595"/>
      <c r="N351" s="595"/>
      <c r="O351" s="595"/>
      <c r="P351" s="595"/>
      <c r="Q351" s="595"/>
      <c r="R351" s="595"/>
      <c r="S351" s="595"/>
      <c r="T351" s="595"/>
      <c r="U351" s="595"/>
      <c r="V351" s="595"/>
      <c r="AP351" s="595"/>
      <c r="AQ351" s="595"/>
      <c r="AR351" s="595"/>
      <c r="AS351" s="595"/>
      <c r="AT351" s="595"/>
      <c r="AU351" s="595"/>
      <c r="AV351" s="595"/>
      <c r="AW351" s="595"/>
      <c r="AX351" s="595"/>
      <c r="AY351" s="595"/>
      <c r="AZ351" s="595"/>
      <c r="BA351" s="595"/>
      <c r="BB351" s="595"/>
      <c r="BC351" s="595"/>
      <c r="BD351" s="595"/>
      <c r="BE351" s="595"/>
      <c r="BF351" s="595"/>
      <c r="BG351" s="595"/>
      <c r="BH351" s="595"/>
    </row>
    <row r="352" spans="4:60" s="13" customFormat="1">
      <c r="D352" s="595"/>
      <c r="E352" s="595"/>
      <c r="F352" s="595"/>
      <c r="G352" s="595"/>
      <c r="H352" s="595"/>
      <c r="I352" s="595"/>
      <c r="J352" s="595"/>
      <c r="K352" s="595"/>
      <c r="L352" s="595"/>
      <c r="M352" s="595"/>
      <c r="N352" s="595"/>
      <c r="O352" s="595"/>
      <c r="P352" s="595"/>
      <c r="Q352" s="595"/>
      <c r="R352" s="595"/>
      <c r="S352" s="595"/>
      <c r="T352" s="595"/>
      <c r="U352" s="595"/>
      <c r="V352" s="595"/>
      <c r="AP352" s="595"/>
      <c r="AQ352" s="595"/>
      <c r="AR352" s="595"/>
      <c r="AS352" s="595"/>
      <c r="AT352" s="595"/>
      <c r="AU352" s="595"/>
      <c r="AV352" s="595"/>
      <c r="AW352" s="595"/>
      <c r="AX352" s="595"/>
      <c r="AY352" s="595"/>
      <c r="AZ352" s="595"/>
      <c r="BA352" s="595"/>
      <c r="BB352" s="595"/>
      <c r="BC352" s="595"/>
      <c r="BD352" s="595"/>
      <c r="BE352" s="595"/>
      <c r="BF352" s="595"/>
      <c r="BG352" s="595"/>
      <c r="BH352" s="595"/>
    </row>
    <row r="353" spans="4:60" s="13" customFormat="1">
      <c r="D353" s="595"/>
      <c r="E353" s="595"/>
      <c r="F353" s="595"/>
      <c r="G353" s="595"/>
      <c r="H353" s="595"/>
      <c r="I353" s="595"/>
      <c r="J353" s="595"/>
      <c r="K353" s="595"/>
      <c r="L353" s="595"/>
      <c r="M353" s="595"/>
      <c r="N353" s="595"/>
      <c r="O353" s="595"/>
      <c r="P353" s="595"/>
      <c r="Q353" s="595"/>
      <c r="R353" s="595"/>
      <c r="S353" s="595"/>
      <c r="T353" s="595"/>
      <c r="U353" s="595"/>
      <c r="V353" s="595"/>
      <c r="AP353" s="595"/>
      <c r="AQ353" s="595"/>
      <c r="AR353" s="595"/>
      <c r="AS353" s="595"/>
      <c r="AT353" s="595"/>
      <c r="AU353" s="595"/>
      <c r="AV353" s="595"/>
      <c r="AW353" s="595"/>
      <c r="AX353" s="595"/>
      <c r="AY353" s="595"/>
      <c r="AZ353" s="595"/>
      <c r="BA353" s="595"/>
      <c r="BB353" s="595"/>
      <c r="BC353" s="595"/>
      <c r="BD353" s="595"/>
      <c r="BE353" s="595"/>
      <c r="BF353" s="595"/>
      <c r="BG353" s="595"/>
      <c r="BH353" s="595"/>
    </row>
    <row r="354" spans="4:60" s="13" customFormat="1">
      <c r="D354" s="595"/>
      <c r="E354" s="595"/>
      <c r="F354" s="595"/>
      <c r="G354" s="595"/>
      <c r="H354" s="595"/>
      <c r="I354" s="595"/>
      <c r="J354" s="595"/>
      <c r="K354" s="595"/>
      <c r="L354" s="595"/>
      <c r="M354" s="595"/>
      <c r="N354" s="595"/>
      <c r="O354" s="595"/>
      <c r="P354" s="595"/>
      <c r="Q354" s="595"/>
      <c r="R354" s="595"/>
      <c r="S354" s="595"/>
      <c r="T354" s="595"/>
      <c r="U354" s="595"/>
      <c r="V354" s="595"/>
      <c r="AP354" s="595"/>
      <c r="AQ354" s="595"/>
      <c r="AR354" s="595"/>
      <c r="AS354" s="595"/>
      <c r="AT354" s="595"/>
      <c r="AU354" s="595"/>
      <c r="AV354" s="595"/>
      <c r="AW354" s="595"/>
      <c r="AX354" s="595"/>
      <c r="AY354" s="595"/>
      <c r="AZ354" s="595"/>
      <c r="BA354" s="595"/>
      <c r="BB354" s="595"/>
      <c r="BC354" s="595"/>
      <c r="BD354" s="595"/>
      <c r="BE354" s="595"/>
      <c r="BF354" s="595"/>
      <c r="BG354" s="595"/>
      <c r="BH354" s="595"/>
    </row>
    <row r="355" spans="4:60" s="13" customFormat="1">
      <c r="D355" s="595"/>
      <c r="E355" s="595"/>
      <c r="F355" s="595"/>
      <c r="G355" s="595"/>
      <c r="H355" s="595"/>
      <c r="I355" s="595"/>
      <c r="J355" s="595"/>
      <c r="K355" s="595"/>
      <c r="L355" s="595"/>
      <c r="M355" s="595"/>
      <c r="N355" s="595"/>
      <c r="O355" s="595"/>
      <c r="P355" s="595"/>
      <c r="Q355" s="595"/>
      <c r="R355" s="595"/>
      <c r="S355" s="595"/>
      <c r="T355" s="595"/>
      <c r="U355" s="595"/>
      <c r="V355" s="595"/>
      <c r="AP355" s="595"/>
      <c r="AQ355" s="595"/>
      <c r="AR355" s="595"/>
      <c r="AS355" s="595"/>
      <c r="AT355" s="595"/>
      <c r="AU355" s="595"/>
      <c r="AV355" s="595"/>
      <c r="AW355" s="595"/>
      <c r="AX355" s="595"/>
      <c r="AY355" s="595"/>
      <c r="AZ355" s="595"/>
      <c r="BA355" s="595"/>
      <c r="BB355" s="595"/>
      <c r="BC355" s="595"/>
      <c r="BD355" s="595"/>
      <c r="BE355" s="595"/>
      <c r="BF355" s="595"/>
      <c r="BG355" s="595"/>
      <c r="BH355" s="595"/>
    </row>
    <row r="356" spans="4:60" s="13" customFormat="1">
      <c r="D356" s="595"/>
      <c r="E356" s="595"/>
      <c r="F356" s="595"/>
      <c r="G356" s="595"/>
      <c r="H356" s="595"/>
      <c r="I356" s="595"/>
      <c r="J356" s="595"/>
      <c r="K356" s="595"/>
      <c r="L356" s="595"/>
      <c r="M356" s="595"/>
      <c r="N356" s="595"/>
      <c r="O356" s="595"/>
      <c r="P356" s="595"/>
      <c r="Q356" s="595"/>
      <c r="R356" s="595"/>
      <c r="S356" s="595"/>
      <c r="T356" s="595"/>
      <c r="U356" s="595"/>
      <c r="V356" s="595"/>
      <c r="AP356" s="595"/>
      <c r="AQ356" s="595"/>
      <c r="AR356" s="595"/>
      <c r="AS356" s="595"/>
      <c r="AT356" s="595"/>
      <c r="AU356" s="595"/>
      <c r="AV356" s="595"/>
      <c r="AW356" s="595"/>
      <c r="AX356" s="595"/>
      <c r="AY356" s="595"/>
      <c r="AZ356" s="595"/>
      <c r="BA356" s="595"/>
      <c r="BB356" s="595"/>
      <c r="BC356" s="595"/>
      <c r="BD356" s="595"/>
      <c r="BE356" s="595"/>
      <c r="BF356" s="595"/>
      <c r="BG356" s="595"/>
      <c r="BH356" s="595"/>
    </row>
    <row r="357" spans="4:60" s="13" customFormat="1">
      <c r="D357" s="595"/>
      <c r="E357" s="595"/>
      <c r="F357" s="595"/>
      <c r="G357" s="595"/>
      <c r="H357" s="595"/>
      <c r="I357" s="595"/>
      <c r="J357" s="595"/>
      <c r="K357" s="595"/>
      <c r="L357" s="595"/>
      <c r="M357" s="595"/>
      <c r="N357" s="595"/>
      <c r="O357" s="595"/>
      <c r="P357" s="595"/>
      <c r="Q357" s="595"/>
      <c r="R357" s="595"/>
      <c r="S357" s="595"/>
      <c r="T357" s="595"/>
      <c r="U357" s="595"/>
      <c r="V357" s="595"/>
      <c r="AP357" s="595"/>
      <c r="AQ357" s="595"/>
      <c r="AR357" s="595"/>
      <c r="AS357" s="595"/>
      <c r="AT357" s="595"/>
      <c r="AU357" s="595"/>
      <c r="AV357" s="595"/>
      <c r="AW357" s="595"/>
      <c r="AX357" s="595"/>
      <c r="AY357" s="595"/>
      <c r="AZ357" s="595"/>
      <c r="BA357" s="595"/>
      <c r="BB357" s="595"/>
      <c r="BC357" s="595"/>
      <c r="BD357" s="595"/>
      <c r="BE357" s="595"/>
      <c r="BF357" s="595"/>
      <c r="BG357" s="595"/>
      <c r="BH357" s="595"/>
    </row>
    <row r="358" spans="4:60" s="13" customFormat="1">
      <c r="D358" s="595"/>
      <c r="E358" s="595"/>
      <c r="F358" s="595"/>
      <c r="G358" s="595"/>
      <c r="H358" s="595"/>
      <c r="I358" s="595"/>
      <c r="J358" s="595"/>
      <c r="K358" s="595"/>
      <c r="L358" s="595"/>
      <c r="M358" s="595"/>
      <c r="N358" s="595"/>
      <c r="O358" s="595"/>
      <c r="P358" s="595"/>
      <c r="Q358" s="595"/>
      <c r="R358" s="595"/>
      <c r="S358" s="595"/>
      <c r="T358" s="595"/>
      <c r="U358" s="595"/>
      <c r="V358" s="595"/>
      <c r="AP358" s="595"/>
      <c r="AQ358" s="595"/>
      <c r="AR358" s="595"/>
      <c r="AS358" s="595"/>
      <c r="AT358" s="595"/>
      <c r="AU358" s="595"/>
      <c r="AV358" s="595"/>
      <c r="AW358" s="595"/>
      <c r="AX358" s="595"/>
      <c r="AY358" s="595"/>
      <c r="AZ358" s="595"/>
      <c r="BA358" s="595"/>
      <c r="BB358" s="595"/>
      <c r="BC358" s="595"/>
      <c r="BD358" s="595"/>
      <c r="BE358" s="595"/>
      <c r="BF358" s="595"/>
      <c r="BG358" s="595"/>
      <c r="BH358" s="595"/>
    </row>
    <row r="359" spans="4:60" s="13" customFormat="1">
      <c r="D359" s="595"/>
      <c r="E359" s="595"/>
      <c r="F359" s="595"/>
      <c r="G359" s="595"/>
      <c r="H359" s="595"/>
      <c r="I359" s="595"/>
      <c r="J359" s="595"/>
      <c r="K359" s="595"/>
      <c r="L359" s="595"/>
      <c r="M359" s="595"/>
      <c r="N359" s="595"/>
      <c r="O359" s="595"/>
      <c r="P359" s="595"/>
      <c r="Q359" s="595"/>
      <c r="R359" s="595"/>
      <c r="S359" s="595"/>
      <c r="T359" s="595"/>
      <c r="U359" s="595"/>
      <c r="V359" s="595"/>
      <c r="AP359" s="595"/>
      <c r="AQ359" s="595"/>
      <c r="AR359" s="595"/>
      <c r="AS359" s="595"/>
      <c r="AT359" s="595"/>
      <c r="AU359" s="595"/>
      <c r="AV359" s="595"/>
      <c r="AW359" s="595"/>
      <c r="AX359" s="595"/>
      <c r="AY359" s="595"/>
      <c r="AZ359" s="595"/>
      <c r="BA359" s="595"/>
      <c r="BB359" s="595"/>
      <c r="BC359" s="595"/>
      <c r="BD359" s="595"/>
      <c r="BE359" s="595"/>
      <c r="BF359" s="595"/>
      <c r="BG359" s="595"/>
      <c r="BH359" s="595"/>
    </row>
    <row r="360" spans="4:60" s="13" customFormat="1">
      <c r="D360" s="595"/>
      <c r="E360" s="595"/>
      <c r="F360" s="595"/>
      <c r="G360" s="595"/>
      <c r="H360" s="595"/>
      <c r="I360" s="595"/>
      <c r="J360" s="595"/>
      <c r="K360" s="595"/>
      <c r="L360" s="595"/>
      <c r="M360" s="595"/>
      <c r="N360" s="595"/>
      <c r="O360" s="595"/>
      <c r="P360" s="595"/>
      <c r="Q360" s="595"/>
      <c r="R360" s="595"/>
      <c r="S360" s="595"/>
      <c r="T360" s="595"/>
      <c r="U360" s="595"/>
      <c r="V360" s="595"/>
      <c r="AP360" s="595"/>
      <c r="AQ360" s="595"/>
      <c r="AR360" s="595"/>
      <c r="AS360" s="595"/>
      <c r="AT360" s="595"/>
      <c r="AU360" s="595"/>
      <c r="AV360" s="595"/>
      <c r="AW360" s="595"/>
      <c r="AX360" s="595"/>
      <c r="AY360" s="595"/>
      <c r="AZ360" s="595"/>
      <c r="BA360" s="595"/>
      <c r="BB360" s="595"/>
      <c r="BC360" s="595"/>
      <c r="BD360" s="595"/>
      <c r="BE360" s="595"/>
      <c r="BF360" s="595"/>
      <c r="BG360" s="595"/>
      <c r="BH360" s="595"/>
    </row>
    <row r="361" spans="4:60" s="13" customFormat="1">
      <c r="D361" s="595"/>
      <c r="E361" s="595"/>
      <c r="F361" s="595"/>
      <c r="G361" s="595"/>
      <c r="H361" s="595"/>
      <c r="I361" s="595"/>
      <c r="J361" s="595"/>
      <c r="K361" s="595"/>
      <c r="L361" s="595"/>
      <c r="M361" s="595"/>
      <c r="N361" s="595"/>
      <c r="O361" s="595"/>
      <c r="P361" s="595"/>
      <c r="Q361" s="595"/>
      <c r="R361" s="595"/>
      <c r="S361" s="595"/>
      <c r="T361" s="595"/>
      <c r="U361" s="595"/>
      <c r="V361" s="595"/>
      <c r="AP361" s="595"/>
      <c r="AQ361" s="595"/>
      <c r="AR361" s="595"/>
      <c r="AS361" s="595"/>
      <c r="AT361" s="595"/>
      <c r="AU361" s="595"/>
      <c r="AV361" s="595"/>
      <c r="AW361" s="595"/>
      <c r="AX361" s="595"/>
      <c r="AY361" s="595"/>
      <c r="AZ361" s="595"/>
      <c r="BA361" s="595"/>
      <c r="BB361" s="595"/>
      <c r="BC361" s="595"/>
      <c r="BD361" s="595"/>
      <c r="BE361" s="595"/>
      <c r="BF361" s="595"/>
      <c r="BG361" s="595"/>
      <c r="BH361" s="595"/>
    </row>
    <row r="362" spans="4:60" s="13" customFormat="1">
      <c r="D362" s="595"/>
      <c r="E362" s="595"/>
      <c r="F362" s="595"/>
      <c r="G362" s="595"/>
      <c r="H362" s="595"/>
      <c r="I362" s="595"/>
      <c r="J362" s="595"/>
      <c r="K362" s="595"/>
      <c r="L362" s="595"/>
      <c r="M362" s="595"/>
      <c r="N362" s="595"/>
      <c r="O362" s="595"/>
      <c r="P362" s="595"/>
      <c r="Q362" s="595"/>
      <c r="R362" s="595"/>
      <c r="S362" s="595"/>
      <c r="T362" s="595"/>
      <c r="U362" s="595"/>
      <c r="V362" s="595"/>
      <c r="AP362" s="595"/>
      <c r="AQ362" s="595"/>
      <c r="AR362" s="595"/>
      <c r="AS362" s="595"/>
      <c r="AT362" s="595"/>
      <c r="AU362" s="595"/>
      <c r="AV362" s="595"/>
      <c r="AW362" s="595"/>
      <c r="AX362" s="595"/>
      <c r="AY362" s="595"/>
      <c r="AZ362" s="595"/>
      <c r="BA362" s="595"/>
      <c r="BB362" s="595"/>
      <c r="BC362" s="595"/>
      <c r="BD362" s="595"/>
      <c r="BE362" s="595"/>
      <c r="BF362" s="595"/>
      <c r="BG362" s="595"/>
      <c r="BH362" s="595"/>
    </row>
    <row r="363" spans="4:60" s="13" customFormat="1">
      <c r="D363" s="595"/>
      <c r="E363" s="595"/>
      <c r="F363" s="595"/>
      <c r="G363" s="595"/>
      <c r="H363" s="595"/>
      <c r="I363" s="595"/>
      <c r="J363" s="595"/>
      <c r="K363" s="595"/>
      <c r="L363" s="595"/>
      <c r="M363" s="595"/>
      <c r="N363" s="595"/>
      <c r="O363" s="595"/>
      <c r="P363" s="595"/>
      <c r="Q363" s="595"/>
      <c r="R363" s="595"/>
      <c r="S363" s="595"/>
      <c r="T363" s="595"/>
      <c r="U363" s="595"/>
      <c r="V363" s="595"/>
      <c r="AP363" s="595"/>
      <c r="AQ363" s="595"/>
      <c r="AR363" s="595"/>
      <c r="AS363" s="595"/>
      <c r="AT363" s="595"/>
      <c r="AU363" s="595"/>
      <c r="AV363" s="595"/>
      <c r="AW363" s="595"/>
      <c r="AX363" s="595"/>
      <c r="AY363" s="595"/>
      <c r="AZ363" s="595"/>
      <c r="BA363" s="595"/>
      <c r="BB363" s="595"/>
      <c r="BC363" s="595"/>
      <c r="BD363" s="595"/>
      <c r="BE363" s="595"/>
      <c r="BF363" s="595"/>
      <c r="BG363" s="595"/>
      <c r="BH363" s="595"/>
    </row>
    <row r="364" spans="4:60" s="13" customFormat="1">
      <c r="D364" s="595"/>
      <c r="E364" s="595"/>
      <c r="F364" s="595"/>
      <c r="G364" s="595"/>
      <c r="H364" s="595"/>
      <c r="I364" s="595"/>
      <c r="J364" s="595"/>
      <c r="K364" s="595"/>
      <c r="L364" s="595"/>
      <c r="M364" s="595"/>
      <c r="N364" s="595"/>
      <c r="O364" s="595"/>
      <c r="P364" s="595"/>
      <c r="Q364" s="595"/>
      <c r="R364" s="595"/>
      <c r="S364" s="595"/>
      <c r="T364" s="595"/>
      <c r="U364" s="595"/>
      <c r="V364" s="595"/>
      <c r="AP364" s="595"/>
      <c r="AQ364" s="595"/>
      <c r="AR364" s="595"/>
      <c r="AS364" s="595"/>
      <c r="AT364" s="595"/>
      <c r="AU364" s="595"/>
      <c r="AV364" s="595"/>
      <c r="AW364" s="595"/>
      <c r="AX364" s="595"/>
      <c r="AY364" s="595"/>
      <c r="AZ364" s="595"/>
      <c r="BA364" s="595"/>
      <c r="BB364" s="595"/>
      <c r="BC364" s="595"/>
      <c r="BD364" s="595"/>
      <c r="BE364" s="595"/>
      <c r="BF364" s="595"/>
      <c r="BG364" s="595"/>
      <c r="BH364" s="595"/>
    </row>
    <row r="365" spans="4:60" s="13" customFormat="1">
      <c r="D365" s="595"/>
      <c r="E365" s="595"/>
      <c r="F365" s="595"/>
      <c r="G365" s="595"/>
      <c r="H365" s="595"/>
      <c r="I365" s="595"/>
      <c r="J365" s="595"/>
      <c r="K365" s="595"/>
      <c r="L365" s="595"/>
      <c r="M365" s="595"/>
      <c r="N365" s="595"/>
      <c r="O365" s="595"/>
      <c r="P365" s="595"/>
      <c r="Q365" s="595"/>
      <c r="R365" s="595"/>
      <c r="S365" s="595"/>
      <c r="T365" s="595"/>
      <c r="U365" s="595"/>
      <c r="V365" s="595"/>
      <c r="AP365" s="595"/>
      <c r="AQ365" s="595"/>
      <c r="AR365" s="595"/>
      <c r="AS365" s="595"/>
      <c r="AT365" s="595"/>
      <c r="AU365" s="595"/>
      <c r="AV365" s="595"/>
      <c r="AW365" s="595"/>
      <c r="AX365" s="595"/>
      <c r="AY365" s="595"/>
      <c r="AZ365" s="595"/>
      <c r="BA365" s="595"/>
      <c r="BB365" s="595"/>
      <c r="BC365" s="595"/>
      <c r="BD365" s="595"/>
      <c r="BE365" s="595"/>
      <c r="BF365" s="595"/>
      <c r="BG365" s="595"/>
      <c r="BH365" s="595"/>
    </row>
    <row r="366" spans="4:60" s="13" customFormat="1">
      <c r="D366" s="595"/>
      <c r="E366" s="595"/>
      <c r="F366" s="595"/>
      <c r="G366" s="595"/>
      <c r="H366" s="595"/>
      <c r="I366" s="595"/>
      <c r="J366" s="595"/>
      <c r="K366" s="595"/>
      <c r="L366" s="595"/>
      <c r="M366" s="595"/>
      <c r="N366" s="595"/>
      <c r="O366" s="595"/>
      <c r="P366" s="595"/>
      <c r="Q366" s="595"/>
      <c r="R366" s="595"/>
      <c r="S366" s="595"/>
      <c r="T366" s="595"/>
      <c r="U366" s="595"/>
      <c r="V366" s="595"/>
      <c r="AP366" s="595"/>
      <c r="AQ366" s="595"/>
      <c r="AR366" s="595"/>
      <c r="AS366" s="595"/>
      <c r="AT366" s="595"/>
      <c r="AU366" s="595"/>
      <c r="AV366" s="595"/>
      <c r="AW366" s="595"/>
      <c r="AX366" s="595"/>
      <c r="AY366" s="595"/>
      <c r="AZ366" s="595"/>
      <c r="BA366" s="595"/>
      <c r="BB366" s="595"/>
      <c r="BC366" s="595"/>
      <c r="BD366" s="595"/>
      <c r="BE366" s="595"/>
      <c r="BF366" s="595"/>
      <c r="BG366" s="595"/>
      <c r="BH366" s="595"/>
    </row>
    <row r="367" spans="4:60" s="13" customFormat="1">
      <c r="D367" s="595"/>
      <c r="E367" s="595"/>
      <c r="F367" s="595"/>
      <c r="G367" s="595"/>
      <c r="H367" s="595"/>
      <c r="I367" s="595"/>
      <c r="J367" s="595"/>
      <c r="K367" s="595"/>
      <c r="L367" s="595"/>
      <c r="M367" s="595"/>
      <c r="N367" s="595"/>
      <c r="O367" s="595"/>
      <c r="P367" s="595"/>
      <c r="Q367" s="595"/>
      <c r="R367" s="595"/>
      <c r="S367" s="595"/>
      <c r="T367" s="595"/>
      <c r="U367" s="595"/>
      <c r="V367" s="595"/>
      <c r="AP367" s="595"/>
      <c r="AQ367" s="595"/>
      <c r="AR367" s="595"/>
      <c r="AS367" s="595"/>
      <c r="AT367" s="595"/>
      <c r="AU367" s="595"/>
      <c r="AV367" s="595"/>
      <c r="AW367" s="595"/>
      <c r="AX367" s="595"/>
      <c r="AY367" s="595"/>
      <c r="AZ367" s="595"/>
      <c r="BA367" s="595"/>
      <c r="BB367" s="595"/>
      <c r="BC367" s="595"/>
      <c r="BD367" s="595"/>
      <c r="BE367" s="595"/>
      <c r="BF367" s="595"/>
      <c r="BG367" s="595"/>
      <c r="BH367" s="595"/>
    </row>
    <row r="368" spans="4:60" s="13" customFormat="1">
      <c r="D368" s="595"/>
      <c r="E368" s="595"/>
      <c r="F368" s="595"/>
      <c r="G368" s="595"/>
      <c r="H368" s="595"/>
      <c r="I368" s="595"/>
      <c r="J368" s="595"/>
      <c r="K368" s="595"/>
      <c r="L368" s="595"/>
      <c r="M368" s="595"/>
      <c r="N368" s="595"/>
      <c r="O368" s="595"/>
      <c r="P368" s="595"/>
      <c r="Q368" s="595"/>
      <c r="R368" s="595"/>
      <c r="S368" s="595"/>
      <c r="T368" s="595"/>
      <c r="U368" s="595"/>
      <c r="V368" s="595"/>
      <c r="AP368" s="595"/>
      <c r="AQ368" s="595"/>
      <c r="AR368" s="595"/>
      <c r="AS368" s="595"/>
      <c r="AT368" s="595"/>
      <c r="AU368" s="595"/>
      <c r="AV368" s="595"/>
      <c r="AW368" s="595"/>
      <c r="AX368" s="595"/>
      <c r="AY368" s="595"/>
      <c r="AZ368" s="595"/>
      <c r="BA368" s="595"/>
      <c r="BB368" s="595"/>
      <c r="BC368" s="595"/>
      <c r="BD368" s="595"/>
      <c r="BE368" s="595"/>
      <c r="BF368" s="595"/>
      <c r="BG368" s="595"/>
      <c r="BH368" s="595"/>
    </row>
    <row r="369" spans="4:60" s="13" customFormat="1">
      <c r="D369" s="595"/>
      <c r="E369" s="595"/>
      <c r="F369" s="595"/>
      <c r="G369" s="595"/>
      <c r="H369" s="595"/>
      <c r="I369" s="595"/>
      <c r="J369" s="595"/>
      <c r="K369" s="595"/>
      <c r="L369" s="595"/>
      <c r="M369" s="595"/>
      <c r="N369" s="595"/>
      <c r="O369" s="595"/>
      <c r="P369" s="595"/>
      <c r="Q369" s="595"/>
      <c r="R369" s="595"/>
      <c r="S369" s="595"/>
      <c r="T369" s="595"/>
      <c r="U369" s="595"/>
      <c r="V369" s="595"/>
      <c r="AP369" s="595"/>
      <c r="AQ369" s="595"/>
      <c r="AR369" s="595"/>
      <c r="AS369" s="595"/>
      <c r="AT369" s="595"/>
      <c r="AU369" s="595"/>
      <c r="AV369" s="595"/>
      <c r="AW369" s="595"/>
      <c r="AX369" s="595"/>
      <c r="AY369" s="595"/>
      <c r="AZ369" s="595"/>
      <c r="BA369" s="595"/>
      <c r="BB369" s="595"/>
      <c r="BC369" s="595"/>
      <c r="BD369" s="595"/>
      <c r="BE369" s="595"/>
      <c r="BF369" s="595"/>
      <c r="BG369" s="595"/>
      <c r="BH369" s="595"/>
    </row>
    <row r="370" spans="4:60" s="13" customFormat="1">
      <c r="D370" s="595"/>
      <c r="E370" s="595"/>
      <c r="F370" s="595"/>
      <c r="G370" s="595"/>
      <c r="H370" s="595"/>
      <c r="I370" s="595"/>
      <c r="J370" s="595"/>
      <c r="K370" s="595"/>
      <c r="L370" s="595"/>
      <c r="M370" s="595"/>
      <c r="N370" s="595"/>
      <c r="O370" s="595"/>
      <c r="P370" s="595"/>
      <c r="Q370" s="595"/>
      <c r="R370" s="595"/>
      <c r="S370" s="595"/>
      <c r="T370" s="595"/>
      <c r="U370" s="595"/>
      <c r="V370" s="595"/>
      <c r="AP370" s="595"/>
      <c r="AQ370" s="595"/>
      <c r="AR370" s="595"/>
      <c r="AS370" s="595"/>
      <c r="AT370" s="595"/>
      <c r="AU370" s="595"/>
      <c r="AV370" s="595"/>
      <c r="AW370" s="595"/>
      <c r="AX370" s="595"/>
      <c r="AY370" s="595"/>
      <c r="AZ370" s="595"/>
      <c r="BA370" s="595"/>
      <c r="BB370" s="595"/>
      <c r="BC370" s="595"/>
      <c r="BD370" s="595"/>
      <c r="BE370" s="595"/>
      <c r="BF370" s="595"/>
      <c r="BG370" s="595"/>
      <c r="BH370" s="595"/>
    </row>
    <row r="371" spans="4:60" s="13" customFormat="1">
      <c r="D371" s="595"/>
      <c r="E371" s="595"/>
      <c r="F371" s="595"/>
      <c r="G371" s="595"/>
      <c r="H371" s="595"/>
      <c r="I371" s="595"/>
      <c r="J371" s="595"/>
      <c r="K371" s="595"/>
      <c r="L371" s="595"/>
      <c r="M371" s="595"/>
      <c r="N371" s="595"/>
      <c r="O371" s="595"/>
      <c r="P371" s="595"/>
      <c r="Q371" s="595"/>
      <c r="R371" s="595"/>
      <c r="S371" s="595"/>
      <c r="T371" s="595"/>
      <c r="U371" s="595"/>
      <c r="V371" s="595"/>
      <c r="AP371" s="595"/>
      <c r="AQ371" s="595"/>
      <c r="AR371" s="595"/>
      <c r="AS371" s="595"/>
      <c r="AT371" s="595"/>
      <c r="AU371" s="595"/>
      <c r="AV371" s="595"/>
      <c r="AW371" s="595"/>
      <c r="AX371" s="595"/>
      <c r="AY371" s="595"/>
      <c r="AZ371" s="595"/>
      <c r="BA371" s="595"/>
      <c r="BB371" s="595"/>
      <c r="BC371" s="595"/>
      <c r="BD371" s="595"/>
      <c r="BE371" s="595"/>
      <c r="BF371" s="595"/>
      <c r="BG371" s="595"/>
      <c r="BH371" s="595"/>
    </row>
    <row r="372" spans="4:60" s="13" customFormat="1">
      <c r="D372" s="595"/>
      <c r="E372" s="595"/>
      <c r="F372" s="595"/>
      <c r="G372" s="595"/>
      <c r="H372" s="595"/>
      <c r="I372" s="595"/>
      <c r="J372" s="595"/>
      <c r="K372" s="595"/>
      <c r="L372" s="595"/>
      <c r="M372" s="595"/>
      <c r="N372" s="595"/>
      <c r="O372" s="595"/>
      <c r="P372" s="595"/>
      <c r="Q372" s="595"/>
      <c r="R372" s="595"/>
      <c r="S372" s="595"/>
      <c r="T372" s="595"/>
      <c r="U372" s="595"/>
      <c r="V372" s="595"/>
      <c r="AP372" s="595"/>
      <c r="AQ372" s="595"/>
      <c r="AR372" s="595"/>
      <c r="AS372" s="595"/>
      <c r="AT372" s="595"/>
      <c r="AU372" s="595"/>
      <c r="AV372" s="595"/>
      <c r="AW372" s="595"/>
      <c r="AX372" s="595"/>
      <c r="AY372" s="595"/>
      <c r="AZ372" s="595"/>
      <c r="BA372" s="595"/>
      <c r="BB372" s="595"/>
      <c r="BC372" s="595"/>
      <c r="BD372" s="595"/>
      <c r="BE372" s="595"/>
      <c r="BF372" s="595"/>
      <c r="BG372" s="595"/>
      <c r="BH372" s="595"/>
    </row>
    <row r="373" spans="4:60" s="13" customFormat="1">
      <c r="D373" s="595"/>
      <c r="E373" s="595"/>
      <c r="F373" s="595"/>
      <c r="G373" s="595"/>
      <c r="H373" s="595"/>
      <c r="I373" s="595"/>
      <c r="J373" s="595"/>
      <c r="K373" s="595"/>
      <c r="L373" s="595"/>
      <c r="M373" s="595"/>
      <c r="N373" s="595"/>
      <c r="O373" s="595"/>
      <c r="P373" s="595"/>
      <c r="Q373" s="595"/>
      <c r="R373" s="595"/>
      <c r="S373" s="595"/>
      <c r="T373" s="595"/>
      <c r="U373" s="595"/>
      <c r="V373" s="595"/>
      <c r="AP373" s="595"/>
      <c r="AQ373" s="595"/>
      <c r="AR373" s="595"/>
      <c r="AS373" s="595"/>
      <c r="AT373" s="595"/>
      <c r="AU373" s="595"/>
      <c r="AV373" s="595"/>
      <c r="AW373" s="595"/>
      <c r="AX373" s="595"/>
      <c r="AY373" s="595"/>
      <c r="AZ373" s="595"/>
      <c r="BA373" s="595"/>
      <c r="BB373" s="595"/>
      <c r="BC373" s="595"/>
      <c r="BD373" s="595"/>
      <c r="BE373" s="595"/>
      <c r="BF373" s="595"/>
      <c r="BG373" s="595"/>
      <c r="BH373" s="595"/>
    </row>
    <row r="374" spans="4:60" s="13" customFormat="1">
      <c r="D374" s="595"/>
      <c r="E374" s="595"/>
      <c r="F374" s="595"/>
      <c r="G374" s="595"/>
      <c r="H374" s="595"/>
      <c r="I374" s="595"/>
      <c r="J374" s="595"/>
      <c r="K374" s="595"/>
      <c r="L374" s="595"/>
      <c r="M374" s="595"/>
      <c r="N374" s="595"/>
      <c r="O374" s="595"/>
      <c r="P374" s="595"/>
      <c r="Q374" s="595"/>
      <c r="R374" s="595"/>
      <c r="S374" s="595"/>
      <c r="T374" s="595"/>
      <c r="U374" s="595"/>
      <c r="V374" s="595"/>
      <c r="AP374" s="595"/>
      <c r="AQ374" s="595"/>
      <c r="AR374" s="595"/>
      <c r="AS374" s="595"/>
      <c r="AT374" s="595"/>
      <c r="AU374" s="595"/>
      <c r="AV374" s="595"/>
      <c r="AW374" s="595"/>
      <c r="AX374" s="595"/>
      <c r="AY374" s="595"/>
      <c r="AZ374" s="595"/>
      <c r="BA374" s="595"/>
      <c r="BB374" s="595"/>
      <c r="BC374" s="595"/>
      <c r="BD374" s="595"/>
      <c r="BE374" s="595"/>
      <c r="BF374" s="595"/>
      <c r="BG374" s="595"/>
      <c r="BH374" s="595"/>
    </row>
    <row r="375" spans="4:60" s="13" customFormat="1">
      <c r="D375" s="595"/>
      <c r="E375" s="595"/>
      <c r="F375" s="595"/>
      <c r="G375" s="595"/>
      <c r="H375" s="595"/>
      <c r="I375" s="595"/>
      <c r="J375" s="595"/>
      <c r="K375" s="595"/>
      <c r="L375" s="595"/>
      <c r="M375" s="595"/>
      <c r="N375" s="595"/>
      <c r="O375" s="595"/>
      <c r="P375" s="595"/>
      <c r="Q375" s="595"/>
      <c r="R375" s="595"/>
      <c r="S375" s="595"/>
      <c r="T375" s="595"/>
      <c r="U375" s="595"/>
      <c r="V375" s="595"/>
      <c r="AP375" s="595"/>
      <c r="AQ375" s="595"/>
      <c r="AR375" s="595"/>
      <c r="AS375" s="595"/>
      <c r="AT375" s="595"/>
      <c r="AU375" s="595"/>
      <c r="AV375" s="595"/>
      <c r="AW375" s="595"/>
      <c r="AX375" s="595"/>
      <c r="AY375" s="595"/>
      <c r="AZ375" s="595"/>
      <c r="BA375" s="595"/>
      <c r="BB375" s="595"/>
      <c r="BC375" s="595"/>
      <c r="BD375" s="595"/>
      <c r="BE375" s="595"/>
      <c r="BF375" s="595"/>
      <c r="BG375" s="595"/>
      <c r="BH375" s="595"/>
    </row>
    <row r="376" spans="4:60" s="13" customFormat="1">
      <c r="D376" s="595"/>
      <c r="E376" s="595"/>
      <c r="F376" s="595"/>
      <c r="G376" s="595"/>
      <c r="H376" s="595"/>
      <c r="I376" s="595"/>
      <c r="J376" s="595"/>
      <c r="K376" s="595"/>
      <c r="L376" s="595"/>
      <c r="M376" s="595"/>
      <c r="N376" s="595"/>
      <c r="O376" s="595"/>
      <c r="P376" s="595"/>
      <c r="Q376" s="595"/>
      <c r="R376" s="595"/>
      <c r="S376" s="595"/>
      <c r="T376" s="595"/>
      <c r="U376" s="595"/>
      <c r="V376" s="595"/>
      <c r="AP376" s="595"/>
      <c r="AQ376" s="595"/>
      <c r="AR376" s="595"/>
      <c r="AS376" s="595"/>
      <c r="AT376" s="595"/>
      <c r="AU376" s="595"/>
      <c r="AV376" s="595"/>
      <c r="AW376" s="595"/>
      <c r="AX376" s="595"/>
      <c r="AY376" s="595"/>
      <c r="AZ376" s="595"/>
      <c r="BA376" s="595"/>
      <c r="BB376" s="595"/>
      <c r="BC376" s="595"/>
      <c r="BD376" s="595"/>
      <c r="BE376" s="595"/>
      <c r="BF376" s="595"/>
      <c r="BG376" s="595"/>
      <c r="BH376" s="595"/>
    </row>
    <row r="377" spans="4:60" s="13" customFormat="1">
      <c r="D377" s="595"/>
      <c r="E377" s="595"/>
      <c r="F377" s="595"/>
      <c r="G377" s="595"/>
      <c r="H377" s="595"/>
      <c r="I377" s="595"/>
      <c r="J377" s="595"/>
      <c r="K377" s="595"/>
      <c r="L377" s="595"/>
      <c r="M377" s="595"/>
      <c r="N377" s="595"/>
      <c r="O377" s="595"/>
      <c r="P377" s="595"/>
      <c r="Q377" s="595"/>
      <c r="R377" s="595"/>
      <c r="S377" s="595"/>
      <c r="T377" s="595"/>
      <c r="U377" s="595"/>
      <c r="V377" s="595"/>
      <c r="AP377" s="595"/>
      <c r="AQ377" s="595"/>
      <c r="AR377" s="595"/>
      <c r="AS377" s="595"/>
      <c r="AT377" s="595"/>
      <c r="AU377" s="595"/>
      <c r="AV377" s="595"/>
      <c r="AW377" s="595"/>
      <c r="AX377" s="595"/>
      <c r="AY377" s="595"/>
      <c r="AZ377" s="595"/>
      <c r="BA377" s="595"/>
      <c r="BB377" s="595"/>
      <c r="BC377" s="595"/>
      <c r="BD377" s="595"/>
      <c r="BE377" s="595"/>
      <c r="BF377" s="595"/>
      <c r="BG377" s="595"/>
      <c r="BH377" s="595"/>
    </row>
    <row r="378" spans="4:60" s="13" customFormat="1">
      <c r="D378" s="595"/>
      <c r="E378" s="595"/>
      <c r="F378" s="595"/>
      <c r="G378" s="595"/>
      <c r="H378" s="595"/>
      <c r="I378" s="595"/>
      <c r="J378" s="595"/>
      <c r="K378" s="595"/>
      <c r="L378" s="595"/>
      <c r="M378" s="595"/>
      <c r="N378" s="595"/>
      <c r="O378" s="595"/>
      <c r="P378" s="595"/>
      <c r="Q378" s="595"/>
      <c r="R378" s="595"/>
      <c r="S378" s="595"/>
      <c r="T378" s="595"/>
      <c r="U378" s="595"/>
      <c r="V378" s="595"/>
      <c r="AP378" s="595"/>
      <c r="AQ378" s="595"/>
      <c r="AR378" s="595"/>
      <c r="AS378" s="595"/>
      <c r="AT378" s="595"/>
      <c r="AU378" s="595"/>
      <c r="AV378" s="595"/>
      <c r="AW378" s="595"/>
      <c r="AX378" s="595"/>
      <c r="AY378" s="595"/>
      <c r="AZ378" s="595"/>
      <c r="BA378" s="595"/>
      <c r="BB378" s="595"/>
      <c r="BC378" s="595"/>
      <c r="BD378" s="595"/>
      <c r="BE378" s="595"/>
      <c r="BF378" s="595"/>
      <c r="BG378" s="595"/>
      <c r="BH378" s="595"/>
    </row>
    <row r="379" spans="4:60" s="13" customFormat="1">
      <c r="D379" s="595"/>
      <c r="E379" s="595"/>
      <c r="F379" s="595"/>
      <c r="G379" s="595"/>
      <c r="H379" s="595"/>
      <c r="I379" s="595"/>
      <c r="J379" s="595"/>
      <c r="K379" s="595"/>
      <c r="L379" s="595"/>
      <c r="M379" s="595"/>
      <c r="N379" s="595"/>
      <c r="O379" s="595"/>
      <c r="P379" s="595"/>
      <c r="Q379" s="595"/>
      <c r="R379" s="595"/>
      <c r="S379" s="595"/>
      <c r="T379" s="595"/>
      <c r="U379" s="595"/>
      <c r="V379" s="595"/>
      <c r="AP379" s="595"/>
      <c r="AQ379" s="595"/>
      <c r="AR379" s="595"/>
      <c r="AS379" s="595"/>
      <c r="AT379" s="595"/>
      <c r="AU379" s="595"/>
      <c r="AV379" s="595"/>
      <c r="AW379" s="595"/>
      <c r="AX379" s="595"/>
      <c r="AY379" s="595"/>
      <c r="AZ379" s="595"/>
      <c r="BA379" s="595"/>
      <c r="BB379" s="595"/>
      <c r="BC379" s="595"/>
      <c r="BD379" s="595"/>
      <c r="BE379" s="595"/>
      <c r="BF379" s="595"/>
      <c r="BG379" s="595"/>
      <c r="BH379" s="595"/>
    </row>
    <row r="380" spans="4:60" s="13" customFormat="1">
      <c r="D380" s="595"/>
      <c r="E380" s="595"/>
      <c r="F380" s="595"/>
      <c r="G380" s="595"/>
      <c r="H380" s="595"/>
      <c r="I380" s="595"/>
      <c r="J380" s="595"/>
      <c r="K380" s="595"/>
      <c r="L380" s="595"/>
      <c r="M380" s="595"/>
      <c r="N380" s="595"/>
      <c r="O380" s="595"/>
      <c r="P380" s="595"/>
      <c r="Q380" s="595"/>
      <c r="R380" s="595"/>
      <c r="S380" s="595"/>
      <c r="T380" s="595"/>
      <c r="U380" s="595"/>
      <c r="V380" s="595"/>
      <c r="AP380" s="595"/>
      <c r="AQ380" s="595"/>
      <c r="AR380" s="595"/>
      <c r="AS380" s="595"/>
      <c r="AT380" s="595"/>
      <c r="AU380" s="595"/>
      <c r="AV380" s="595"/>
      <c r="AW380" s="595"/>
      <c r="AX380" s="595"/>
      <c r="AY380" s="595"/>
      <c r="AZ380" s="595"/>
      <c r="BA380" s="595"/>
      <c r="BB380" s="595"/>
      <c r="BC380" s="595"/>
      <c r="BD380" s="595"/>
      <c r="BE380" s="595"/>
      <c r="BF380" s="595"/>
      <c r="BG380" s="595"/>
      <c r="BH380" s="595"/>
    </row>
    <row r="381" spans="4:60" s="13" customFormat="1">
      <c r="D381" s="595"/>
      <c r="E381" s="595"/>
      <c r="F381" s="595"/>
      <c r="G381" s="595"/>
      <c r="H381" s="595"/>
      <c r="I381" s="595"/>
      <c r="J381" s="595"/>
      <c r="K381" s="595"/>
      <c r="L381" s="595"/>
      <c r="M381" s="595"/>
      <c r="N381" s="595"/>
      <c r="O381" s="595"/>
      <c r="P381" s="595"/>
      <c r="Q381" s="595"/>
      <c r="R381" s="595"/>
      <c r="S381" s="595"/>
      <c r="T381" s="595"/>
      <c r="U381" s="595"/>
      <c r="V381" s="595"/>
      <c r="AP381" s="595"/>
      <c r="AQ381" s="595"/>
      <c r="AR381" s="595"/>
      <c r="AS381" s="595"/>
      <c r="AT381" s="595"/>
      <c r="AU381" s="595"/>
      <c r="AV381" s="595"/>
      <c r="AW381" s="595"/>
      <c r="AX381" s="595"/>
      <c r="AY381" s="595"/>
      <c r="AZ381" s="595"/>
      <c r="BA381" s="595"/>
      <c r="BB381" s="595"/>
      <c r="BC381" s="595"/>
      <c r="BD381" s="595"/>
      <c r="BE381" s="595"/>
      <c r="BF381" s="595"/>
      <c r="BG381" s="595"/>
      <c r="BH381" s="595"/>
    </row>
    <row r="382" spans="4:60" s="13" customFormat="1">
      <c r="D382" s="595"/>
      <c r="E382" s="595"/>
      <c r="F382" s="595"/>
      <c r="G382" s="595"/>
      <c r="H382" s="595"/>
      <c r="I382" s="595"/>
      <c r="J382" s="595"/>
      <c r="K382" s="595"/>
      <c r="L382" s="595"/>
      <c r="M382" s="595"/>
      <c r="N382" s="595"/>
      <c r="O382" s="595"/>
      <c r="P382" s="595"/>
      <c r="Q382" s="595"/>
      <c r="R382" s="595"/>
      <c r="S382" s="595"/>
      <c r="T382" s="595"/>
      <c r="U382" s="595"/>
      <c r="V382" s="595"/>
      <c r="AP382" s="595"/>
      <c r="AQ382" s="595"/>
      <c r="AR382" s="595"/>
      <c r="AS382" s="595"/>
      <c r="AT382" s="595"/>
      <c r="AU382" s="595"/>
      <c r="AV382" s="595"/>
      <c r="AW382" s="595"/>
      <c r="AX382" s="595"/>
      <c r="AY382" s="595"/>
      <c r="AZ382" s="595"/>
      <c r="BA382" s="595"/>
      <c r="BB382" s="595"/>
      <c r="BC382" s="595"/>
      <c r="BD382" s="595"/>
      <c r="BE382" s="595"/>
      <c r="BF382" s="595"/>
      <c r="BG382" s="595"/>
      <c r="BH382" s="595"/>
    </row>
    <row r="383" spans="4:60" s="13" customFormat="1">
      <c r="D383" s="595"/>
      <c r="E383" s="595"/>
      <c r="F383" s="595"/>
      <c r="G383" s="595"/>
      <c r="H383" s="595"/>
      <c r="I383" s="595"/>
      <c r="J383" s="595"/>
      <c r="K383" s="595"/>
      <c r="L383" s="595"/>
      <c r="M383" s="595"/>
      <c r="N383" s="595"/>
      <c r="O383" s="595"/>
      <c r="P383" s="595"/>
      <c r="Q383" s="595"/>
      <c r="R383" s="595"/>
      <c r="S383" s="595"/>
      <c r="T383" s="595"/>
      <c r="U383" s="595"/>
      <c r="V383" s="595"/>
      <c r="AP383" s="595"/>
      <c r="AQ383" s="595"/>
      <c r="AR383" s="595"/>
      <c r="AS383" s="595"/>
      <c r="AT383" s="595"/>
      <c r="AU383" s="595"/>
      <c r="AV383" s="595"/>
      <c r="AW383" s="595"/>
      <c r="AX383" s="595"/>
      <c r="AY383" s="595"/>
      <c r="AZ383" s="595"/>
      <c r="BA383" s="595"/>
      <c r="BB383" s="595"/>
      <c r="BC383" s="595"/>
      <c r="BD383" s="595"/>
      <c r="BE383" s="595"/>
      <c r="BF383" s="595"/>
      <c r="BG383" s="595"/>
      <c r="BH383" s="595"/>
    </row>
    <row r="384" spans="4:60" s="13" customFormat="1">
      <c r="D384" s="595"/>
      <c r="E384" s="595"/>
      <c r="F384" s="595"/>
      <c r="G384" s="595"/>
      <c r="H384" s="595"/>
      <c r="I384" s="595"/>
      <c r="J384" s="595"/>
      <c r="K384" s="595"/>
      <c r="L384" s="595"/>
      <c r="M384" s="595"/>
      <c r="N384" s="595"/>
      <c r="O384" s="595"/>
      <c r="P384" s="595"/>
      <c r="Q384" s="595"/>
      <c r="R384" s="595"/>
      <c r="S384" s="595"/>
      <c r="T384" s="595"/>
      <c r="U384" s="595"/>
      <c r="V384" s="595"/>
      <c r="AP384" s="595"/>
      <c r="AQ384" s="595"/>
      <c r="AR384" s="595"/>
      <c r="AS384" s="595"/>
      <c r="AT384" s="595"/>
      <c r="AU384" s="595"/>
      <c r="AV384" s="595"/>
      <c r="AW384" s="595"/>
      <c r="AX384" s="595"/>
      <c r="AY384" s="595"/>
      <c r="AZ384" s="595"/>
      <c r="BA384" s="595"/>
      <c r="BB384" s="595"/>
      <c r="BC384" s="595"/>
      <c r="BD384" s="595"/>
      <c r="BE384" s="595"/>
      <c r="BF384" s="595"/>
      <c r="BG384" s="595"/>
      <c r="BH384" s="595"/>
    </row>
    <row r="385" spans="4:60" s="13" customFormat="1">
      <c r="D385" s="595"/>
      <c r="E385" s="595"/>
      <c r="F385" s="595"/>
      <c r="G385" s="595"/>
      <c r="H385" s="595"/>
      <c r="I385" s="595"/>
      <c r="J385" s="595"/>
      <c r="K385" s="595"/>
      <c r="L385" s="595"/>
      <c r="M385" s="595"/>
      <c r="N385" s="595"/>
      <c r="O385" s="595"/>
      <c r="P385" s="595"/>
      <c r="Q385" s="595"/>
      <c r="R385" s="595"/>
      <c r="S385" s="595"/>
      <c r="T385" s="595"/>
      <c r="U385" s="595"/>
      <c r="V385" s="595"/>
      <c r="AP385" s="595"/>
      <c r="AQ385" s="595"/>
      <c r="AR385" s="595"/>
      <c r="AS385" s="595"/>
      <c r="AT385" s="595"/>
      <c r="AU385" s="595"/>
      <c r="AV385" s="595"/>
      <c r="AW385" s="595"/>
      <c r="AX385" s="595"/>
      <c r="AY385" s="595"/>
      <c r="AZ385" s="595"/>
      <c r="BA385" s="595"/>
      <c r="BB385" s="595"/>
      <c r="BC385" s="595"/>
      <c r="BD385" s="595"/>
      <c r="BE385" s="595"/>
      <c r="BF385" s="595"/>
      <c r="BG385" s="595"/>
      <c r="BH385" s="595"/>
    </row>
    <row r="386" spans="4:60" s="13" customFormat="1">
      <c r="D386" s="595"/>
      <c r="E386" s="595"/>
      <c r="F386" s="595"/>
      <c r="G386" s="595"/>
      <c r="H386" s="595"/>
      <c r="I386" s="595"/>
      <c r="J386" s="595"/>
      <c r="K386" s="595"/>
      <c r="L386" s="595"/>
      <c r="M386" s="595"/>
      <c r="N386" s="595"/>
      <c r="O386" s="595"/>
      <c r="P386" s="595"/>
      <c r="Q386" s="595"/>
      <c r="R386" s="595"/>
      <c r="S386" s="595"/>
      <c r="T386" s="595"/>
      <c r="U386" s="595"/>
      <c r="V386" s="595"/>
      <c r="AP386" s="595"/>
      <c r="AQ386" s="595"/>
      <c r="AR386" s="595"/>
      <c r="AS386" s="595"/>
      <c r="AT386" s="595"/>
      <c r="AU386" s="595"/>
      <c r="AV386" s="595"/>
      <c r="AW386" s="595"/>
      <c r="AX386" s="595"/>
      <c r="AY386" s="595"/>
      <c r="AZ386" s="595"/>
      <c r="BA386" s="595"/>
      <c r="BB386" s="595"/>
      <c r="BC386" s="595"/>
      <c r="BD386" s="595"/>
      <c r="BE386" s="595"/>
      <c r="BF386" s="595"/>
      <c r="BG386" s="595"/>
      <c r="BH386" s="595"/>
    </row>
    <row r="387" spans="4:60" s="13" customFormat="1">
      <c r="D387" s="595"/>
      <c r="E387" s="595"/>
      <c r="F387" s="595"/>
      <c r="G387" s="595"/>
      <c r="H387" s="595"/>
      <c r="I387" s="595"/>
      <c r="J387" s="595"/>
      <c r="K387" s="595"/>
      <c r="L387" s="595"/>
      <c r="M387" s="595"/>
      <c r="N387" s="595"/>
      <c r="O387" s="595"/>
      <c r="P387" s="595"/>
      <c r="Q387" s="595"/>
      <c r="R387" s="595"/>
      <c r="S387" s="595"/>
      <c r="T387" s="595"/>
      <c r="U387" s="595"/>
      <c r="V387" s="595"/>
      <c r="AP387" s="595"/>
      <c r="AQ387" s="595"/>
      <c r="AR387" s="595"/>
      <c r="AS387" s="595"/>
      <c r="AT387" s="595"/>
      <c r="AU387" s="595"/>
      <c r="AV387" s="595"/>
      <c r="AW387" s="595"/>
      <c r="AX387" s="595"/>
      <c r="AY387" s="595"/>
      <c r="AZ387" s="595"/>
      <c r="BA387" s="595"/>
      <c r="BB387" s="595"/>
      <c r="BC387" s="595"/>
      <c r="BD387" s="595"/>
      <c r="BE387" s="595"/>
      <c r="BF387" s="595"/>
      <c r="BG387" s="595"/>
      <c r="BH387" s="595"/>
    </row>
    <row r="388" spans="4:60" s="13" customFormat="1">
      <c r="D388" s="595"/>
      <c r="E388" s="595"/>
      <c r="F388" s="595"/>
      <c r="G388" s="595"/>
      <c r="H388" s="595"/>
      <c r="I388" s="595"/>
      <c r="J388" s="595"/>
      <c r="K388" s="595"/>
      <c r="L388" s="595"/>
      <c r="M388" s="595"/>
      <c r="N388" s="595"/>
      <c r="O388" s="595"/>
      <c r="P388" s="595"/>
      <c r="Q388" s="595"/>
      <c r="R388" s="595"/>
      <c r="S388" s="595"/>
      <c r="T388" s="595"/>
      <c r="U388" s="595"/>
      <c r="V388" s="595"/>
      <c r="AP388" s="595"/>
      <c r="AQ388" s="595"/>
      <c r="AR388" s="595"/>
      <c r="AS388" s="595"/>
      <c r="AT388" s="595"/>
      <c r="AU388" s="595"/>
      <c r="AV388" s="595"/>
      <c r="AW388" s="595"/>
      <c r="AX388" s="595"/>
      <c r="AY388" s="595"/>
      <c r="AZ388" s="595"/>
      <c r="BA388" s="595"/>
      <c r="BB388" s="595"/>
      <c r="BC388" s="595"/>
      <c r="BD388" s="595"/>
      <c r="BE388" s="595"/>
      <c r="BF388" s="595"/>
      <c r="BG388" s="595"/>
      <c r="BH388" s="595"/>
    </row>
    <row r="389" spans="4:60" s="13" customFormat="1">
      <c r="D389" s="595"/>
      <c r="E389" s="595"/>
      <c r="F389" s="595"/>
      <c r="G389" s="595"/>
      <c r="H389" s="595"/>
      <c r="I389" s="595"/>
      <c r="J389" s="595"/>
      <c r="K389" s="595"/>
      <c r="L389" s="595"/>
      <c r="M389" s="595"/>
      <c r="N389" s="595"/>
      <c r="O389" s="595"/>
      <c r="P389" s="595"/>
      <c r="Q389" s="595"/>
      <c r="R389" s="595"/>
      <c r="S389" s="595"/>
      <c r="T389" s="595"/>
      <c r="U389" s="595"/>
      <c r="V389" s="595"/>
      <c r="AP389" s="595"/>
      <c r="AQ389" s="595"/>
      <c r="AR389" s="595"/>
      <c r="AS389" s="595"/>
      <c r="AT389" s="595"/>
      <c r="AU389" s="595"/>
      <c r="AV389" s="595"/>
      <c r="AW389" s="595"/>
      <c r="AX389" s="595"/>
      <c r="AY389" s="595"/>
      <c r="AZ389" s="595"/>
      <c r="BA389" s="595"/>
      <c r="BB389" s="595"/>
      <c r="BC389" s="595"/>
      <c r="BD389" s="595"/>
      <c r="BE389" s="595"/>
      <c r="BF389" s="595"/>
      <c r="BG389" s="595"/>
      <c r="BH389" s="595"/>
    </row>
    <row r="390" spans="4:60" s="13" customFormat="1">
      <c r="D390" s="595"/>
      <c r="E390" s="595"/>
      <c r="F390" s="595"/>
      <c r="G390" s="595"/>
      <c r="H390" s="595"/>
      <c r="I390" s="595"/>
      <c r="J390" s="595"/>
      <c r="K390" s="595"/>
      <c r="L390" s="595"/>
      <c r="M390" s="595"/>
      <c r="N390" s="595"/>
      <c r="O390" s="595"/>
      <c r="P390" s="595"/>
      <c r="Q390" s="595"/>
      <c r="R390" s="595"/>
      <c r="S390" s="595"/>
      <c r="T390" s="595"/>
      <c r="U390" s="595"/>
      <c r="V390" s="595"/>
      <c r="AP390" s="595"/>
      <c r="AQ390" s="595"/>
      <c r="AR390" s="595"/>
      <c r="AS390" s="595"/>
      <c r="AT390" s="595"/>
      <c r="AU390" s="595"/>
      <c r="AV390" s="595"/>
      <c r="AW390" s="595"/>
      <c r="AX390" s="595"/>
      <c r="AY390" s="595"/>
      <c r="AZ390" s="595"/>
      <c r="BA390" s="595"/>
      <c r="BB390" s="595"/>
      <c r="BC390" s="595"/>
      <c r="BD390" s="595"/>
      <c r="BE390" s="595"/>
      <c r="BF390" s="595"/>
      <c r="BG390" s="595"/>
      <c r="BH390" s="595"/>
    </row>
    <row r="391" spans="4:60" s="13" customFormat="1">
      <c r="D391" s="595"/>
      <c r="E391" s="595"/>
      <c r="F391" s="595"/>
      <c r="G391" s="595"/>
      <c r="H391" s="595"/>
      <c r="I391" s="595"/>
      <c r="J391" s="595"/>
      <c r="K391" s="595"/>
      <c r="L391" s="595"/>
      <c r="M391" s="595"/>
      <c r="N391" s="595"/>
      <c r="O391" s="595"/>
      <c r="P391" s="595"/>
      <c r="Q391" s="595"/>
      <c r="R391" s="595"/>
      <c r="S391" s="595"/>
      <c r="T391" s="595"/>
      <c r="U391" s="595"/>
      <c r="V391" s="595"/>
      <c r="AP391" s="595"/>
      <c r="AQ391" s="595"/>
      <c r="AR391" s="595"/>
      <c r="AS391" s="595"/>
      <c r="AT391" s="595"/>
      <c r="AU391" s="595"/>
      <c r="AV391" s="595"/>
      <c r="AW391" s="595"/>
      <c r="AX391" s="595"/>
      <c r="AY391" s="595"/>
      <c r="AZ391" s="595"/>
      <c r="BA391" s="595"/>
      <c r="BB391" s="595"/>
      <c r="BC391" s="595"/>
      <c r="BD391" s="595"/>
      <c r="BE391" s="595"/>
      <c r="BF391" s="595"/>
      <c r="BG391" s="595"/>
      <c r="BH391" s="595"/>
    </row>
    <row r="392" spans="4:60" s="13" customFormat="1">
      <c r="D392" s="595"/>
      <c r="E392" s="595"/>
      <c r="F392" s="595"/>
      <c r="G392" s="595"/>
      <c r="H392" s="595"/>
      <c r="I392" s="595"/>
      <c r="J392" s="595"/>
      <c r="K392" s="595"/>
      <c r="L392" s="595"/>
      <c r="M392" s="595"/>
      <c r="N392" s="595"/>
      <c r="O392" s="595"/>
      <c r="P392" s="595"/>
      <c r="Q392" s="595"/>
      <c r="R392" s="595"/>
      <c r="S392" s="595"/>
      <c r="T392" s="595"/>
      <c r="U392" s="595"/>
      <c r="V392" s="595"/>
      <c r="AP392" s="595"/>
      <c r="AQ392" s="595"/>
      <c r="AR392" s="595"/>
      <c r="AS392" s="595"/>
      <c r="AT392" s="595"/>
      <c r="AU392" s="595"/>
      <c r="AV392" s="595"/>
      <c r="AW392" s="595"/>
      <c r="AX392" s="595"/>
      <c r="AY392" s="595"/>
      <c r="AZ392" s="595"/>
      <c r="BA392" s="595"/>
      <c r="BB392" s="595"/>
      <c r="BC392" s="595"/>
      <c r="BD392" s="595"/>
      <c r="BE392" s="595"/>
      <c r="BF392" s="595"/>
      <c r="BG392" s="595"/>
      <c r="BH392" s="595"/>
    </row>
    <row r="393" spans="4:60" s="13" customFormat="1">
      <c r="D393" s="595"/>
      <c r="E393" s="595"/>
      <c r="F393" s="595"/>
      <c r="G393" s="595"/>
      <c r="H393" s="595"/>
      <c r="I393" s="595"/>
      <c r="J393" s="595"/>
      <c r="K393" s="595"/>
      <c r="L393" s="595"/>
      <c r="M393" s="595"/>
      <c r="N393" s="595"/>
      <c r="O393" s="595"/>
      <c r="P393" s="595"/>
      <c r="Q393" s="595"/>
      <c r="R393" s="595"/>
      <c r="S393" s="595"/>
      <c r="T393" s="595"/>
      <c r="U393" s="595"/>
      <c r="V393" s="595"/>
      <c r="AP393" s="595"/>
      <c r="AQ393" s="595"/>
      <c r="AR393" s="595"/>
      <c r="AS393" s="595"/>
      <c r="AT393" s="595"/>
      <c r="AU393" s="595"/>
      <c r="AV393" s="595"/>
      <c r="AW393" s="595"/>
      <c r="AX393" s="595"/>
      <c r="AY393" s="595"/>
      <c r="AZ393" s="595"/>
      <c r="BA393" s="595"/>
      <c r="BB393" s="595"/>
      <c r="BC393" s="595"/>
      <c r="BD393" s="595"/>
      <c r="BE393" s="595"/>
      <c r="BF393" s="595"/>
      <c r="BG393" s="595"/>
      <c r="BH393" s="595"/>
    </row>
    <row r="394" spans="4:60" s="13" customFormat="1">
      <c r="D394" s="595"/>
      <c r="E394" s="595"/>
      <c r="F394" s="595"/>
      <c r="G394" s="595"/>
      <c r="H394" s="595"/>
      <c r="I394" s="595"/>
      <c r="J394" s="595"/>
      <c r="K394" s="595"/>
      <c r="L394" s="595"/>
      <c r="M394" s="595"/>
      <c r="N394" s="595"/>
      <c r="O394" s="595"/>
      <c r="P394" s="595"/>
      <c r="Q394" s="595"/>
      <c r="R394" s="595"/>
      <c r="S394" s="595"/>
      <c r="T394" s="595"/>
      <c r="U394" s="595"/>
      <c r="V394" s="595"/>
      <c r="AP394" s="595"/>
      <c r="AQ394" s="595"/>
      <c r="AR394" s="595"/>
      <c r="AS394" s="595"/>
      <c r="AT394" s="595"/>
      <c r="AU394" s="595"/>
      <c r="AV394" s="595"/>
      <c r="AW394" s="595"/>
      <c r="AX394" s="595"/>
      <c r="AY394" s="595"/>
      <c r="AZ394" s="595"/>
      <c r="BA394" s="595"/>
      <c r="BB394" s="595"/>
      <c r="BC394" s="595"/>
      <c r="BD394" s="595"/>
      <c r="BE394" s="595"/>
      <c r="BF394" s="595"/>
      <c r="BG394" s="595"/>
      <c r="BH394" s="595"/>
    </row>
    <row r="395" spans="4:60" s="13" customFormat="1">
      <c r="D395" s="595"/>
      <c r="E395" s="595"/>
      <c r="F395" s="595"/>
      <c r="G395" s="595"/>
      <c r="H395" s="595"/>
      <c r="I395" s="595"/>
      <c r="J395" s="595"/>
      <c r="K395" s="595"/>
      <c r="L395" s="595"/>
      <c r="M395" s="595"/>
      <c r="N395" s="595"/>
      <c r="O395" s="595"/>
      <c r="P395" s="595"/>
      <c r="Q395" s="595"/>
      <c r="R395" s="595"/>
      <c r="S395" s="595"/>
      <c r="T395" s="595"/>
      <c r="U395" s="595"/>
      <c r="V395" s="595"/>
      <c r="AP395" s="595"/>
      <c r="AQ395" s="595"/>
      <c r="AR395" s="595"/>
      <c r="AS395" s="595"/>
      <c r="AT395" s="595"/>
      <c r="AU395" s="595"/>
      <c r="AV395" s="595"/>
      <c r="AW395" s="595"/>
      <c r="AX395" s="595"/>
      <c r="AY395" s="595"/>
      <c r="AZ395" s="595"/>
      <c r="BA395" s="595"/>
      <c r="BB395" s="595"/>
      <c r="BC395" s="595"/>
      <c r="BD395" s="595"/>
      <c r="BE395" s="595"/>
      <c r="BF395" s="595"/>
      <c r="BG395" s="595"/>
      <c r="BH395" s="595"/>
    </row>
    <row r="396" spans="4:60" s="13" customFormat="1">
      <c r="D396" s="595"/>
      <c r="E396" s="595"/>
      <c r="F396" s="595"/>
      <c r="G396" s="595"/>
      <c r="H396" s="595"/>
      <c r="I396" s="595"/>
      <c r="J396" s="595"/>
      <c r="K396" s="595"/>
      <c r="L396" s="595"/>
      <c r="M396" s="595"/>
      <c r="N396" s="595"/>
      <c r="O396" s="595"/>
      <c r="P396" s="595"/>
      <c r="Q396" s="595"/>
      <c r="R396" s="595"/>
      <c r="S396" s="595"/>
      <c r="T396" s="595"/>
      <c r="U396" s="595"/>
      <c r="V396" s="595"/>
      <c r="AP396" s="595"/>
      <c r="AQ396" s="595"/>
      <c r="AR396" s="595"/>
      <c r="AS396" s="595"/>
      <c r="AT396" s="595"/>
      <c r="AU396" s="595"/>
      <c r="AV396" s="595"/>
      <c r="AW396" s="595"/>
      <c r="AX396" s="595"/>
      <c r="AY396" s="595"/>
      <c r="AZ396" s="595"/>
      <c r="BA396" s="595"/>
      <c r="BB396" s="595"/>
      <c r="BC396" s="595"/>
      <c r="BD396" s="595"/>
      <c r="BE396" s="595"/>
      <c r="BF396" s="595"/>
      <c r="BG396" s="595"/>
      <c r="BH396" s="595"/>
    </row>
    <row r="397" spans="4:60" s="13" customFormat="1">
      <c r="D397" s="595"/>
      <c r="E397" s="595"/>
      <c r="F397" s="595"/>
      <c r="G397" s="595"/>
      <c r="H397" s="595"/>
      <c r="I397" s="595"/>
      <c r="J397" s="595"/>
      <c r="K397" s="595"/>
      <c r="L397" s="595"/>
      <c r="M397" s="595"/>
      <c r="N397" s="595"/>
      <c r="O397" s="595"/>
      <c r="P397" s="595"/>
      <c r="Q397" s="595"/>
      <c r="R397" s="595"/>
      <c r="S397" s="595"/>
      <c r="T397" s="595"/>
      <c r="U397" s="595"/>
      <c r="V397" s="595"/>
      <c r="AP397" s="595"/>
      <c r="AQ397" s="595"/>
      <c r="AR397" s="595"/>
      <c r="AS397" s="595"/>
      <c r="AT397" s="595"/>
      <c r="AU397" s="595"/>
      <c r="AV397" s="595"/>
      <c r="AW397" s="595"/>
      <c r="AX397" s="595"/>
      <c r="AY397" s="595"/>
      <c r="AZ397" s="595"/>
      <c r="BA397" s="595"/>
      <c r="BB397" s="595"/>
      <c r="BC397" s="595"/>
      <c r="BD397" s="595"/>
      <c r="BE397" s="595"/>
      <c r="BF397" s="595"/>
      <c r="BG397" s="595"/>
      <c r="BH397" s="595"/>
    </row>
    <row r="398" spans="4:60" s="13" customFormat="1">
      <c r="D398" s="595"/>
      <c r="E398" s="595"/>
      <c r="F398" s="595"/>
      <c r="G398" s="595"/>
      <c r="H398" s="595"/>
      <c r="I398" s="595"/>
      <c r="J398" s="595"/>
      <c r="K398" s="595"/>
      <c r="L398" s="595"/>
      <c r="M398" s="595"/>
      <c r="N398" s="595"/>
      <c r="O398" s="595"/>
      <c r="P398" s="595"/>
      <c r="Q398" s="595"/>
      <c r="R398" s="595"/>
      <c r="S398" s="595"/>
      <c r="T398" s="595"/>
      <c r="U398" s="595"/>
      <c r="V398" s="595"/>
      <c r="AP398" s="595"/>
      <c r="AQ398" s="595"/>
      <c r="AR398" s="595"/>
      <c r="AS398" s="595"/>
      <c r="AT398" s="595"/>
      <c r="AU398" s="595"/>
      <c r="AV398" s="595"/>
      <c r="AW398" s="595"/>
      <c r="AX398" s="595"/>
      <c r="AY398" s="595"/>
      <c r="AZ398" s="595"/>
      <c r="BA398" s="595"/>
      <c r="BB398" s="595"/>
      <c r="BC398" s="595"/>
      <c r="BD398" s="595"/>
      <c r="BE398" s="595"/>
      <c r="BF398" s="595"/>
      <c r="BG398" s="595"/>
      <c r="BH398" s="595"/>
    </row>
    <row r="399" spans="4:60" s="13" customFormat="1">
      <c r="D399" s="595"/>
      <c r="E399" s="595"/>
      <c r="F399" s="595"/>
      <c r="G399" s="595"/>
      <c r="H399" s="595"/>
      <c r="I399" s="595"/>
      <c r="J399" s="595"/>
      <c r="K399" s="595"/>
      <c r="L399" s="595"/>
      <c r="M399" s="595"/>
      <c r="N399" s="595"/>
      <c r="O399" s="595"/>
      <c r="P399" s="595"/>
      <c r="Q399" s="595"/>
      <c r="R399" s="595"/>
      <c r="S399" s="595"/>
      <c r="T399" s="595"/>
      <c r="U399" s="595"/>
      <c r="V399" s="595"/>
      <c r="AP399" s="595"/>
      <c r="AQ399" s="595"/>
      <c r="AR399" s="595"/>
      <c r="AS399" s="595"/>
      <c r="AT399" s="595"/>
      <c r="AU399" s="595"/>
      <c r="AV399" s="595"/>
      <c r="AW399" s="595"/>
      <c r="AX399" s="595"/>
      <c r="AY399" s="595"/>
      <c r="AZ399" s="595"/>
      <c r="BA399" s="595"/>
      <c r="BB399" s="595"/>
      <c r="BC399" s="595"/>
      <c r="BD399" s="595"/>
      <c r="BE399" s="595"/>
      <c r="BF399" s="595"/>
      <c r="BG399" s="595"/>
      <c r="BH399" s="595"/>
    </row>
    <row r="400" spans="4:60" s="13" customFormat="1">
      <c r="D400" s="595"/>
      <c r="E400" s="595"/>
      <c r="F400" s="595"/>
      <c r="G400" s="595"/>
      <c r="H400" s="595"/>
      <c r="I400" s="595"/>
      <c r="J400" s="595"/>
      <c r="K400" s="595"/>
      <c r="L400" s="595"/>
      <c r="M400" s="595"/>
      <c r="N400" s="595"/>
      <c r="O400" s="595"/>
      <c r="P400" s="595"/>
      <c r="Q400" s="595"/>
      <c r="R400" s="595"/>
      <c r="S400" s="595"/>
      <c r="T400" s="595"/>
      <c r="U400" s="595"/>
      <c r="V400" s="595"/>
      <c r="AP400" s="595"/>
      <c r="AQ400" s="595"/>
      <c r="AR400" s="595"/>
      <c r="AS400" s="595"/>
      <c r="AT400" s="595"/>
      <c r="AU400" s="595"/>
      <c r="AV400" s="595"/>
      <c r="AW400" s="595"/>
      <c r="AX400" s="595"/>
      <c r="AY400" s="595"/>
      <c r="AZ400" s="595"/>
      <c r="BA400" s="595"/>
      <c r="BB400" s="595"/>
      <c r="BC400" s="595"/>
      <c r="BD400" s="595"/>
      <c r="BE400" s="595"/>
      <c r="BF400" s="595"/>
      <c r="BG400" s="595"/>
      <c r="BH400" s="595"/>
    </row>
    <row r="401" spans="4:60" s="13" customFormat="1">
      <c r="D401" s="595"/>
      <c r="E401" s="595"/>
      <c r="F401" s="595"/>
      <c r="G401" s="595"/>
      <c r="H401" s="595"/>
      <c r="I401" s="595"/>
      <c r="J401" s="595"/>
      <c r="K401" s="595"/>
      <c r="L401" s="595"/>
      <c r="M401" s="595"/>
      <c r="N401" s="595"/>
      <c r="O401" s="595"/>
      <c r="P401" s="595"/>
      <c r="Q401" s="595"/>
      <c r="R401" s="595"/>
      <c r="S401" s="595"/>
      <c r="T401" s="595"/>
      <c r="U401" s="595"/>
      <c r="V401" s="595"/>
      <c r="AP401" s="595"/>
      <c r="AQ401" s="595"/>
      <c r="AR401" s="595"/>
      <c r="AS401" s="595"/>
      <c r="AT401" s="595"/>
      <c r="AU401" s="595"/>
      <c r="AV401" s="595"/>
      <c r="AW401" s="595"/>
      <c r="AX401" s="595"/>
      <c r="AY401" s="595"/>
      <c r="AZ401" s="595"/>
      <c r="BA401" s="595"/>
      <c r="BB401" s="595"/>
      <c r="BC401" s="595"/>
      <c r="BD401" s="595"/>
      <c r="BE401" s="595"/>
      <c r="BF401" s="595"/>
      <c r="BG401" s="595"/>
      <c r="BH401" s="595"/>
    </row>
    <row r="402" spans="4:60" s="13" customFormat="1">
      <c r="D402" s="595"/>
      <c r="E402" s="595"/>
      <c r="F402" s="595"/>
      <c r="G402" s="595"/>
      <c r="H402" s="595"/>
      <c r="I402" s="595"/>
      <c r="J402" s="595"/>
      <c r="K402" s="595"/>
      <c r="L402" s="595"/>
      <c r="M402" s="595"/>
      <c r="N402" s="595"/>
      <c r="O402" s="595"/>
      <c r="P402" s="595"/>
      <c r="Q402" s="595"/>
      <c r="R402" s="595"/>
      <c r="S402" s="595"/>
      <c r="T402" s="595"/>
      <c r="U402" s="595"/>
      <c r="V402" s="595"/>
      <c r="AP402" s="595"/>
      <c r="AQ402" s="595"/>
      <c r="AR402" s="595"/>
      <c r="AS402" s="595"/>
      <c r="AT402" s="595"/>
      <c r="AU402" s="595"/>
      <c r="AV402" s="595"/>
      <c r="AW402" s="595"/>
      <c r="AX402" s="595"/>
      <c r="AY402" s="595"/>
      <c r="AZ402" s="595"/>
      <c r="BA402" s="595"/>
      <c r="BB402" s="595"/>
      <c r="BC402" s="595"/>
      <c r="BD402" s="595"/>
      <c r="BE402" s="595"/>
      <c r="BF402" s="595"/>
      <c r="BG402" s="595"/>
      <c r="BH402" s="595"/>
    </row>
    <row r="403" spans="4:60" s="13" customFormat="1">
      <c r="D403" s="595"/>
      <c r="E403" s="595"/>
      <c r="F403" s="595"/>
      <c r="G403" s="595"/>
      <c r="H403" s="595"/>
      <c r="I403" s="595"/>
      <c r="J403" s="595"/>
      <c r="K403" s="595"/>
      <c r="L403" s="595"/>
      <c r="M403" s="595"/>
      <c r="N403" s="595"/>
      <c r="O403" s="595"/>
      <c r="P403" s="595"/>
      <c r="Q403" s="595"/>
      <c r="R403" s="595"/>
      <c r="S403" s="595"/>
      <c r="T403" s="595"/>
      <c r="U403" s="595"/>
      <c r="V403" s="595"/>
      <c r="AP403" s="595"/>
      <c r="AQ403" s="595"/>
      <c r="AR403" s="595"/>
      <c r="AS403" s="595"/>
      <c r="AT403" s="595"/>
      <c r="AU403" s="595"/>
      <c r="AV403" s="595"/>
      <c r="AW403" s="595"/>
      <c r="AX403" s="595"/>
      <c r="AY403" s="595"/>
      <c r="AZ403" s="595"/>
      <c r="BA403" s="595"/>
      <c r="BB403" s="595"/>
      <c r="BC403" s="595"/>
      <c r="BD403" s="595"/>
      <c r="BE403" s="595"/>
      <c r="BF403" s="595"/>
      <c r="BG403" s="595"/>
      <c r="BH403" s="595"/>
    </row>
    <row r="404" spans="4:60" s="13" customFormat="1">
      <c r="D404" s="595"/>
      <c r="E404" s="595"/>
      <c r="F404" s="595"/>
      <c r="G404" s="595"/>
      <c r="H404" s="595"/>
      <c r="I404" s="595"/>
      <c r="J404" s="595"/>
      <c r="K404" s="595"/>
      <c r="L404" s="595"/>
      <c r="M404" s="595"/>
      <c r="N404" s="595"/>
      <c r="O404" s="595"/>
      <c r="P404" s="595"/>
      <c r="Q404" s="595"/>
      <c r="R404" s="595"/>
      <c r="S404" s="595"/>
      <c r="T404" s="595"/>
      <c r="U404" s="595"/>
      <c r="V404" s="595"/>
      <c r="AP404" s="595"/>
      <c r="AQ404" s="595"/>
      <c r="AR404" s="595"/>
      <c r="AS404" s="595"/>
      <c r="AT404" s="595"/>
      <c r="AU404" s="595"/>
      <c r="AV404" s="595"/>
      <c r="AW404" s="595"/>
      <c r="AX404" s="595"/>
      <c r="AY404" s="595"/>
      <c r="AZ404" s="595"/>
      <c r="BA404" s="595"/>
      <c r="BB404" s="595"/>
      <c r="BC404" s="595"/>
      <c r="BD404" s="595"/>
      <c r="BE404" s="595"/>
      <c r="BF404" s="595"/>
      <c r="BG404" s="595"/>
      <c r="BH404" s="595"/>
    </row>
    <row r="405" spans="4:60" s="13" customFormat="1">
      <c r="D405" s="595"/>
      <c r="E405" s="595"/>
      <c r="F405" s="595"/>
      <c r="G405" s="595"/>
      <c r="H405" s="595"/>
      <c r="I405" s="595"/>
      <c r="J405" s="595"/>
      <c r="K405" s="595"/>
      <c r="L405" s="595"/>
      <c r="M405" s="595"/>
      <c r="N405" s="595"/>
      <c r="O405" s="595"/>
      <c r="P405" s="595"/>
      <c r="Q405" s="595"/>
      <c r="R405" s="595"/>
      <c r="S405" s="595"/>
      <c r="T405" s="595"/>
      <c r="U405" s="595"/>
      <c r="V405" s="595"/>
      <c r="AP405" s="595"/>
      <c r="AQ405" s="595"/>
      <c r="AR405" s="595"/>
      <c r="AS405" s="595"/>
      <c r="AT405" s="595"/>
      <c r="AU405" s="595"/>
      <c r="AV405" s="595"/>
      <c r="AW405" s="595"/>
      <c r="AX405" s="595"/>
      <c r="AY405" s="595"/>
      <c r="AZ405" s="595"/>
      <c r="BA405" s="595"/>
      <c r="BB405" s="595"/>
      <c r="BC405" s="595"/>
      <c r="BD405" s="595"/>
      <c r="BE405" s="595"/>
      <c r="BF405" s="595"/>
      <c r="BG405" s="595"/>
      <c r="BH405" s="595"/>
    </row>
    <row r="406" spans="4:60" s="13" customFormat="1">
      <c r="D406" s="595"/>
      <c r="E406" s="595"/>
      <c r="F406" s="595"/>
      <c r="G406" s="595"/>
      <c r="H406" s="595"/>
      <c r="I406" s="595"/>
      <c r="J406" s="595"/>
      <c r="K406" s="595"/>
      <c r="L406" s="595"/>
      <c r="M406" s="595"/>
      <c r="N406" s="595"/>
      <c r="O406" s="595"/>
      <c r="P406" s="595"/>
      <c r="Q406" s="595"/>
      <c r="R406" s="595"/>
      <c r="S406" s="595"/>
      <c r="T406" s="595"/>
      <c r="U406" s="595"/>
      <c r="V406" s="595"/>
      <c r="AP406" s="595"/>
      <c r="AQ406" s="595"/>
      <c r="AR406" s="595"/>
      <c r="AS406" s="595"/>
      <c r="AT406" s="595"/>
      <c r="AU406" s="595"/>
      <c r="AV406" s="595"/>
      <c r="AW406" s="595"/>
      <c r="AX406" s="595"/>
      <c r="AY406" s="595"/>
      <c r="AZ406" s="595"/>
      <c r="BA406" s="595"/>
      <c r="BB406" s="595"/>
      <c r="BC406" s="595"/>
      <c r="BD406" s="595"/>
      <c r="BE406" s="595"/>
      <c r="BF406" s="595"/>
      <c r="BG406" s="595"/>
      <c r="BH406" s="595"/>
    </row>
    <row r="407" spans="4:60" s="13" customFormat="1">
      <c r="D407" s="595"/>
      <c r="E407" s="595"/>
      <c r="F407" s="595"/>
      <c r="G407" s="595"/>
      <c r="H407" s="595"/>
      <c r="I407" s="595"/>
      <c r="J407" s="595"/>
      <c r="K407" s="595"/>
      <c r="L407" s="595"/>
      <c r="M407" s="595"/>
      <c r="N407" s="595"/>
      <c r="O407" s="595"/>
      <c r="P407" s="595"/>
      <c r="Q407" s="595"/>
      <c r="R407" s="595"/>
      <c r="S407" s="595"/>
      <c r="T407" s="595"/>
      <c r="U407" s="595"/>
      <c r="V407" s="595"/>
      <c r="AP407" s="595"/>
      <c r="AQ407" s="595"/>
      <c r="AR407" s="595"/>
      <c r="AS407" s="595"/>
      <c r="AT407" s="595"/>
      <c r="AU407" s="595"/>
      <c r="AV407" s="595"/>
      <c r="AW407" s="595"/>
      <c r="AX407" s="595"/>
      <c r="AY407" s="595"/>
      <c r="AZ407" s="595"/>
      <c r="BA407" s="595"/>
      <c r="BB407" s="595"/>
      <c r="BC407" s="595"/>
      <c r="BD407" s="595"/>
      <c r="BE407" s="595"/>
      <c r="BF407" s="595"/>
      <c r="BG407" s="595"/>
      <c r="BH407" s="595"/>
    </row>
    <row r="408" spans="4:60" s="13" customFormat="1">
      <c r="D408" s="595"/>
      <c r="E408" s="595"/>
      <c r="F408" s="595"/>
      <c r="G408" s="595"/>
      <c r="H408" s="595"/>
      <c r="I408" s="595"/>
      <c r="J408" s="595"/>
      <c r="K408" s="595"/>
      <c r="L408" s="595"/>
      <c r="M408" s="595"/>
      <c r="N408" s="595"/>
      <c r="O408" s="595"/>
      <c r="P408" s="595"/>
      <c r="Q408" s="595"/>
      <c r="R408" s="595"/>
      <c r="S408" s="595"/>
      <c r="T408" s="595"/>
      <c r="U408" s="595"/>
      <c r="V408" s="595"/>
      <c r="AP408" s="595"/>
      <c r="AQ408" s="595"/>
      <c r="AR408" s="595"/>
      <c r="AS408" s="595"/>
      <c r="AT408" s="595"/>
      <c r="AU408" s="595"/>
      <c r="AV408" s="595"/>
      <c r="AW408" s="595"/>
      <c r="AX408" s="595"/>
      <c r="AY408" s="595"/>
      <c r="AZ408" s="595"/>
      <c r="BA408" s="595"/>
      <c r="BB408" s="595"/>
      <c r="BC408" s="595"/>
      <c r="BD408" s="595"/>
      <c r="BE408" s="595"/>
      <c r="BF408" s="595"/>
      <c r="BG408" s="595"/>
      <c r="BH408" s="595"/>
    </row>
    <row r="409" spans="4:60" s="13" customFormat="1">
      <c r="D409" s="595"/>
      <c r="E409" s="595"/>
      <c r="F409" s="595"/>
      <c r="G409" s="595"/>
      <c r="H409" s="595"/>
      <c r="I409" s="595"/>
      <c r="J409" s="595"/>
      <c r="K409" s="595"/>
      <c r="L409" s="595"/>
      <c r="M409" s="595"/>
      <c r="N409" s="595"/>
      <c r="O409" s="595"/>
      <c r="P409" s="595"/>
      <c r="Q409" s="595"/>
      <c r="R409" s="595"/>
      <c r="S409" s="595"/>
      <c r="T409" s="595"/>
      <c r="U409" s="595"/>
      <c r="V409" s="595"/>
      <c r="AP409" s="595"/>
      <c r="AQ409" s="595"/>
      <c r="AR409" s="595"/>
      <c r="AS409" s="595"/>
      <c r="AT409" s="595"/>
      <c r="AU409" s="595"/>
      <c r="AV409" s="595"/>
      <c r="AW409" s="595"/>
      <c r="AX409" s="595"/>
      <c r="AY409" s="595"/>
      <c r="AZ409" s="595"/>
      <c r="BA409" s="595"/>
      <c r="BB409" s="595"/>
      <c r="BC409" s="595"/>
      <c r="BD409" s="595"/>
      <c r="BE409" s="595"/>
      <c r="BF409" s="595"/>
      <c r="BG409" s="595"/>
      <c r="BH409" s="595"/>
    </row>
    <row r="410" spans="4:60" s="13" customFormat="1">
      <c r="D410" s="595"/>
      <c r="E410" s="595"/>
      <c r="F410" s="595"/>
      <c r="G410" s="595"/>
      <c r="H410" s="595"/>
      <c r="I410" s="595"/>
      <c r="J410" s="595"/>
      <c r="K410" s="595"/>
      <c r="L410" s="595"/>
      <c r="M410" s="595"/>
      <c r="N410" s="595"/>
      <c r="O410" s="595"/>
      <c r="P410" s="595"/>
      <c r="Q410" s="595"/>
      <c r="R410" s="595"/>
      <c r="S410" s="595"/>
      <c r="T410" s="595"/>
      <c r="U410" s="595"/>
      <c r="V410" s="595"/>
      <c r="AP410" s="595"/>
      <c r="AQ410" s="595"/>
      <c r="AR410" s="595"/>
      <c r="AS410" s="595"/>
      <c r="AT410" s="595"/>
      <c r="AU410" s="595"/>
      <c r="AV410" s="595"/>
      <c r="AW410" s="595"/>
      <c r="AX410" s="595"/>
      <c r="AY410" s="595"/>
      <c r="AZ410" s="595"/>
      <c r="BA410" s="595"/>
      <c r="BB410" s="595"/>
      <c r="BC410" s="595"/>
      <c r="BD410" s="595"/>
      <c r="BE410" s="595"/>
      <c r="BF410" s="595"/>
      <c r="BG410" s="595"/>
      <c r="BH410" s="595"/>
    </row>
    <row r="411" spans="4:60" s="13" customFormat="1">
      <c r="D411" s="595"/>
      <c r="E411" s="595"/>
      <c r="F411" s="595"/>
      <c r="G411" s="595"/>
      <c r="H411" s="595"/>
      <c r="I411" s="595"/>
      <c r="J411" s="595"/>
      <c r="K411" s="595"/>
      <c r="L411" s="595"/>
      <c r="M411" s="595"/>
      <c r="N411" s="595"/>
      <c r="O411" s="595"/>
      <c r="P411" s="595"/>
      <c r="Q411" s="595"/>
      <c r="R411" s="595"/>
      <c r="S411" s="595"/>
      <c r="T411" s="595"/>
      <c r="U411" s="595"/>
      <c r="V411" s="595"/>
      <c r="AP411" s="595"/>
      <c r="AQ411" s="595"/>
      <c r="AR411" s="595"/>
      <c r="AS411" s="595"/>
      <c r="AT411" s="595"/>
      <c r="AU411" s="595"/>
      <c r="AV411" s="595"/>
      <c r="AW411" s="595"/>
      <c r="AX411" s="595"/>
      <c r="AY411" s="595"/>
      <c r="AZ411" s="595"/>
      <c r="BA411" s="595"/>
      <c r="BB411" s="595"/>
      <c r="BC411" s="595"/>
      <c r="BD411" s="595"/>
      <c r="BE411" s="595"/>
      <c r="BF411" s="595"/>
      <c r="BG411" s="595"/>
      <c r="BH411" s="595"/>
    </row>
    <row r="412" spans="4:60" s="13" customFormat="1">
      <c r="D412" s="595"/>
      <c r="E412" s="595"/>
      <c r="F412" s="595"/>
      <c r="G412" s="595"/>
      <c r="H412" s="595"/>
      <c r="I412" s="595"/>
      <c r="J412" s="595"/>
      <c r="K412" s="595"/>
      <c r="L412" s="595"/>
      <c r="M412" s="595"/>
      <c r="N412" s="595"/>
      <c r="O412" s="595"/>
      <c r="P412" s="595"/>
      <c r="Q412" s="595"/>
      <c r="R412" s="595"/>
      <c r="S412" s="595"/>
      <c r="T412" s="595"/>
      <c r="U412" s="595"/>
      <c r="V412" s="595"/>
      <c r="AP412" s="595"/>
      <c r="AQ412" s="595"/>
      <c r="AR412" s="595"/>
      <c r="AS412" s="595"/>
      <c r="AT412" s="595"/>
      <c r="AU412" s="595"/>
      <c r="AV412" s="595"/>
      <c r="AW412" s="595"/>
      <c r="AX412" s="595"/>
      <c r="AY412" s="595"/>
      <c r="AZ412" s="595"/>
      <c r="BA412" s="595"/>
      <c r="BB412" s="595"/>
      <c r="BC412" s="595"/>
      <c r="BD412" s="595"/>
      <c r="BE412" s="595"/>
      <c r="BF412" s="595"/>
      <c r="BG412" s="595"/>
      <c r="BH412" s="595"/>
    </row>
    <row r="413" spans="4:60" s="13" customFormat="1">
      <c r="D413" s="595"/>
      <c r="E413" s="595"/>
      <c r="F413" s="595"/>
      <c r="G413" s="595"/>
      <c r="H413" s="595"/>
      <c r="I413" s="595"/>
      <c r="J413" s="595"/>
      <c r="K413" s="595"/>
      <c r="L413" s="595"/>
      <c r="M413" s="595"/>
      <c r="N413" s="595"/>
      <c r="O413" s="595"/>
      <c r="P413" s="595"/>
      <c r="Q413" s="595"/>
      <c r="R413" s="595"/>
      <c r="S413" s="595"/>
      <c r="T413" s="595"/>
      <c r="U413" s="595"/>
      <c r="V413" s="595"/>
      <c r="AP413" s="595"/>
      <c r="AQ413" s="595"/>
      <c r="AR413" s="595"/>
      <c r="AS413" s="595"/>
      <c r="AT413" s="595"/>
      <c r="AU413" s="595"/>
      <c r="AV413" s="595"/>
      <c r="AW413" s="595"/>
      <c r="AX413" s="595"/>
      <c r="AY413" s="595"/>
      <c r="AZ413" s="595"/>
      <c r="BA413" s="595"/>
      <c r="BB413" s="595"/>
      <c r="BC413" s="595"/>
      <c r="BD413" s="595"/>
      <c r="BE413" s="595"/>
      <c r="BF413" s="595"/>
      <c r="BG413" s="595"/>
      <c r="BH413" s="595"/>
    </row>
    <row r="414" spans="4:60" s="13" customFormat="1">
      <c r="D414" s="595"/>
      <c r="E414" s="595"/>
      <c r="F414" s="595"/>
      <c r="G414" s="595"/>
      <c r="H414" s="595"/>
      <c r="I414" s="595"/>
      <c r="J414" s="595"/>
      <c r="K414" s="595"/>
      <c r="L414" s="595"/>
      <c r="M414" s="595"/>
      <c r="N414" s="595"/>
      <c r="O414" s="595"/>
      <c r="P414" s="595"/>
      <c r="Q414" s="595"/>
      <c r="R414" s="595"/>
      <c r="S414" s="595"/>
      <c r="T414" s="595"/>
      <c r="U414" s="595"/>
      <c r="V414" s="595"/>
      <c r="AP414" s="595"/>
      <c r="AQ414" s="595"/>
      <c r="AR414" s="595"/>
      <c r="AS414" s="595"/>
      <c r="AT414" s="595"/>
      <c r="AU414" s="595"/>
      <c r="AV414" s="595"/>
      <c r="AW414" s="595"/>
      <c r="AX414" s="595"/>
      <c r="AY414" s="595"/>
      <c r="AZ414" s="595"/>
      <c r="BA414" s="595"/>
      <c r="BB414" s="595"/>
      <c r="BC414" s="595"/>
      <c r="BD414" s="595"/>
      <c r="BE414" s="595"/>
      <c r="BF414" s="595"/>
      <c r="BG414" s="595"/>
      <c r="BH414" s="595"/>
    </row>
    <row r="415" spans="4:60" s="13" customFormat="1">
      <c r="D415" s="595"/>
      <c r="E415" s="595"/>
      <c r="F415" s="595"/>
      <c r="G415" s="595"/>
      <c r="H415" s="595"/>
      <c r="I415" s="595"/>
      <c r="J415" s="595"/>
      <c r="K415" s="595"/>
      <c r="L415" s="595"/>
      <c r="M415" s="595"/>
      <c r="N415" s="595"/>
      <c r="O415" s="595"/>
      <c r="P415" s="595"/>
      <c r="Q415" s="595"/>
      <c r="R415" s="595"/>
      <c r="S415" s="595"/>
      <c r="T415" s="595"/>
      <c r="U415" s="595"/>
      <c r="V415" s="595"/>
      <c r="AP415" s="595"/>
      <c r="AQ415" s="595"/>
      <c r="AR415" s="595"/>
      <c r="AS415" s="595"/>
      <c r="AT415" s="595"/>
      <c r="AU415" s="595"/>
      <c r="AV415" s="595"/>
      <c r="AW415" s="595"/>
      <c r="AX415" s="595"/>
      <c r="AY415" s="595"/>
      <c r="AZ415" s="595"/>
      <c r="BA415" s="595"/>
      <c r="BB415" s="595"/>
      <c r="BC415" s="595"/>
      <c r="BD415" s="595"/>
      <c r="BE415" s="595"/>
      <c r="BF415" s="595"/>
      <c r="BG415" s="595"/>
      <c r="BH415" s="595"/>
    </row>
    <row r="416" spans="4:60" s="13" customFormat="1">
      <c r="D416" s="595"/>
      <c r="E416" s="595"/>
      <c r="F416" s="595"/>
      <c r="G416" s="595"/>
      <c r="H416" s="595"/>
      <c r="I416" s="595"/>
      <c r="J416" s="595"/>
      <c r="K416" s="595"/>
      <c r="L416" s="595"/>
      <c r="M416" s="595"/>
      <c r="N416" s="595"/>
      <c r="O416" s="595"/>
      <c r="P416" s="595"/>
      <c r="Q416" s="595"/>
      <c r="R416" s="595"/>
      <c r="S416" s="595"/>
      <c r="T416" s="595"/>
      <c r="U416" s="595"/>
      <c r="V416" s="595"/>
      <c r="AP416" s="595"/>
      <c r="AQ416" s="595"/>
      <c r="AR416" s="595"/>
      <c r="AS416" s="595"/>
      <c r="AT416" s="595"/>
      <c r="AU416" s="595"/>
      <c r="AV416" s="595"/>
      <c r="AW416" s="595"/>
      <c r="AX416" s="595"/>
      <c r="AY416" s="595"/>
      <c r="AZ416" s="595"/>
      <c r="BA416" s="595"/>
      <c r="BB416" s="595"/>
      <c r="BC416" s="595"/>
      <c r="BD416" s="595"/>
      <c r="BE416" s="595"/>
      <c r="BF416" s="595"/>
      <c r="BG416" s="595"/>
      <c r="BH416" s="595"/>
    </row>
    <row r="417" spans="4:60" s="13" customFormat="1">
      <c r="D417" s="595"/>
      <c r="E417" s="595"/>
      <c r="F417" s="595"/>
      <c r="G417" s="595"/>
      <c r="H417" s="595"/>
      <c r="I417" s="595"/>
      <c r="J417" s="595"/>
      <c r="K417" s="595"/>
      <c r="L417" s="595"/>
      <c r="M417" s="595"/>
      <c r="N417" s="595"/>
      <c r="O417" s="595"/>
      <c r="P417" s="595"/>
      <c r="Q417" s="595"/>
      <c r="R417" s="595"/>
      <c r="S417" s="595"/>
      <c r="T417" s="595"/>
      <c r="U417" s="595"/>
      <c r="V417" s="595"/>
      <c r="AP417" s="595"/>
      <c r="AQ417" s="595"/>
      <c r="AR417" s="595"/>
      <c r="AS417" s="595"/>
      <c r="AT417" s="595"/>
      <c r="AU417" s="595"/>
      <c r="AV417" s="595"/>
      <c r="AW417" s="595"/>
      <c r="AX417" s="595"/>
      <c r="AY417" s="595"/>
      <c r="AZ417" s="595"/>
      <c r="BA417" s="595"/>
      <c r="BB417" s="595"/>
      <c r="BC417" s="595"/>
      <c r="BD417" s="595"/>
      <c r="BE417" s="595"/>
      <c r="BF417" s="595"/>
      <c r="BG417" s="595"/>
      <c r="BH417" s="595"/>
    </row>
    <row r="418" spans="4:60" s="13" customFormat="1">
      <c r="D418" s="595"/>
      <c r="E418" s="595"/>
      <c r="F418" s="595"/>
      <c r="G418" s="595"/>
      <c r="H418" s="595"/>
      <c r="I418" s="595"/>
      <c r="J418" s="595"/>
      <c r="K418" s="595"/>
      <c r="L418" s="595"/>
      <c r="M418" s="595"/>
      <c r="N418" s="595"/>
      <c r="O418" s="595"/>
      <c r="P418" s="595"/>
      <c r="Q418" s="595"/>
      <c r="R418" s="595"/>
      <c r="S418" s="595"/>
      <c r="T418" s="595"/>
      <c r="U418" s="595"/>
      <c r="V418" s="595"/>
      <c r="AP418" s="595"/>
      <c r="AQ418" s="595"/>
      <c r="AR418" s="595"/>
      <c r="AS418" s="595"/>
      <c r="AT418" s="595"/>
      <c r="AU418" s="595"/>
      <c r="AV418" s="595"/>
      <c r="AW418" s="595"/>
      <c r="AX418" s="595"/>
      <c r="AY418" s="595"/>
      <c r="AZ418" s="595"/>
      <c r="BA418" s="595"/>
      <c r="BB418" s="595"/>
      <c r="BC418" s="595"/>
      <c r="BD418" s="595"/>
      <c r="BE418" s="595"/>
      <c r="BF418" s="595"/>
      <c r="BG418" s="595"/>
      <c r="BH418" s="595"/>
    </row>
    <row r="419" spans="4:60" s="13" customFormat="1">
      <c r="D419" s="595"/>
      <c r="E419" s="595"/>
      <c r="F419" s="595"/>
      <c r="G419" s="595"/>
      <c r="H419" s="595"/>
      <c r="I419" s="595"/>
      <c r="J419" s="595"/>
      <c r="K419" s="595"/>
      <c r="L419" s="595"/>
      <c r="M419" s="595"/>
      <c r="N419" s="595"/>
      <c r="O419" s="595"/>
      <c r="P419" s="595"/>
      <c r="Q419" s="595"/>
      <c r="R419" s="595"/>
      <c r="S419" s="595"/>
      <c r="T419" s="595"/>
      <c r="U419" s="595"/>
      <c r="V419" s="595"/>
      <c r="AP419" s="595"/>
      <c r="AQ419" s="595"/>
      <c r="AR419" s="595"/>
      <c r="AS419" s="595"/>
      <c r="AT419" s="595"/>
      <c r="AU419" s="595"/>
      <c r="AV419" s="595"/>
      <c r="AW419" s="595"/>
      <c r="AX419" s="595"/>
      <c r="AY419" s="595"/>
      <c r="AZ419" s="595"/>
      <c r="BA419" s="595"/>
      <c r="BB419" s="595"/>
      <c r="BC419" s="595"/>
      <c r="BD419" s="595"/>
      <c r="BE419" s="595"/>
      <c r="BF419" s="595"/>
      <c r="BG419" s="595"/>
      <c r="BH419" s="595"/>
    </row>
    <row r="420" spans="4:60" s="13" customFormat="1">
      <c r="D420" s="595"/>
      <c r="E420" s="595"/>
      <c r="F420" s="595"/>
      <c r="G420" s="595"/>
      <c r="H420" s="595"/>
      <c r="I420" s="595"/>
      <c r="J420" s="595"/>
      <c r="K420" s="595"/>
      <c r="L420" s="595"/>
      <c r="M420" s="595"/>
      <c r="N420" s="595"/>
      <c r="O420" s="595"/>
      <c r="P420" s="595"/>
      <c r="Q420" s="595"/>
      <c r="R420" s="595"/>
      <c r="S420" s="595"/>
      <c r="T420" s="595"/>
      <c r="U420" s="595"/>
      <c r="V420" s="595"/>
      <c r="AP420" s="595"/>
      <c r="AQ420" s="595"/>
      <c r="AR420" s="595"/>
      <c r="AS420" s="595"/>
      <c r="AT420" s="595"/>
      <c r="AU420" s="595"/>
      <c r="AV420" s="595"/>
      <c r="AW420" s="595"/>
      <c r="AX420" s="595"/>
      <c r="AY420" s="595"/>
      <c r="AZ420" s="595"/>
      <c r="BA420" s="595"/>
      <c r="BB420" s="595"/>
      <c r="BC420" s="595"/>
      <c r="BD420" s="595"/>
      <c r="BE420" s="595"/>
      <c r="BF420" s="595"/>
      <c r="BG420" s="595"/>
      <c r="BH420" s="595"/>
    </row>
    <row r="421" spans="4:60" s="13" customFormat="1">
      <c r="D421" s="595"/>
      <c r="E421" s="595"/>
      <c r="F421" s="595"/>
      <c r="G421" s="595"/>
      <c r="H421" s="595"/>
      <c r="I421" s="595"/>
      <c r="J421" s="595"/>
      <c r="K421" s="595"/>
      <c r="L421" s="595"/>
      <c r="M421" s="595"/>
      <c r="N421" s="595"/>
      <c r="O421" s="595"/>
      <c r="P421" s="595"/>
      <c r="Q421" s="595"/>
      <c r="R421" s="595"/>
      <c r="S421" s="595"/>
      <c r="T421" s="595"/>
      <c r="U421" s="595"/>
      <c r="V421" s="595"/>
      <c r="AP421" s="595"/>
      <c r="AQ421" s="595"/>
      <c r="AR421" s="595"/>
      <c r="AS421" s="595"/>
      <c r="AT421" s="595"/>
      <c r="AU421" s="595"/>
      <c r="AV421" s="595"/>
      <c r="AW421" s="595"/>
      <c r="AX421" s="595"/>
      <c r="AY421" s="595"/>
      <c r="AZ421" s="595"/>
      <c r="BA421" s="595"/>
      <c r="BB421" s="595"/>
      <c r="BC421" s="595"/>
      <c r="BD421" s="595"/>
      <c r="BE421" s="595"/>
      <c r="BF421" s="595"/>
      <c r="BG421" s="595"/>
      <c r="BH421" s="595"/>
    </row>
    <row r="422" spans="4:60" s="13" customFormat="1">
      <c r="D422" s="595"/>
      <c r="E422" s="595"/>
      <c r="F422" s="595"/>
      <c r="G422" s="595"/>
      <c r="H422" s="595"/>
      <c r="I422" s="595"/>
      <c r="J422" s="595"/>
      <c r="K422" s="595"/>
      <c r="L422" s="595"/>
      <c r="M422" s="595"/>
      <c r="N422" s="595"/>
      <c r="O422" s="595"/>
      <c r="P422" s="595"/>
      <c r="Q422" s="595"/>
      <c r="R422" s="595"/>
      <c r="S422" s="595"/>
      <c r="T422" s="595"/>
      <c r="U422" s="595"/>
      <c r="V422" s="595"/>
      <c r="AP422" s="595"/>
      <c r="AQ422" s="595"/>
      <c r="AR422" s="595"/>
      <c r="AS422" s="595"/>
      <c r="AT422" s="595"/>
      <c r="AU422" s="595"/>
      <c r="AV422" s="595"/>
      <c r="AW422" s="595"/>
      <c r="AX422" s="595"/>
      <c r="AY422" s="595"/>
      <c r="AZ422" s="595"/>
      <c r="BA422" s="595"/>
      <c r="BB422" s="595"/>
      <c r="BC422" s="595"/>
      <c r="BD422" s="595"/>
      <c r="BE422" s="595"/>
      <c r="BF422" s="595"/>
      <c r="BG422" s="595"/>
      <c r="BH422" s="595"/>
    </row>
    <row r="423" spans="4:60" s="13" customFormat="1">
      <c r="D423" s="595"/>
      <c r="E423" s="595"/>
      <c r="F423" s="595"/>
      <c r="G423" s="595"/>
      <c r="H423" s="595"/>
      <c r="I423" s="595"/>
      <c r="J423" s="595"/>
      <c r="K423" s="595"/>
      <c r="L423" s="595"/>
      <c r="M423" s="595"/>
      <c r="N423" s="595"/>
      <c r="O423" s="595"/>
      <c r="P423" s="595"/>
      <c r="Q423" s="595"/>
      <c r="R423" s="595"/>
      <c r="S423" s="595"/>
      <c r="T423" s="595"/>
      <c r="U423" s="595"/>
      <c r="V423" s="595"/>
      <c r="AP423" s="595"/>
      <c r="AQ423" s="595"/>
      <c r="AR423" s="595"/>
      <c r="AS423" s="595"/>
      <c r="AT423" s="595"/>
      <c r="AU423" s="595"/>
      <c r="AV423" s="595"/>
      <c r="AW423" s="595"/>
      <c r="AX423" s="595"/>
      <c r="AY423" s="595"/>
      <c r="AZ423" s="595"/>
      <c r="BA423" s="595"/>
      <c r="BB423" s="595"/>
      <c r="BC423" s="595"/>
      <c r="BD423" s="595"/>
      <c r="BE423" s="595"/>
      <c r="BF423" s="595"/>
      <c r="BG423" s="595"/>
      <c r="BH423" s="595"/>
    </row>
    <row r="424" spans="4:60" s="13" customFormat="1">
      <c r="D424" s="595"/>
      <c r="E424" s="595"/>
      <c r="F424" s="595"/>
      <c r="G424" s="595"/>
      <c r="H424" s="595"/>
      <c r="I424" s="595"/>
      <c r="J424" s="595"/>
      <c r="K424" s="595"/>
      <c r="L424" s="595"/>
      <c r="M424" s="595"/>
      <c r="N424" s="595"/>
      <c r="O424" s="595"/>
      <c r="P424" s="595"/>
      <c r="Q424" s="595"/>
      <c r="R424" s="595"/>
      <c r="S424" s="595"/>
      <c r="T424" s="595"/>
      <c r="U424" s="595"/>
      <c r="V424" s="595"/>
      <c r="AP424" s="595"/>
      <c r="AQ424" s="595"/>
      <c r="AR424" s="595"/>
      <c r="AS424" s="595"/>
      <c r="AT424" s="595"/>
      <c r="AU424" s="595"/>
      <c r="AV424" s="595"/>
      <c r="AW424" s="595"/>
      <c r="AX424" s="595"/>
      <c r="AY424" s="595"/>
      <c r="AZ424" s="595"/>
      <c r="BA424" s="595"/>
      <c r="BB424" s="595"/>
      <c r="BC424" s="595"/>
      <c r="BD424" s="595"/>
      <c r="BE424" s="595"/>
      <c r="BF424" s="595"/>
      <c r="BG424" s="595"/>
      <c r="BH424" s="595"/>
    </row>
    <row r="425" spans="4:60" s="13" customFormat="1">
      <c r="D425" s="595"/>
      <c r="E425" s="595"/>
      <c r="F425" s="595"/>
      <c r="G425" s="595"/>
      <c r="H425" s="595"/>
      <c r="I425" s="595"/>
      <c r="J425" s="595"/>
      <c r="K425" s="595"/>
      <c r="L425" s="595"/>
      <c r="M425" s="595"/>
      <c r="N425" s="595"/>
      <c r="O425" s="595"/>
      <c r="P425" s="595"/>
      <c r="Q425" s="595"/>
      <c r="R425" s="595"/>
      <c r="S425" s="595"/>
      <c r="T425" s="595"/>
      <c r="U425" s="595"/>
      <c r="V425" s="595"/>
      <c r="AP425" s="595"/>
      <c r="AQ425" s="595"/>
      <c r="AR425" s="595"/>
      <c r="AS425" s="595"/>
      <c r="AT425" s="595"/>
      <c r="AU425" s="595"/>
      <c r="AV425" s="595"/>
      <c r="AW425" s="595"/>
      <c r="AX425" s="595"/>
      <c r="AY425" s="595"/>
      <c r="AZ425" s="595"/>
      <c r="BA425" s="595"/>
      <c r="BB425" s="595"/>
      <c r="BC425" s="595"/>
      <c r="BD425" s="595"/>
      <c r="BE425" s="595"/>
      <c r="BF425" s="595"/>
      <c r="BG425" s="595"/>
      <c r="BH425" s="595"/>
    </row>
    <row r="426" spans="4:60" s="13" customFormat="1">
      <c r="D426" s="595"/>
      <c r="E426" s="595"/>
      <c r="F426" s="595"/>
      <c r="G426" s="595"/>
      <c r="H426" s="595"/>
      <c r="I426" s="595"/>
      <c r="J426" s="595"/>
      <c r="K426" s="595"/>
      <c r="L426" s="595"/>
      <c r="M426" s="595"/>
      <c r="N426" s="595"/>
      <c r="O426" s="595"/>
      <c r="P426" s="595"/>
      <c r="Q426" s="595"/>
      <c r="R426" s="595"/>
      <c r="S426" s="595"/>
      <c r="T426" s="595"/>
      <c r="U426" s="595"/>
      <c r="V426" s="595"/>
      <c r="AP426" s="595"/>
      <c r="AQ426" s="595"/>
      <c r="AR426" s="595"/>
      <c r="AS426" s="595"/>
      <c r="AT426" s="595"/>
      <c r="AU426" s="595"/>
      <c r="AV426" s="595"/>
      <c r="AW426" s="595"/>
      <c r="AX426" s="595"/>
      <c r="AY426" s="595"/>
      <c r="AZ426" s="595"/>
      <c r="BA426" s="595"/>
      <c r="BB426" s="595"/>
      <c r="BC426" s="595"/>
      <c r="BD426" s="595"/>
      <c r="BE426" s="595"/>
      <c r="BF426" s="595"/>
      <c r="BG426" s="595"/>
      <c r="BH426" s="595"/>
    </row>
    <row r="427" spans="4:60" s="13" customFormat="1">
      <c r="D427" s="595"/>
      <c r="E427" s="595"/>
      <c r="F427" s="595"/>
      <c r="G427" s="595"/>
      <c r="H427" s="595"/>
      <c r="I427" s="595"/>
      <c r="J427" s="595"/>
      <c r="K427" s="595"/>
      <c r="L427" s="595"/>
      <c r="M427" s="595"/>
      <c r="N427" s="595"/>
      <c r="O427" s="595"/>
      <c r="P427" s="595"/>
      <c r="Q427" s="595"/>
      <c r="R427" s="595"/>
      <c r="S427" s="595"/>
      <c r="T427" s="595"/>
      <c r="U427" s="595"/>
      <c r="V427" s="595"/>
      <c r="AP427" s="595"/>
      <c r="AQ427" s="595"/>
      <c r="AR427" s="595"/>
      <c r="AS427" s="595"/>
      <c r="AT427" s="595"/>
      <c r="AU427" s="595"/>
      <c r="AV427" s="595"/>
      <c r="AW427" s="595"/>
      <c r="AX427" s="595"/>
      <c r="AY427" s="595"/>
      <c r="AZ427" s="595"/>
      <c r="BA427" s="595"/>
      <c r="BB427" s="595"/>
      <c r="BC427" s="595"/>
      <c r="BD427" s="595"/>
      <c r="BE427" s="595"/>
      <c r="BF427" s="595"/>
      <c r="BG427" s="595"/>
      <c r="BH427" s="595"/>
    </row>
    <row r="428" spans="4:60" s="13" customFormat="1">
      <c r="D428" s="595"/>
      <c r="E428" s="595"/>
      <c r="F428" s="595"/>
      <c r="G428" s="595"/>
      <c r="H428" s="595"/>
      <c r="I428" s="595"/>
      <c r="J428" s="595"/>
      <c r="K428" s="595"/>
      <c r="L428" s="595"/>
      <c r="M428" s="595"/>
      <c r="N428" s="595"/>
      <c r="O428" s="595"/>
      <c r="P428" s="595"/>
      <c r="Q428" s="595"/>
      <c r="R428" s="595"/>
      <c r="S428" s="595"/>
      <c r="T428" s="595"/>
      <c r="U428" s="595"/>
      <c r="V428" s="595"/>
      <c r="AP428" s="595"/>
      <c r="AQ428" s="595"/>
      <c r="AR428" s="595"/>
      <c r="AS428" s="595"/>
      <c r="AT428" s="595"/>
      <c r="AU428" s="595"/>
      <c r="AV428" s="595"/>
      <c r="AW428" s="595"/>
      <c r="AX428" s="595"/>
      <c r="AY428" s="595"/>
      <c r="AZ428" s="595"/>
      <c r="BA428" s="595"/>
      <c r="BB428" s="595"/>
      <c r="BC428" s="595"/>
      <c r="BD428" s="595"/>
      <c r="BE428" s="595"/>
      <c r="BF428" s="595"/>
      <c r="BG428" s="595"/>
      <c r="BH428" s="595"/>
    </row>
    <row r="429" spans="4:60" s="13" customFormat="1">
      <c r="D429" s="595"/>
      <c r="E429" s="595"/>
      <c r="F429" s="595"/>
      <c r="G429" s="595"/>
      <c r="H429" s="595"/>
      <c r="I429" s="595"/>
      <c r="J429" s="595"/>
      <c r="K429" s="595"/>
      <c r="L429" s="595"/>
      <c r="M429" s="595"/>
      <c r="N429" s="595"/>
      <c r="O429" s="595"/>
      <c r="P429" s="595"/>
      <c r="Q429" s="595"/>
      <c r="R429" s="595"/>
      <c r="S429" s="595"/>
      <c r="T429" s="595"/>
      <c r="U429" s="595"/>
      <c r="V429" s="595"/>
      <c r="AP429" s="595"/>
      <c r="AQ429" s="595"/>
      <c r="AR429" s="595"/>
      <c r="AS429" s="595"/>
      <c r="AT429" s="595"/>
      <c r="AU429" s="595"/>
      <c r="AV429" s="595"/>
      <c r="AW429" s="595"/>
      <c r="AX429" s="595"/>
      <c r="AY429" s="595"/>
      <c r="AZ429" s="595"/>
      <c r="BA429" s="595"/>
      <c r="BB429" s="595"/>
      <c r="BC429" s="595"/>
      <c r="BD429" s="595"/>
      <c r="BE429" s="595"/>
      <c r="BF429" s="595"/>
      <c r="BG429" s="595"/>
      <c r="BH429" s="595"/>
    </row>
    <row r="430" spans="4:60" s="13" customFormat="1">
      <c r="D430" s="595"/>
      <c r="E430" s="595"/>
      <c r="F430" s="595"/>
      <c r="G430" s="595"/>
      <c r="H430" s="595"/>
      <c r="I430" s="595"/>
      <c r="J430" s="595"/>
      <c r="K430" s="595"/>
      <c r="L430" s="595"/>
      <c r="M430" s="595"/>
      <c r="N430" s="595"/>
      <c r="O430" s="595"/>
      <c r="P430" s="595"/>
      <c r="Q430" s="595"/>
      <c r="R430" s="595"/>
      <c r="S430" s="595"/>
      <c r="T430" s="595"/>
      <c r="U430" s="595"/>
      <c r="V430" s="595"/>
      <c r="AP430" s="595"/>
      <c r="AQ430" s="595"/>
      <c r="AR430" s="595"/>
      <c r="AS430" s="595"/>
      <c r="AT430" s="595"/>
      <c r="AU430" s="595"/>
      <c r="AV430" s="595"/>
      <c r="AW430" s="595"/>
      <c r="AX430" s="595"/>
      <c r="AY430" s="595"/>
      <c r="AZ430" s="595"/>
      <c r="BA430" s="595"/>
      <c r="BB430" s="595"/>
      <c r="BC430" s="595"/>
      <c r="BD430" s="595"/>
      <c r="BE430" s="595"/>
      <c r="BF430" s="595"/>
      <c r="BG430" s="595"/>
      <c r="BH430" s="595"/>
    </row>
    <row r="431" spans="4:60" s="13" customFormat="1">
      <c r="D431" s="595"/>
      <c r="E431" s="595"/>
      <c r="F431" s="595"/>
      <c r="G431" s="595"/>
      <c r="H431" s="595"/>
      <c r="I431" s="595"/>
      <c r="J431" s="595"/>
      <c r="K431" s="595"/>
      <c r="L431" s="595"/>
      <c r="M431" s="595"/>
      <c r="N431" s="595"/>
      <c r="O431" s="595"/>
      <c r="P431" s="595"/>
      <c r="Q431" s="595"/>
      <c r="R431" s="595"/>
      <c r="S431" s="595"/>
      <c r="T431" s="595"/>
      <c r="U431" s="595"/>
      <c r="V431" s="595"/>
      <c r="AP431" s="595"/>
      <c r="AQ431" s="595"/>
      <c r="AR431" s="595"/>
      <c r="AS431" s="595"/>
      <c r="AT431" s="595"/>
      <c r="AU431" s="595"/>
      <c r="AV431" s="595"/>
      <c r="AW431" s="595"/>
      <c r="AX431" s="595"/>
      <c r="AY431" s="595"/>
      <c r="AZ431" s="595"/>
      <c r="BA431" s="595"/>
      <c r="BB431" s="595"/>
      <c r="BC431" s="595"/>
      <c r="BD431" s="595"/>
      <c r="BE431" s="595"/>
      <c r="BF431" s="595"/>
      <c r="BG431" s="595"/>
      <c r="BH431" s="595"/>
    </row>
    <row r="432" spans="4:60" s="13" customFormat="1">
      <c r="D432" s="595"/>
      <c r="E432" s="595"/>
      <c r="F432" s="595"/>
      <c r="G432" s="595"/>
      <c r="H432" s="595"/>
      <c r="I432" s="595"/>
      <c r="J432" s="595"/>
      <c r="K432" s="595"/>
      <c r="L432" s="595"/>
      <c r="M432" s="595"/>
      <c r="N432" s="595"/>
      <c r="O432" s="595"/>
      <c r="P432" s="595"/>
      <c r="Q432" s="595"/>
      <c r="R432" s="595"/>
      <c r="S432" s="595"/>
      <c r="T432" s="595"/>
      <c r="U432" s="595"/>
      <c r="V432" s="595"/>
      <c r="AP432" s="595"/>
      <c r="AQ432" s="595"/>
      <c r="AR432" s="595"/>
      <c r="AS432" s="595"/>
      <c r="AT432" s="595"/>
      <c r="AU432" s="595"/>
      <c r="AV432" s="595"/>
      <c r="AW432" s="595"/>
      <c r="AX432" s="595"/>
      <c r="AY432" s="595"/>
      <c r="AZ432" s="595"/>
      <c r="BA432" s="595"/>
      <c r="BB432" s="595"/>
      <c r="BC432" s="595"/>
      <c r="BD432" s="595"/>
      <c r="BE432" s="595"/>
      <c r="BF432" s="595"/>
      <c r="BG432" s="595"/>
      <c r="BH432" s="595"/>
    </row>
    <row r="433" spans="4:60" s="13" customFormat="1">
      <c r="D433" s="595"/>
      <c r="E433" s="595"/>
      <c r="F433" s="595"/>
      <c r="G433" s="595"/>
      <c r="H433" s="595"/>
      <c r="I433" s="595"/>
      <c r="J433" s="595"/>
      <c r="K433" s="595"/>
      <c r="L433" s="595"/>
      <c r="M433" s="595"/>
      <c r="N433" s="595"/>
      <c r="O433" s="595"/>
      <c r="P433" s="595"/>
      <c r="Q433" s="595"/>
      <c r="R433" s="595"/>
      <c r="S433" s="595"/>
      <c r="T433" s="595"/>
      <c r="U433" s="595"/>
      <c r="V433" s="595"/>
      <c r="AP433" s="595"/>
      <c r="AQ433" s="595"/>
      <c r="AR433" s="595"/>
      <c r="AS433" s="595"/>
      <c r="AT433" s="595"/>
      <c r="AU433" s="595"/>
      <c r="AV433" s="595"/>
      <c r="AW433" s="595"/>
      <c r="AX433" s="595"/>
      <c r="AY433" s="595"/>
      <c r="AZ433" s="595"/>
      <c r="BA433" s="595"/>
      <c r="BB433" s="595"/>
      <c r="BC433" s="595"/>
      <c r="BD433" s="595"/>
      <c r="BE433" s="595"/>
      <c r="BF433" s="595"/>
      <c r="BG433" s="595"/>
      <c r="BH433" s="595"/>
    </row>
    <row r="434" spans="4:60" s="13" customFormat="1">
      <c r="D434" s="595"/>
      <c r="E434" s="595"/>
      <c r="F434" s="595"/>
      <c r="G434" s="595"/>
      <c r="H434" s="595"/>
      <c r="I434" s="595"/>
      <c r="J434" s="595"/>
      <c r="K434" s="595"/>
      <c r="L434" s="595"/>
      <c r="M434" s="595"/>
      <c r="N434" s="595"/>
      <c r="O434" s="595"/>
      <c r="P434" s="595"/>
      <c r="Q434" s="595"/>
      <c r="R434" s="595"/>
      <c r="S434" s="595"/>
      <c r="T434" s="595"/>
      <c r="U434" s="595"/>
      <c r="V434" s="595"/>
      <c r="AP434" s="595"/>
      <c r="AQ434" s="595"/>
      <c r="AR434" s="595"/>
      <c r="AS434" s="595"/>
      <c r="AT434" s="595"/>
      <c r="AU434" s="595"/>
      <c r="AV434" s="595"/>
      <c r="AW434" s="595"/>
      <c r="AX434" s="595"/>
      <c r="AY434" s="595"/>
      <c r="AZ434" s="595"/>
      <c r="BA434" s="595"/>
      <c r="BB434" s="595"/>
      <c r="BC434" s="595"/>
      <c r="BD434" s="595"/>
      <c r="BE434" s="595"/>
      <c r="BF434" s="595"/>
      <c r="BG434" s="595"/>
      <c r="BH434" s="595"/>
    </row>
    <row r="435" spans="4:60" s="13" customFormat="1">
      <c r="D435" s="595"/>
      <c r="E435" s="595"/>
      <c r="F435" s="595"/>
      <c r="G435" s="595"/>
      <c r="H435" s="595"/>
      <c r="I435" s="595"/>
      <c r="J435" s="595"/>
      <c r="K435" s="595"/>
      <c r="L435" s="595"/>
      <c r="M435" s="595"/>
      <c r="N435" s="595"/>
      <c r="O435" s="595"/>
      <c r="P435" s="595"/>
      <c r="Q435" s="595"/>
      <c r="R435" s="595"/>
      <c r="S435" s="595"/>
      <c r="T435" s="595"/>
      <c r="U435" s="595"/>
      <c r="V435" s="595"/>
      <c r="AP435" s="595"/>
      <c r="AQ435" s="595"/>
      <c r="AR435" s="595"/>
      <c r="AS435" s="595"/>
      <c r="AT435" s="595"/>
      <c r="AU435" s="595"/>
      <c r="AV435" s="595"/>
      <c r="AW435" s="595"/>
      <c r="AX435" s="595"/>
      <c r="AY435" s="595"/>
      <c r="AZ435" s="595"/>
      <c r="BA435" s="595"/>
      <c r="BB435" s="595"/>
      <c r="BC435" s="595"/>
      <c r="BD435" s="595"/>
      <c r="BE435" s="595"/>
      <c r="BF435" s="595"/>
      <c r="BG435" s="595"/>
      <c r="BH435" s="595"/>
    </row>
    <row r="436" spans="4:60" s="13" customFormat="1">
      <c r="D436" s="595"/>
      <c r="E436" s="595"/>
      <c r="F436" s="595"/>
      <c r="G436" s="595"/>
      <c r="H436" s="595"/>
      <c r="I436" s="595"/>
      <c r="J436" s="595"/>
      <c r="K436" s="595"/>
      <c r="L436" s="595"/>
      <c r="M436" s="595"/>
      <c r="N436" s="595"/>
      <c r="O436" s="595"/>
      <c r="P436" s="595"/>
      <c r="Q436" s="595"/>
      <c r="R436" s="595"/>
      <c r="S436" s="595"/>
      <c r="T436" s="595"/>
      <c r="U436" s="595"/>
      <c r="V436" s="595"/>
      <c r="AP436" s="595"/>
      <c r="AQ436" s="595"/>
      <c r="AR436" s="595"/>
      <c r="AS436" s="595"/>
      <c r="AT436" s="595"/>
      <c r="AU436" s="595"/>
      <c r="AV436" s="595"/>
      <c r="AW436" s="595"/>
      <c r="AX436" s="595"/>
      <c r="AY436" s="595"/>
      <c r="AZ436" s="595"/>
      <c r="BA436" s="595"/>
      <c r="BB436" s="595"/>
      <c r="BC436" s="595"/>
      <c r="BD436" s="595"/>
      <c r="BE436" s="595"/>
      <c r="BF436" s="595"/>
      <c r="BG436" s="595"/>
      <c r="BH436" s="595"/>
    </row>
    <row r="437" spans="4:60" s="13" customFormat="1">
      <c r="D437" s="595"/>
      <c r="E437" s="595"/>
      <c r="F437" s="595"/>
      <c r="G437" s="595"/>
      <c r="H437" s="595"/>
      <c r="I437" s="595"/>
      <c r="J437" s="595"/>
      <c r="K437" s="595"/>
      <c r="L437" s="595"/>
      <c r="M437" s="595"/>
      <c r="N437" s="595"/>
      <c r="O437" s="595"/>
      <c r="P437" s="595"/>
      <c r="Q437" s="595"/>
      <c r="R437" s="595"/>
      <c r="S437" s="595"/>
      <c r="T437" s="595"/>
      <c r="U437" s="595"/>
      <c r="V437" s="595"/>
      <c r="AP437" s="595"/>
      <c r="AQ437" s="595"/>
      <c r="AR437" s="595"/>
      <c r="AS437" s="595"/>
      <c r="AT437" s="595"/>
      <c r="AU437" s="595"/>
      <c r="AV437" s="595"/>
      <c r="AW437" s="595"/>
      <c r="AX437" s="595"/>
      <c r="AY437" s="595"/>
      <c r="AZ437" s="595"/>
      <c r="BA437" s="595"/>
      <c r="BB437" s="595"/>
      <c r="BC437" s="595"/>
      <c r="BD437" s="595"/>
      <c r="BE437" s="595"/>
      <c r="BF437" s="595"/>
      <c r="BG437" s="595"/>
      <c r="BH437" s="595"/>
    </row>
    <row r="438" spans="4:60" s="13" customFormat="1">
      <c r="D438" s="595"/>
      <c r="E438" s="595"/>
      <c r="F438" s="595"/>
      <c r="G438" s="595"/>
      <c r="H438" s="595"/>
      <c r="I438" s="595"/>
      <c r="J438" s="595"/>
      <c r="K438" s="595"/>
      <c r="L438" s="595"/>
      <c r="M438" s="595"/>
      <c r="N438" s="595"/>
      <c r="O438" s="595"/>
      <c r="P438" s="595"/>
      <c r="Q438" s="595"/>
      <c r="R438" s="595"/>
      <c r="S438" s="595"/>
      <c r="T438" s="595"/>
      <c r="U438" s="595"/>
      <c r="V438" s="595"/>
      <c r="AP438" s="595"/>
      <c r="AQ438" s="595"/>
      <c r="AR438" s="595"/>
      <c r="AS438" s="595"/>
      <c r="AT438" s="595"/>
      <c r="AU438" s="595"/>
      <c r="AV438" s="595"/>
      <c r="AW438" s="595"/>
      <c r="AX438" s="595"/>
      <c r="AY438" s="595"/>
      <c r="AZ438" s="595"/>
      <c r="BA438" s="595"/>
      <c r="BB438" s="595"/>
      <c r="BC438" s="595"/>
      <c r="BD438" s="595"/>
      <c r="BE438" s="595"/>
      <c r="BF438" s="595"/>
      <c r="BG438" s="595"/>
      <c r="BH438" s="595"/>
    </row>
    <row r="439" spans="4:60" s="13" customFormat="1">
      <c r="D439" s="595"/>
      <c r="E439" s="595"/>
      <c r="F439" s="595"/>
      <c r="G439" s="595"/>
      <c r="H439" s="595"/>
      <c r="I439" s="595"/>
      <c r="J439" s="595"/>
      <c r="K439" s="595"/>
      <c r="L439" s="595"/>
      <c r="M439" s="595"/>
      <c r="N439" s="595"/>
      <c r="O439" s="595"/>
      <c r="P439" s="595"/>
      <c r="Q439" s="595"/>
      <c r="R439" s="595"/>
      <c r="S439" s="595"/>
      <c r="T439" s="595"/>
      <c r="U439" s="595"/>
      <c r="V439" s="595"/>
      <c r="AP439" s="595"/>
      <c r="AQ439" s="595"/>
      <c r="AR439" s="595"/>
      <c r="AS439" s="595"/>
      <c r="AT439" s="595"/>
      <c r="AU439" s="595"/>
      <c r="AV439" s="595"/>
      <c r="AW439" s="595"/>
      <c r="AX439" s="595"/>
      <c r="AY439" s="595"/>
      <c r="AZ439" s="595"/>
      <c r="BA439" s="595"/>
      <c r="BB439" s="595"/>
      <c r="BC439" s="595"/>
      <c r="BD439" s="595"/>
      <c r="BE439" s="595"/>
      <c r="BF439" s="595"/>
      <c r="BG439" s="595"/>
      <c r="BH439" s="595"/>
    </row>
    <row r="440" spans="4:60" s="13" customFormat="1">
      <c r="D440" s="595"/>
      <c r="E440" s="595"/>
      <c r="F440" s="595"/>
      <c r="G440" s="595"/>
      <c r="H440" s="595"/>
      <c r="I440" s="595"/>
      <c r="J440" s="595"/>
      <c r="K440" s="595"/>
      <c r="L440" s="595"/>
      <c r="M440" s="595"/>
      <c r="N440" s="595"/>
      <c r="O440" s="595"/>
      <c r="P440" s="595"/>
      <c r="Q440" s="595"/>
      <c r="R440" s="595"/>
      <c r="S440" s="595"/>
      <c r="T440" s="595"/>
      <c r="U440" s="595"/>
      <c r="V440" s="595"/>
      <c r="AP440" s="595"/>
      <c r="AQ440" s="595"/>
      <c r="AR440" s="595"/>
      <c r="AS440" s="595"/>
      <c r="AT440" s="595"/>
      <c r="AU440" s="595"/>
      <c r="AV440" s="595"/>
      <c r="AW440" s="595"/>
      <c r="AX440" s="595"/>
      <c r="AY440" s="595"/>
      <c r="AZ440" s="595"/>
      <c r="BA440" s="595"/>
      <c r="BB440" s="595"/>
      <c r="BC440" s="595"/>
      <c r="BD440" s="595"/>
      <c r="BE440" s="595"/>
      <c r="BF440" s="595"/>
      <c r="BG440" s="595"/>
      <c r="BH440" s="595"/>
    </row>
    <row r="441" spans="4:60" s="13" customFormat="1">
      <c r="D441" s="595"/>
      <c r="E441" s="595"/>
      <c r="F441" s="595"/>
      <c r="G441" s="595"/>
      <c r="H441" s="595"/>
      <c r="I441" s="595"/>
      <c r="J441" s="595"/>
      <c r="K441" s="595"/>
      <c r="L441" s="595"/>
      <c r="M441" s="595"/>
      <c r="N441" s="595"/>
      <c r="O441" s="595"/>
      <c r="P441" s="595"/>
      <c r="Q441" s="595"/>
      <c r="R441" s="595"/>
      <c r="S441" s="595"/>
      <c r="T441" s="595"/>
      <c r="U441" s="595"/>
      <c r="V441" s="595"/>
      <c r="AP441" s="595"/>
      <c r="AQ441" s="595"/>
      <c r="AR441" s="595"/>
      <c r="AS441" s="595"/>
      <c r="AT441" s="595"/>
      <c r="AU441" s="595"/>
      <c r="AV441" s="595"/>
      <c r="AW441" s="595"/>
      <c r="AX441" s="595"/>
      <c r="AY441" s="595"/>
      <c r="AZ441" s="595"/>
      <c r="BA441" s="595"/>
      <c r="BB441" s="595"/>
      <c r="BC441" s="595"/>
      <c r="BD441" s="595"/>
      <c r="BE441" s="595"/>
      <c r="BF441" s="595"/>
      <c r="BG441" s="595"/>
      <c r="BH441" s="595"/>
    </row>
  </sheetData>
  <sheetProtection algorithmName="SHA-512" hashValue="IWexvOvEmDHhzLOZF2erugulxRvpXWtOCyNcQgYJmvp55cRMb8EBK4+y4GcDpIam3p6qcy/ZkTNQMjp2yzrw4A==" saltValue="NAMewCIu/eS8cSIzUoCuiw==" spinCount="100000" sheet="1" objects="1" scenarios="1"/>
  <protectedRanges>
    <protectedRange sqref="C11:AD12 AO11:BH12" name="Symulacjaprzygotowanadla"/>
  </protectedRanges>
  <mergeCells count="213">
    <mergeCell ref="AJ160:AK160"/>
    <mergeCell ref="AJ162:AK162"/>
    <mergeCell ref="E88:U88"/>
    <mergeCell ref="E90:U90"/>
    <mergeCell ref="AQ88:BG88"/>
    <mergeCell ref="AQ90:BG90"/>
    <mergeCell ref="E89:U89"/>
    <mergeCell ref="AQ89:BG89"/>
    <mergeCell ref="AM89:AO89"/>
    <mergeCell ref="AJ155:AK155"/>
    <mergeCell ref="X158:AB158"/>
    <mergeCell ref="AD158:AE158"/>
    <mergeCell ref="AK112:AK113"/>
    <mergeCell ref="AA113:AB114"/>
    <mergeCell ref="AC113:AC114"/>
    <mergeCell ref="AD113:AD114"/>
    <mergeCell ref="AG113:AH114"/>
    <mergeCell ref="AI113:AI114"/>
    <mergeCell ref="AJ113:AJ114"/>
    <mergeCell ref="K137:W139"/>
    <mergeCell ref="AC119:AH119"/>
    <mergeCell ref="Y105:Y106"/>
    <mergeCell ref="AK105:AK106"/>
    <mergeCell ref="AA106:AB107"/>
    <mergeCell ref="AL1:AM1"/>
    <mergeCell ref="X183:AB184"/>
    <mergeCell ref="AL182:AL183"/>
    <mergeCell ref="AM182:AN182"/>
    <mergeCell ref="AH183:AK184"/>
    <mergeCell ref="AH168:AK169"/>
    <mergeCell ref="AC167:AC168"/>
    <mergeCell ref="AD167:AE167"/>
    <mergeCell ref="AL167:AL168"/>
    <mergeCell ref="X178:AB179"/>
    <mergeCell ref="AH178:AK179"/>
    <mergeCell ref="W149:AB150"/>
    <mergeCell ref="K154:W159"/>
    <mergeCell ref="X154:AB154"/>
    <mergeCell ref="AD154:AE154"/>
    <mergeCell ref="AG155:AG156"/>
    <mergeCell ref="AM3:AU4"/>
    <mergeCell ref="AM167:AN167"/>
    <mergeCell ref="AC172:AC173"/>
    <mergeCell ref="AD172:AE172"/>
    <mergeCell ref="AL172:AL173"/>
    <mergeCell ref="AM172:AN172"/>
    <mergeCell ref="AC177:AC178"/>
    <mergeCell ref="AD177:AE177"/>
    <mergeCell ref="AC182:AC183"/>
    <mergeCell ref="AD182:AE182"/>
    <mergeCell ref="W197:AB198"/>
    <mergeCell ref="AC201:AC202"/>
    <mergeCell ref="AD201:AE201"/>
    <mergeCell ref="AL201:AL202"/>
    <mergeCell ref="AM201:AN201"/>
    <mergeCell ref="AM192:AN192"/>
    <mergeCell ref="X193:AB194"/>
    <mergeCell ref="AH193:AK194"/>
    <mergeCell ref="AL177:AL178"/>
    <mergeCell ref="AM177:AN177"/>
    <mergeCell ref="AJ161:AK161"/>
    <mergeCell ref="W162:AB164"/>
    <mergeCell ref="Y112:Y113"/>
    <mergeCell ref="AK235:AL235"/>
    <mergeCell ref="AC230:AC231"/>
    <mergeCell ref="AD230:AE230"/>
    <mergeCell ref="AM230:AN230"/>
    <mergeCell ref="AL230:AL231"/>
    <mergeCell ref="W133:Z134"/>
    <mergeCell ref="X137:AB137"/>
    <mergeCell ref="AD137:AE137"/>
    <mergeCell ref="X145:AB145"/>
    <mergeCell ref="AD145:AE145"/>
    <mergeCell ref="AC187:AC188"/>
    <mergeCell ref="AD187:AE187"/>
    <mergeCell ref="AL187:AL188"/>
    <mergeCell ref="AM187:AN187"/>
    <mergeCell ref="X188:AB189"/>
    <mergeCell ref="AH188:AK189"/>
    <mergeCell ref="AC192:AC193"/>
    <mergeCell ref="AD192:AE192"/>
    <mergeCell ref="AL192:AL193"/>
    <mergeCell ref="C225:F225"/>
    <mergeCell ref="AC225:AC226"/>
    <mergeCell ref="AD225:AE225"/>
    <mergeCell ref="AL225:AL226"/>
    <mergeCell ref="AM225:AN225"/>
    <mergeCell ref="AC206:AC207"/>
    <mergeCell ref="AD206:AE206"/>
    <mergeCell ref="AL206:AL207"/>
    <mergeCell ref="AM206:AN206"/>
    <mergeCell ref="AC211:AC212"/>
    <mergeCell ref="AD211:AE211"/>
    <mergeCell ref="W216:AA217"/>
    <mergeCell ref="AH226:AK227"/>
    <mergeCell ref="AC220:AC221"/>
    <mergeCell ref="AD220:AE220"/>
    <mergeCell ref="AL220:AL221"/>
    <mergeCell ref="AM220:AN220"/>
    <mergeCell ref="AC106:AC107"/>
    <mergeCell ref="AD106:AD107"/>
    <mergeCell ref="AG106:AH107"/>
    <mergeCell ref="AI106:AI107"/>
    <mergeCell ref="AJ106:AJ107"/>
    <mergeCell ref="Y98:Y99"/>
    <mergeCell ref="AK98:AK99"/>
    <mergeCell ref="AA99:AB100"/>
    <mergeCell ref="AC99:AC100"/>
    <mergeCell ref="AD99:AD100"/>
    <mergeCell ref="AG99:AH100"/>
    <mergeCell ref="AI99:AI100"/>
    <mergeCell ref="AJ99:AJ100"/>
    <mergeCell ref="Y91:Y92"/>
    <mergeCell ref="AK91:AK92"/>
    <mergeCell ref="AA92:AB93"/>
    <mergeCell ref="AC92:AC93"/>
    <mergeCell ref="AD92:AD93"/>
    <mergeCell ref="AG92:AH93"/>
    <mergeCell ref="AI92:AI93"/>
    <mergeCell ref="AJ92:AJ93"/>
    <mergeCell ref="Y82:Y83"/>
    <mergeCell ref="AK82:AK83"/>
    <mergeCell ref="AA83:AB84"/>
    <mergeCell ref="AC83:AC84"/>
    <mergeCell ref="AD83:AD84"/>
    <mergeCell ref="AG83:AH84"/>
    <mergeCell ref="AI83:AI84"/>
    <mergeCell ref="AJ83:AJ84"/>
    <mergeCell ref="AI90:AO90"/>
    <mergeCell ref="AJ48:AJ49"/>
    <mergeCell ref="AA41:AB42"/>
    <mergeCell ref="AC41:AC42"/>
    <mergeCell ref="AD41:AD42"/>
    <mergeCell ref="AG41:AH42"/>
    <mergeCell ref="AI41:AI42"/>
    <mergeCell ref="Y75:Y76"/>
    <mergeCell ref="AK75:AK76"/>
    <mergeCell ref="AA76:AB77"/>
    <mergeCell ref="AC76:AC77"/>
    <mergeCell ref="AD76:AD77"/>
    <mergeCell ref="AG76:AH77"/>
    <mergeCell ref="AI76:AI77"/>
    <mergeCell ref="AJ76:AJ77"/>
    <mergeCell ref="Y68:Y69"/>
    <mergeCell ref="AK68:AK69"/>
    <mergeCell ref="AA69:AB70"/>
    <mergeCell ref="AC69:AC70"/>
    <mergeCell ref="AD69:AD70"/>
    <mergeCell ref="AG69:AH70"/>
    <mergeCell ref="AI69:AI70"/>
    <mergeCell ref="AJ69:AJ70"/>
    <mergeCell ref="Y61:Y62"/>
    <mergeCell ref="AK61:AK62"/>
    <mergeCell ref="AA62:AB63"/>
    <mergeCell ref="AC62:AC63"/>
    <mergeCell ref="AD62:AD63"/>
    <mergeCell ref="AG62:AH63"/>
    <mergeCell ref="AI62:AI63"/>
    <mergeCell ref="AJ62:AJ63"/>
    <mergeCell ref="Y54:Y55"/>
    <mergeCell ref="AK54:AK55"/>
    <mergeCell ref="AA55:AB56"/>
    <mergeCell ref="AC55:AC56"/>
    <mergeCell ref="AD55:AD56"/>
    <mergeCell ref="AG55:AH56"/>
    <mergeCell ref="AI55:AI56"/>
    <mergeCell ref="AJ55:AJ56"/>
    <mergeCell ref="AJ3:AJ4"/>
    <mergeCell ref="AK3:AL4"/>
    <mergeCell ref="Y26:Y27"/>
    <mergeCell ref="AK26:AK27"/>
    <mergeCell ref="AA27:AB28"/>
    <mergeCell ref="AC27:AC28"/>
    <mergeCell ref="AD27:AD28"/>
    <mergeCell ref="AG27:AH28"/>
    <mergeCell ref="AI27:AI28"/>
    <mergeCell ref="AJ27:AJ28"/>
    <mergeCell ref="C8:AJ9"/>
    <mergeCell ref="C11:AC12"/>
    <mergeCell ref="Z17:AD17"/>
    <mergeCell ref="AF17:AJ17"/>
    <mergeCell ref="Y19:Y20"/>
    <mergeCell ref="AK19:AK20"/>
    <mergeCell ref="AA20:AB21"/>
    <mergeCell ref="AC20:AC21"/>
    <mergeCell ref="AD20:AD21"/>
    <mergeCell ref="AG20:AH21"/>
    <mergeCell ref="AI20:AI21"/>
    <mergeCell ref="AJ20:AJ21"/>
    <mergeCell ref="AG177:AG180"/>
    <mergeCell ref="AG182:AG185"/>
    <mergeCell ref="AG187:AG190"/>
    <mergeCell ref="AG192:AG195"/>
    <mergeCell ref="C128:AN129"/>
    <mergeCell ref="Y33:Y34"/>
    <mergeCell ref="AK33:AK34"/>
    <mergeCell ref="AA34:AB35"/>
    <mergeCell ref="AC34:AC35"/>
    <mergeCell ref="AD34:AD35"/>
    <mergeCell ref="AG34:AH35"/>
    <mergeCell ref="AI34:AI35"/>
    <mergeCell ref="AJ34:AJ35"/>
    <mergeCell ref="AI157:AJ157"/>
    <mergeCell ref="Y47:Y48"/>
    <mergeCell ref="AK47:AK48"/>
    <mergeCell ref="AA48:AB49"/>
    <mergeCell ref="AC48:AC49"/>
    <mergeCell ref="AD48:AD49"/>
    <mergeCell ref="AG48:AH49"/>
    <mergeCell ref="AI48:AI49"/>
    <mergeCell ref="Y40:Y41"/>
    <mergeCell ref="AK40:AK41"/>
    <mergeCell ref="AJ41:AJ42"/>
  </mergeCells>
  <conditionalFormatting sqref="D22:Y22">
    <cfRule type="containsText" dxfId="135" priority="66" operator="containsText" text="1">
      <formula>NOT(ISERROR(SEARCH("1",D22)))</formula>
    </cfRule>
  </conditionalFormatting>
  <conditionalFormatting sqref="D23:D87">
    <cfRule type="containsText" dxfId="134" priority="65" operator="containsText" text="1">
      <formula>NOT(ISERROR(SEARCH("1",D23)))</formula>
    </cfRule>
  </conditionalFormatting>
  <conditionalFormatting sqref="Y29">
    <cfRule type="containsText" dxfId="133" priority="64" operator="containsText" text="1">
      <formula>NOT(ISERROR(SEARCH("1",Y29)))</formula>
    </cfRule>
  </conditionalFormatting>
  <conditionalFormatting sqref="F29:X29">
    <cfRule type="containsText" dxfId="132" priority="63" operator="containsText" text="1">
      <formula>NOT(ISERROR(SEARCH("1",F29)))</formula>
    </cfRule>
  </conditionalFormatting>
  <conditionalFormatting sqref="F30:F87">
    <cfRule type="containsText" dxfId="131" priority="62" operator="containsText" text="1">
      <formula>NOT(ISERROR(SEARCH("1",F30)))</formula>
    </cfRule>
  </conditionalFormatting>
  <conditionalFormatting sqref="F30:F87 F29:Y29">
    <cfRule type="containsText" dxfId="130" priority="61" operator="containsText" text="1">
      <formula>NOT(ISERROR(SEARCH("1",F29)))</formula>
    </cfRule>
  </conditionalFormatting>
  <conditionalFormatting sqref="P64:P87 Q64:Y64">
    <cfRule type="containsText" dxfId="129" priority="60" operator="containsText" text="1">
      <formula>NOT(ISERROR(SEARCH("1",P64)))</formula>
    </cfRule>
  </conditionalFormatting>
  <conditionalFormatting sqref="H36:H87 I36:Y36">
    <cfRule type="containsText" dxfId="128" priority="59" operator="containsText" text="1">
      <formula>NOT(ISERROR(SEARCH("1",H36)))</formula>
    </cfRule>
  </conditionalFormatting>
  <conditionalFormatting sqref="J43:Y43 J44:J87">
    <cfRule type="containsText" dxfId="127" priority="58" operator="containsText" text="1">
      <formula>NOT(ISERROR(SEARCH("1",J43)))</formula>
    </cfRule>
  </conditionalFormatting>
  <conditionalFormatting sqref="M50:Y50">
    <cfRule type="containsText" dxfId="126" priority="57" operator="containsText" text="1">
      <formula>NOT(ISERROR(SEARCH("1",M50)))</formula>
    </cfRule>
  </conditionalFormatting>
  <conditionalFormatting sqref="L50:L87">
    <cfRule type="containsText" dxfId="125" priority="56" operator="containsText" text="1">
      <formula>NOT(ISERROR(SEARCH("1",L50)))</formula>
    </cfRule>
  </conditionalFormatting>
  <conditionalFormatting sqref="O57:Y57">
    <cfRule type="containsText" dxfId="124" priority="55" operator="containsText" text="1">
      <formula>NOT(ISERROR(SEARCH("1",O57)))</formula>
    </cfRule>
  </conditionalFormatting>
  <conditionalFormatting sqref="N57:N87">
    <cfRule type="containsText" dxfId="123" priority="54" operator="containsText" text="1">
      <formula>NOT(ISERROR(SEARCH("1",N57)))</formula>
    </cfRule>
  </conditionalFormatting>
  <conditionalFormatting sqref="S71:Y71">
    <cfRule type="containsText" dxfId="122" priority="53" operator="containsText" text="1">
      <formula>NOT(ISERROR(SEARCH("1",S71)))</formula>
    </cfRule>
  </conditionalFormatting>
  <conditionalFormatting sqref="R71:R87">
    <cfRule type="containsText" dxfId="121" priority="52" operator="containsText" text="1">
      <formula>NOT(ISERROR(SEARCH("1",R71)))</formula>
    </cfRule>
  </conditionalFormatting>
  <conditionalFormatting sqref="U78:Y78">
    <cfRule type="containsText" dxfId="120" priority="51" operator="containsText" text="1">
      <formula>NOT(ISERROR(SEARCH("1",U78)))</formula>
    </cfRule>
  </conditionalFormatting>
  <conditionalFormatting sqref="T78:T87">
    <cfRule type="containsText" dxfId="119" priority="50" operator="containsText" text="1">
      <formula>NOT(ISERROR(SEARCH("1",T78)))</formula>
    </cfRule>
  </conditionalFormatting>
  <conditionalFormatting sqref="W85:Y85">
    <cfRule type="containsText" dxfId="118" priority="49" operator="containsText" text="1">
      <formula>NOT(ISERROR(SEARCH("1",W85)))</formula>
    </cfRule>
  </conditionalFormatting>
  <conditionalFormatting sqref="V85:V87">
    <cfRule type="containsText" dxfId="117" priority="48" operator="containsText" text="1">
      <formula>NOT(ISERROR(SEARCH("1",V85)))</formula>
    </cfRule>
  </conditionalFormatting>
  <conditionalFormatting sqref="Y94">
    <cfRule type="containsText" dxfId="116" priority="47" operator="containsText" text="1">
      <formula>NOT(ISERROR(SEARCH("1",Y94)))</formula>
    </cfRule>
  </conditionalFormatting>
  <conditionalFormatting sqref="W94:X94">
    <cfRule type="containsText" dxfId="115" priority="46" operator="containsText" text="1">
      <formula>NOT(ISERROR(SEARCH("1",W94)))</formula>
    </cfRule>
  </conditionalFormatting>
  <conditionalFormatting sqref="V91:V94">
    <cfRule type="containsText" dxfId="114" priority="45" operator="containsText" text="1">
      <formula>NOT(ISERROR(SEARCH("1",V91)))</formula>
    </cfRule>
  </conditionalFormatting>
  <conditionalFormatting sqref="U101:Y101">
    <cfRule type="containsText" dxfId="113" priority="44" operator="containsText" text="1">
      <formula>NOT(ISERROR(SEARCH("1",U101)))</formula>
    </cfRule>
  </conditionalFormatting>
  <conditionalFormatting sqref="T91:T101">
    <cfRule type="containsText" dxfId="112" priority="43" operator="containsText" text="1">
      <formula>NOT(ISERROR(SEARCH("1",T91)))</formula>
    </cfRule>
  </conditionalFormatting>
  <conditionalFormatting sqref="S108:Y108">
    <cfRule type="containsText" dxfId="111" priority="42" operator="containsText" text="1">
      <formula>NOT(ISERROR(SEARCH("1",S108)))</formula>
    </cfRule>
  </conditionalFormatting>
  <conditionalFormatting sqref="R91:R108">
    <cfRule type="containsText" dxfId="110" priority="41" operator="containsText" text="1">
      <formula>NOT(ISERROR(SEARCH("1",R91)))</formula>
    </cfRule>
  </conditionalFormatting>
  <conditionalFormatting sqref="Q115:Y115">
    <cfRule type="containsText" dxfId="109" priority="40" operator="containsText" text="1">
      <formula>NOT(ISERROR(SEARCH("1",Q115)))</formula>
    </cfRule>
  </conditionalFormatting>
  <conditionalFormatting sqref="P91:P115">
    <cfRule type="containsText" dxfId="108" priority="39" operator="containsText" text="1">
      <formula>NOT(ISERROR(SEARCH("1",P91)))</formula>
    </cfRule>
  </conditionalFormatting>
  <conditionalFormatting sqref="AK22:BG22">
    <cfRule type="containsText" dxfId="107" priority="38" operator="containsText" text="1">
      <formula>NOT(ISERROR(SEARCH("1",AK22)))</formula>
    </cfRule>
  </conditionalFormatting>
  <conditionalFormatting sqref="BH22:BH87">
    <cfRule type="containsText" dxfId="106" priority="37" operator="containsText" text="1">
      <formula>NOT(ISERROR(SEARCH("1",BH22)))</formula>
    </cfRule>
  </conditionalFormatting>
  <conditionalFormatting sqref="AK29">
    <cfRule type="containsText" dxfId="105" priority="36" operator="containsText" text="1">
      <formula>NOT(ISERROR(SEARCH("1",AK29)))</formula>
    </cfRule>
  </conditionalFormatting>
  <conditionalFormatting sqref="AL29:BE29">
    <cfRule type="containsText" dxfId="104" priority="35" operator="containsText" text="1">
      <formula>NOT(ISERROR(SEARCH("1",AL29)))</formula>
    </cfRule>
  </conditionalFormatting>
  <conditionalFormatting sqref="BF29:BF87">
    <cfRule type="containsText" dxfId="103" priority="34" operator="containsText" text="1">
      <formula>NOT(ISERROR(SEARCH("1",BF29)))</formula>
    </cfRule>
  </conditionalFormatting>
  <conditionalFormatting sqref="AK36:BC36">
    <cfRule type="containsText" dxfId="102" priority="33" operator="containsText" text="1">
      <formula>NOT(ISERROR(SEARCH("1",AK36)))</formula>
    </cfRule>
  </conditionalFormatting>
  <conditionalFormatting sqref="BD36:BD87">
    <cfRule type="containsText" dxfId="101" priority="32" operator="containsText" text="1">
      <formula>NOT(ISERROR(SEARCH("1",BD36)))</formula>
    </cfRule>
  </conditionalFormatting>
  <conditionalFormatting sqref="AK43:BA43">
    <cfRule type="containsText" dxfId="100" priority="31" operator="containsText" text="1">
      <formula>NOT(ISERROR(SEARCH("1",AK43)))</formula>
    </cfRule>
  </conditionalFormatting>
  <conditionalFormatting sqref="BB43:BB87">
    <cfRule type="containsText" dxfId="99" priority="30" operator="containsText" text="1">
      <formula>NOT(ISERROR(SEARCH("1",BB43)))</formula>
    </cfRule>
  </conditionalFormatting>
  <conditionalFormatting sqref="AK50:AY50">
    <cfRule type="containsText" dxfId="98" priority="29" operator="containsText" text="1">
      <formula>NOT(ISERROR(SEARCH("1",AK50)))</formula>
    </cfRule>
  </conditionalFormatting>
  <conditionalFormatting sqref="AL115:AU115">
    <cfRule type="containsText" dxfId="97" priority="9" operator="containsText" text="1">
      <formula>NOT(ISERROR(SEARCH("1",AL115)))</formula>
    </cfRule>
  </conditionalFormatting>
  <conditionalFormatting sqref="AZ50:AZ87">
    <cfRule type="containsText" dxfId="96" priority="28" operator="containsText" text="1">
      <formula>NOT(ISERROR(SEARCH("1",AZ50)))</formula>
    </cfRule>
  </conditionalFormatting>
  <conditionalFormatting sqref="AK57:AW57">
    <cfRule type="containsText" dxfId="95" priority="27" operator="containsText" text="1">
      <formula>NOT(ISERROR(SEARCH("1",AK57)))</formula>
    </cfRule>
  </conditionalFormatting>
  <conditionalFormatting sqref="AX57:AX87">
    <cfRule type="containsText" dxfId="94" priority="26" operator="containsText" text="1">
      <formula>NOT(ISERROR(SEARCH("1",AX57)))</formula>
    </cfRule>
  </conditionalFormatting>
  <conditionalFormatting sqref="AK64:AU64">
    <cfRule type="containsText" dxfId="93" priority="25" operator="containsText" text="1">
      <formula>NOT(ISERROR(SEARCH("1",AK64)))</formula>
    </cfRule>
  </conditionalFormatting>
  <conditionalFormatting sqref="AV64:AV87">
    <cfRule type="containsText" dxfId="92" priority="24" operator="containsText" text="1">
      <formula>NOT(ISERROR(SEARCH("1",AV64)))</formula>
    </cfRule>
  </conditionalFormatting>
  <conditionalFormatting sqref="AK71:AS71">
    <cfRule type="containsText" dxfId="91" priority="23" operator="containsText" text="1">
      <formula>NOT(ISERROR(SEARCH("1",AK71)))</formula>
    </cfRule>
  </conditionalFormatting>
  <conditionalFormatting sqref="AT71:AT87">
    <cfRule type="containsText" dxfId="90" priority="22" operator="containsText" text="1">
      <formula>NOT(ISERROR(SEARCH("1",AT71)))</formula>
    </cfRule>
  </conditionalFormatting>
  <conditionalFormatting sqref="AK78:AR78">
    <cfRule type="containsText" dxfId="89" priority="21" operator="containsText" text="1">
      <formula>NOT(ISERROR(SEARCH("1",AK78)))</formula>
    </cfRule>
  </conditionalFormatting>
  <conditionalFormatting sqref="AR79:AR87">
    <cfRule type="containsText" dxfId="88" priority="20" operator="containsText" text="1">
      <formula>NOT(ISERROR(SEARCH("1",AR79)))</formula>
    </cfRule>
  </conditionalFormatting>
  <conditionalFormatting sqref="AK85:AO85">
    <cfRule type="containsText" dxfId="87" priority="19" operator="containsText" text="1">
      <formula>NOT(ISERROR(SEARCH("1",AK85)))</formula>
    </cfRule>
  </conditionalFormatting>
  <conditionalFormatting sqref="AP85:AP87">
    <cfRule type="containsText" dxfId="86" priority="18" operator="containsText" text="1">
      <formula>NOT(ISERROR(SEARCH("1",AP85)))</formula>
    </cfRule>
  </conditionalFormatting>
  <conditionalFormatting sqref="AK94:AO94">
    <cfRule type="containsText" dxfId="85" priority="17" operator="containsText" text="1">
      <formula>NOT(ISERROR(SEARCH("1",AK94)))</formula>
    </cfRule>
  </conditionalFormatting>
  <conditionalFormatting sqref="AP91:AP94">
    <cfRule type="containsText" dxfId="84" priority="16" operator="containsText" text="1">
      <formula>NOT(ISERROR(SEARCH("1",AP91)))</formula>
    </cfRule>
  </conditionalFormatting>
  <conditionalFormatting sqref="AK101:AQ101">
    <cfRule type="containsText" dxfId="83" priority="15" operator="containsText" text="1">
      <formula>NOT(ISERROR(SEARCH("1",AK101)))</formula>
    </cfRule>
  </conditionalFormatting>
  <conditionalFormatting sqref="AR91:AR101">
    <cfRule type="containsText" dxfId="82" priority="14" operator="containsText" text="1">
      <formula>NOT(ISERROR(SEARCH("1",AR91)))</formula>
    </cfRule>
  </conditionalFormatting>
  <conditionalFormatting sqref="AK108">
    <cfRule type="containsText" dxfId="81" priority="13" operator="containsText" text="1">
      <formula>NOT(ISERROR(SEARCH("1",AK108)))</formula>
    </cfRule>
  </conditionalFormatting>
  <conditionalFormatting sqref="AL108:AS108">
    <cfRule type="containsText" dxfId="80" priority="12" operator="containsText" text="1">
      <formula>NOT(ISERROR(SEARCH("1",AL108)))</formula>
    </cfRule>
  </conditionalFormatting>
  <conditionalFormatting sqref="AT91:AT108">
    <cfRule type="containsText" dxfId="79" priority="11" operator="containsText" text="1">
      <formula>NOT(ISERROR(SEARCH("1",AT91)))</formula>
    </cfRule>
  </conditionalFormatting>
  <conditionalFormatting sqref="AK115">
    <cfRule type="containsText" dxfId="78" priority="10" operator="containsText" text="1">
      <formula>NOT(ISERROR(SEARCH("1",AK115)))</formula>
    </cfRule>
  </conditionalFormatting>
  <conditionalFormatting sqref="AV91:AV115">
    <cfRule type="containsText" dxfId="77" priority="8" operator="containsText" text="1">
      <formula>NOT(ISERROR(SEARCH("1",AV91)))</formula>
    </cfRule>
  </conditionalFormatting>
  <conditionalFormatting sqref="AB141:AB143">
    <cfRule type="cellIs" dxfId="76" priority="6" operator="equal">
      <formula>"A"</formula>
    </cfRule>
    <cfRule type="cellIs" dxfId="75" priority="7" operator="equal">
      <formula>"A+"</formula>
    </cfRule>
  </conditionalFormatting>
  <conditionalFormatting sqref="X147">
    <cfRule type="containsBlanks" dxfId="74" priority="5">
      <formula>LEN(TRIM(X147))=0</formula>
    </cfRule>
  </conditionalFormatting>
  <conditionalFormatting sqref="X145:AB145">
    <cfRule type="containsBlanks" dxfId="73" priority="4">
      <formula>LEN(TRIM(X145))=0</formula>
    </cfRule>
  </conditionalFormatting>
  <conditionalFormatting sqref="X160">
    <cfRule type="containsBlanks" dxfId="72" priority="3">
      <formula>LEN(TRIM(X160))=0</formula>
    </cfRule>
  </conditionalFormatting>
  <conditionalFormatting sqref="X158:AB158">
    <cfRule type="containsBlanks" dxfId="71" priority="2">
      <formula>LEN(TRIM(X158))=0</formula>
    </cfRule>
  </conditionalFormatting>
  <conditionalFormatting sqref="X159">
    <cfRule type="containsText" dxfId="70" priority="1" operator="containsText" text="Uwaga! Nie ma zastosowanie w tym rozwiązaniu">
      <formula>NOT(ISERROR(SEARCH("Uwaga! Nie ma zastosowanie w tym rozwiązaniu",X159)))</formula>
    </cfRule>
  </conditionalFormatting>
  <dataValidations count="4">
    <dataValidation type="whole" allowBlank="1" showInputMessage="1" showErrorMessage="1" sqref="AC138 AM236" xr:uid="{F5CE8084-39E7-4DB8-AA88-79A551196B6E}">
      <formula1>0</formula1>
      <formula2>99</formula2>
    </dataValidation>
    <dataValidation type="list" allowBlank="1" showInputMessage="1" showErrorMessage="1" sqref="X158:AB158" xr:uid="{DE017973-6591-4349-AA66-3CC756FF427E}">
      <formula1>wybor_E375</formula1>
    </dataValidation>
    <dataValidation type="list" allowBlank="1" showInputMessage="1" showErrorMessage="1" sqref="X137:AB137" xr:uid="{A17F56B6-48C5-4D05-8445-ED8D6A158AA9}">
      <formula1>wybor_centrali</formula1>
    </dataValidation>
    <dataValidation type="list" allowBlank="1" showInputMessage="1" showErrorMessage="1" sqref="X154:AB154" xr:uid="{268C5F35-07B6-4258-ADD9-B1D3BE5E79B6}">
      <formula1>wybor_sterowanie75</formula1>
    </dataValidation>
  </dataValidations>
  <pageMargins left="0.70866141732283472" right="0.70866141732283472" top="0.74803149606299213" bottom="0.74803149606299213" header="0.31496062992125984" footer="0.31496062992125984"/>
  <pageSetup paperSize="9" scale="51"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C3A30-6E18-4D9F-8E9B-B79BFE5E0147}">
  <sheetPr codeName="Arkusz14">
    <tabColor theme="9"/>
  </sheetPr>
  <dimension ref="A1:DA441"/>
  <sheetViews>
    <sheetView zoomScaleNormal="100" workbookViewId="0">
      <pane ySplit="1" topLeftCell="A2" activePane="bottomLeft" state="frozen"/>
      <selection pane="bottomLeft" activeCell="C11" sqref="C11:AC12"/>
    </sheetView>
  </sheetViews>
  <sheetFormatPr defaultRowHeight="14.4"/>
  <cols>
    <col min="1" max="1" width="1" customWidth="1"/>
    <col min="2" max="2" width="2.6640625" customWidth="1"/>
    <col min="3" max="3" width="1" customWidth="1"/>
    <col min="4" max="22" width="0.5546875" style="408" customWidth="1"/>
    <col min="25" max="25" width="9.6640625" customWidth="1"/>
    <col min="26" max="26" width="1.5546875" customWidth="1"/>
    <col min="28" max="28" width="11.109375" customWidth="1"/>
    <col min="31" max="31" width="5.5546875" customWidth="1"/>
    <col min="32" max="32" width="1.6640625" customWidth="1"/>
    <col min="34" max="34" width="11.109375" customWidth="1"/>
    <col min="37" max="39" width="9.6640625" customWidth="1"/>
    <col min="40" max="40" width="1.6640625" customWidth="1"/>
    <col min="41" max="41" width="1" customWidth="1"/>
    <col min="42" max="60" width="0.5546875" style="408" customWidth="1"/>
    <col min="61" max="61" width="2.44140625" customWidth="1"/>
    <col min="62" max="62" width="0.6640625" customWidth="1"/>
    <col min="63" max="105" width="8.88671875" style="13"/>
  </cols>
  <sheetData>
    <row r="1" spans="1:62" ht="22.95" customHeight="1">
      <c r="A1" s="626"/>
      <c r="B1" s="626"/>
      <c r="C1" s="626"/>
      <c r="D1" s="627"/>
      <c r="E1" s="627"/>
      <c r="F1" s="627"/>
      <c r="G1" s="627"/>
      <c r="H1" s="627"/>
      <c r="I1" s="627"/>
      <c r="J1" s="627"/>
      <c r="K1" s="627"/>
      <c r="L1" s="627"/>
      <c r="M1" s="627"/>
      <c r="N1" s="627"/>
      <c r="O1" s="627"/>
      <c r="P1" s="627"/>
      <c r="Q1" s="627"/>
      <c r="R1" s="627"/>
      <c r="S1" s="627"/>
      <c r="T1" s="627"/>
      <c r="U1" s="627"/>
      <c r="V1" s="627"/>
      <c r="W1" s="626"/>
      <c r="X1" s="626"/>
      <c r="Y1" s="626"/>
      <c r="Z1" s="626"/>
      <c r="AA1" s="626"/>
      <c r="AB1" s="626"/>
      <c r="AC1" s="626"/>
      <c r="AD1" s="628" t="s">
        <v>558</v>
      </c>
      <c r="AE1" s="633">
        <f>AM236/100</f>
        <v>0</v>
      </c>
      <c r="AF1" s="626"/>
      <c r="AG1" s="628" t="s">
        <v>559</v>
      </c>
      <c r="AH1" s="633">
        <f>AC138/100</f>
        <v>0</v>
      </c>
      <c r="AI1" s="626"/>
      <c r="AJ1" s="626"/>
      <c r="AK1" s="628" t="s">
        <v>193</v>
      </c>
      <c r="AL1" s="793">
        <f>AK235</f>
        <v>28399</v>
      </c>
      <c r="AM1" s="793"/>
      <c r="AN1" s="626"/>
      <c r="AO1" s="626"/>
      <c r="AP1" s="627"/>
      <c r="AQ1" s="627"/>
      <c r="AR1" s="627"/>
      <c r="AS1" s="627"/>
      <c r="AT1" s="627"/>
      <c r="AU1" s="627"/>
      <c r="AV1" s="627"/>
      <c r="AW1" s="627"/>
      <c r="AX1" s="627"/>
      <c r="AY1" s="627"/>
      <c r="AZ1" s="627"/>
      <c r="BA1" s="627"/>
      <c r="BB1" s="627"/>
      <c r="BC1" s="627"/>
      <c r="BD1" s="627"/>
      <c r="BE1" s="627"/>
      <c r="BF1" s="627"/>
      <c r="BG1" s="627"/>
      <c r="BH1" s="627"/>
      <c r="BI1" s="626"/>
      <c r="BJ1" s="626"/>
    </row>
    <row r="2" spans="1:62">
      <c r="A2" s="261"/>
      <c r="B2" s="267"/>
      <c r="C2" s="267"/>
      <c r="D2" s="405"/>
      <c r="E2" s="405"/>
      <c r="F2" s="405"/>
      <c r="G2" s="405"/>
      <c r="H2" s="405"/>
      <c r="I2" s="405"/>
      <c r="J2" s="405"/>
      <c r="K2" s="405"/>
      <c r="L2" s="405"/>
      <c r="M2" s="405"/>
      <c r="N2" s="405"/>
      <c r="O2" s="405"/>
      <c r="P2" s="405"/>
      <c r="Q2" s="405"/>
      <c r="R2" s="405"/>
      <c r="S2" s="405"/>
      <c r="T2" s="405"/>
      <c r="U2" s="405"/>
      <c r="V2" s="405"/>
      <c r="W2" s="267"/>
      <c r="X2" s="267"/>
      <c r="Y2" s="267"/>
      <c r="Z2" s="267"/>
      <c r="AA2" s="267"/>
      <c r="AB2" s="267"/>
      <c r="AC2" s="267"/>
      <c r="AD2" s="267"/>
      <c r="AE2" s="267"/>
      <c r="AF2" s="267"/>
      <c r="AG2" s="267"/>
      <c r="AH2" s="267"/>
      <c r="AI2" s="267"/>
      <c r="AJ2" s="267"/>
      <c r="AK2" s="262"/>
      <c r="AL2" s="268"/>
      <c r="AM2" s="267"/>
      <c r="AN2" s="267"/>
      <c r="AO2" s="267"/>
      <c r="AP2" s="405"/>
      <c r="AQ2" s="405"/>
      <c r="AR2" s="405"/>
      <c r="AS2" s="405"/>
      <c r="AT2" s="405"/>
      <c r="AU2" s="405"/>
      <c r="AV2" s="405"/>
      <c r="AW2" s="405"/>
      <c r="AX2" s="405"/>
      <c r="AY2" s="405"/>
      <c r="AZ2" s="405"/>
      <c r="BA2" s="405"/>
      <c r="BB2" s="405"/>
      <c r="BC2" s="405"/>
      <c r="BD2" s="405"/>
      <c r="BE2" s="405"/>
      <c r="BF2" s="405"/>
      <c r="BG2" s="405"/>
      <c r="BH2" s="405"/>
      <c r="BI2" s="262"/>
      <c r="BJ2" s="261"/>
    </row>
    <row r="3" spans="1:62">
      <c r="A3" s="261"/>
      <c r="B3" s="267"/>
      <c r="C3" s="267"/>
      <c r="D3" s="405"/>
      <c r="E3" s="405"/>
      <c r="F3" s="405"/>
      <c r="G3" s="405"/>
      <c r="H3" s="405"/>
      <c r="I3" s="405"/>
      <c r="J3" s="405"/>
      <c r="K3" s="405"/>
      <c r="L3" s="405"/>
      <c r="M3" s="405"/>
      <c r="N3" s="405"/>
      <c r="O3" s="405"/>
      <c r="P3" s="405"/>
      <c r="Q3" s="405"/>
      <c r="R3" s="405"/>
      <c r="S3" s="405"/>
      <c r="T3" s="405"/>
      <c r="U3" s="405"/>
      <c r="V3" s="405"/>
      <c r="W3" s="267"/>
      <c r="X3" s="267"/>
      <c r="Y3" s="267"/>
      <c r="Z3" s="267"/>
      <c r="AA3" s="267"/>
      <c r="AB3" s="267"/>
      <c r="AC3" s="267"/>
      <c r="AD3" s="267"/>
      <c r="AE3" s="267"/>
      <c r="AF3" s="267"/>
      <c r="AG3" s="13"/>
      <c r="AH3" s="13"/>
      <c r="AI3" s="267"/>
      <c r="AJ3" s="720" t="s">
        <v>294</v>
      </c>
      <c r="AK3" s="729">
        <f ca="1">TODAY()</f>
        <v>45546</v>
      </c>
      <c r="AL3" s="729"/>
      <c r="AM3" s="722" t="str">
        <f>Dane!S3</f>
        <v>wersja 17/09/2024</v>
      </c>
      <c r="AN3" s="722"/>
      <c r="AO3" s="722"/>
      <c r="AP3" s="722"/>
      <c r="AQ3" s="722"/>
      <c r="AR3" s="722"/>
      <c r="AS3" s="722"/>
      <c r="AT3" s="722"/>
      <c r="AU3" s="722"/>
      <c r="AV3" s="405"/>
      <c r="AW3" s="405"/>
      <c r="AX3" s="405"/>
      <c r="AY3" s="405"/>
      <c r="AZ3" s="405"/>
      <c r="BA3" s="405"/>
      <c r="BB3" s="405"/>
      <c r="BC3" s="405"/>
      <c r="BD3" s="405"/>
      <c r="BE3" s="405"/>
      <c r="BF3" s="405"/>
      <c r="BG3" s="405"/>
      <c r="BH3" s="405"/>
      <c r="BI3" s="262"/>
      <c r="BJ3" s="261"/>
    </row>
    <row r="4" spans="1:62">
      <c r="A4" s="261"/>
      <c r="B4" s="267"/>
      <c r="C4" s="267"/>
      <c r="D4" s="405"/>
      <c r="E4" s="405"/>
      <c r="F4" s="405"/>
      <c r="G4" s="405"/>
      <c r="H4" s="405"/>
      <c r="I4" s="405"/>
      <c r="J4" s="405"/>
      <c r="K4" s="405"/>
      <c r="L4" s="405"/>
      <c r="M4" s="405"/>
      <c r="N4" s="405"/>
      <c r="O4" s="405"/>
      <c r="P4" s="405"/>
      <c r="Q4" s="405"/>
      <c r="R4" s="405"/>
      <c r="S4" s="405"/>
      <c r="T4" s="405"/>
      <c r="U4" s="405"/>
      <c r="V4" s="405"/>
      <c r="W4" s="267"/>
      <c r="X4" s="267"/>
      <c r="Y4" s="267"/>
      <c r="Z4" s="267"/>
      <c r="AA4" s="267"/>
      <c r="AB4" s="267"/>
      <c r="AC4" s="267"/>
      <c r="AD4" s="267"/>
      <c r="AE4" s="267"/>
      <c r="AF4" s="267"/>
      <c r="AG4" s="13"/>
      <c r="AH4" s="13"/>
      <c r="AI4" s="267"/>
      <c r="AJ4" s="720"/>
      <c r="AK4" s="729"/>
      <c r="AL4" s="729"/>
      <c r="AM4" s="722"/>
      <c r="AN4" s="722"/>
      <c r="AO4" s="722"/>
      <c r="AP4" s="722"/>
      <c r="AQ4" s="722"/>
      <c r="AR4" s="722"/>
      <c r="AS4" s="722"/>
      <c r="AT4" s="722"/>
      <c r="AU4" s="722"/>
      <c r="AV4" s="405"/>
      <c r="AW4" s="405"/>
      <c r="AX4" s="405"/>
      <c r="AY4" s="405"/>
      <c r="AZ4" s="405"/>
      <c r="BA4" s="405"/>
      <c r="BB4" s="405"/>
      <c r="BC4" s="405"/>
      <c r="BD4" s="405"/>
      <c r="BE4" s="405"/>
      <c r="BF4" s="405"/>
      <c r="BG4" s="405"/>
      <c r="BH4" s="405"/>
      <c r="BI4" s="262"/>
      <c r="BJ4" s="261"/>
    </row>
    <row r="5" spans="1:62">
      <c r="A5" s="261"/>
      <c r="B5" s="262"/>
      <c r="C5" s="262"/>
      <c r="D5" s="406"/>
      <c r="E5" s="406"/>
      <c r="F5" s="406"/>
      <c r="G5" s="406"/>
      <c r="H5" s="406"/>
      <c r="I5" s="406"/>
      <c r="J5" s="406"/>
      <c r="K5" s="406"/>
      <c r="L5" s="406"/>
      <c r="M5" s="406"/>
      <c r="N5" s="406"/>
      <c r="O5" s="406"/>
      <c r="P5" s="406"/>
      <c r="Q5" s="406"/>
      <c r="R5" s="406"/>
      <c r="S5" s="406"/>
      <c r="T5" s="406"/>
      <c r="U5" s="406"/>
      <c r="V5" s="406"/>
      <c r="W5" s="262"/>
      <c r="X5" s="262"/>
      <c r="Y5" s="262"/>
      <c r="Z5" s="262"/>
      <c r="AA5" s="262"/>
      <c r="AB5" s="262"/>
      <c r="AC5" s="262"/>
      <c r="AD5" s="262"/>
      <c r="AE5" s="262"/>
      <c r="AF5" s="262"/>
      <c r="AG5" s="262"/>
      <c r="AH5" s="262"/>
      <c r="AI5" s="262"/>
      <c r="AJ5" s="262"/>
      <c r="AK5" s="262"/>
      <c r="AL5" s="262"/>
      <c r="AM5" s="262"/>
      <c r="AN5" s="262"/>
      <c r="AO5" s="262"/>
      <c r="AP5" s="406"/>
      <c r="AQ5" s="406"/>
      <c r="AR5" s="406"/>
      <c r="AS5" s="406"/>
      <c r="AT5" s="406"/>
      <c r="AU5" s="406"/>
      <c r="AV5" s="406"/>
      <c r="AW5" s="406"/>
      <c r="AX5" s="406"/>
      <c r="AY5" s="406"/>
      <c r="AZ5" s="406"/>
      <c r="BA5" s="406"/>
      <c r="BB5" s="406"/>
      <c r="BC5" s="406"/>
      <c r="BD5" s="406"/>
      <c r="BE5" s="406"/>
      <c r="BF5" s="406"/>
      <c r="BG5" s="406"/>
      <c r="BH5" s="406"/>
      <c r="BI5" s="262"/>
      <c r="BJ5" s="261"/>
    </row>
    <row r="6" spans="1:62">
      <c r="A6" s="261"/>
      <c r="B6" s="263"/>
      <c r="C6" s="263"/>
      <c r="D6" s="407"/>
      <c r="E6" s="407"/>
      <c r="F6" s="407"/>
      <c r="G6" s="407"/>
      <c r="H6" s="407"/>
      <c r="I6" s="407"/>
      <c r="J6" s="407"/>
      <c r="K6" s="407"/>
      <c r="L6" s="407"/>
      <c r="M6" s="407"/>
      <c r="N6" s="407"/>
      <c r="O6" s="407"/>
      <c r="P6" s="407"/>
      <c r="Q6" s="407"/>
      <c r="R6" s="407"/>
      <c r="S6" s="407"/>
      <c r="T6" s="407"/>
      <c r="U6" s="407"/>
      <c r="V6" s="407"/>
      <c r="W6" s="263"/>
      <c r="X6" s="263"/>
      <c r="Y6" s="263"/>
      <c r="Z6" s="263"/>
      <c r="AA6" s="263"/>
      <c r="AB6" s="263"/>
      <c r="AC6" s="263"/>
      <c r="AD6" s="263"/>
      <c r="AE6" s="263"/>
      <c r="AF6" s="263"/>
      <c r="AG6" s="263"/>
      <c r="AH6" s="263"/>
      <c r="AI6" s="263"/>
      <c r="AJ6" s="263"/>
      <c r="AK6" s="263"/>
      <c r="AL6" s="263"/>
      <c r="AM6" s="263"/>
      <c r="AN6" s="263"/>
      <c r="AO6" s="263"/>
      <c r="AP6" s="407"/>
      <c r="AQ6" s="407"/>
      <c r="AR6" s="407"/>
      <c r="AS6" s="407"/>
      <c r="AT6" s="407"/>
      <c r="AU6" s="407"/>
      <c r="AV6" s="407"/>
      <c r="AW6" s="407"/>
      <c r="AX6" s="407"/>
      <c r="AY6" s="407"/>
      <c r="AZ6" s="407"/>
      <c r="BA6" s="407"/>
      <c r="BB6" s="407"/>
      <c r="BC6" s="407"/>
      <c r="BD6" s="407"/>
      <c r="BE6" s="407"/>
      <c r="BF6" s="407"/>
      <c r="BG6" s="407"/>
      <c r="BH6" s="407"/>
      <c r="BI6" s="263"/>
      <c r="BJ6" s="261"/>
    </row>
    <row r="7" spans="1:62">
      <c r="A7" s="261"/>
      <c r="B7" s="263"/>
      <c r="C7" s="263"/>
      <c r="D7" s="407"/>
      <c r="E7" s="407"/>
      <c r="F7" s="407"/>
      <c r="G7" s="407"/>
      <c r="H7" s="407"/>
      <c r="I7" s="407"/>
      <c r="J7" s="407"/>
      <c r="K7" s="407"/>
      <c r="L7" s="407"/>
      <c r="M7" s="407"/>
      <c r="N7" s="407"/>
      <c r="O7" s="407"/>
      <c r="P7" s="407"/>
      <c r="Q7" s="407"/>
      <c r="R7" s="407"/>
      <c r="S7" s="407"/>
      <c r="T7" s="407"/>
      <c r="U7" s="407"/>
      <c r="V7" s="407"/>
      <c r="W7" s="263"/>
      <c r="X7" s="263"/>
      <c r="Y7" s="263"/>
      <c r="Z7" s="263"/>
      <c r="AA7" s="263"/>
      <c r="AB7" s="263"/>
      <c r="AC7" s="263"/>
      <c r="AD7" s="263"/>
      <c r="AE7" s="263"/>
      <c r="AF7" s="263"/>
      <c r="AG7" s="263"/>
      <c r="AH7" s="263"/>
      <c r="AI7" s="263"/>
      <c r="AJ7" s="263"/>
      <c r="AK7" s="263"/>
      <c r="AL7" s="263"/>
      <c r="AM7" s="263"/>
      <c r="AN7" s="263"/>
      <c r="AO7" s="263"/>
      <c r="AP7" s="407"/>
      <c r="AQ7" s="407"/>
      <c r="AR7" s="407"/>
      <c r="AS7" s="407"/>
      <c r="AT7" s="407"/>
      <c r="AU7" s="407"/>
      <c r="AV7" s="407"/>
      <c r="AW7" s="407"/>
      <c r="AX7" s="407"/>
      <c r="AY7" s="407"/>
      <c r="AZ7" s="407"/>
      <c r="BA7" s="407"/>
      <c r="BB7" s="407"/>
      <c r="BC7" s="407"/>
      <c r="BD7" s="407"/>
      <c r="BE7" s="407"/>
      <c r="BF7" s="407"/>
      <c r="BG7" s="407"/>
      <c r="BH7" s="407"/>
      <c r="BI7" s="263"/>
      <c r="BJ7" s="261"/>
    </row>
    <row r="8" spans="1:62">
      <c r="A8" s="261"/>
      <c r="B8" s="263"/>
      <c r="C8" s="723" t="s">
        <v>545</v>
      </c>
      <c r="D8" s="723"/>
      <c r="E8" s="723"/>
      <c r="F8" s="723"/>
      <c r="G8" s="723"/>
      <c r="H8" s="723"/>
      <c r="I8" s="723"/>
      <c r="J8" s="723"/>
      <c r="K8" s="723"/>
      <c r="L8" s="723"/>
      <c r="M8" s="723"/>
      <c r="N8" s="723"/>
      <c r="O8" s="723"/>
      <c r="P8" s="723"/>
      <c r="Q8" s="723"/>
      <c r="R8" s="723"/>
      <c r="S8" s="723"/>
      <c r="T8" s="723"/>
      <c r="U8" s="723"/>
      <c r="V8" s="723"/>
      <c r="W8" s="723"/>
      <c r="X8" s="723"/>
      <c r="Y8" s="723"/>
      <c r="Z8" s="723"/>
      <c r="AA8" s="723"/>
      <c r="AB8" s="723"/>
      <c r="AC8" s="723"/>
      <c r="AD8" s="723"/>
      <c r="AE8" s="723"/>
      <c r="AF8" s="723"/>
      <c r="AG8" s="723"/>
      <c r="AH8" s="723"/>
      <c r="AI8" s="723"/>
      <c r="AJ8" s="723"/>
      <c r="AK8" s="263"/>
      <c r="AL8" s="263"/>
      <c r="AM8" s="263"/>
      <c r="AN8" s="263"/>
      <c r="AO8" s="263"/>
      <c r="AP8" s="263"/>
      <c r="AQ8" s="263"/>
      <c r="AR8" s="263"/>
      <c r="AS8" s="263"/>
      <c r="AT8" s="263"/>
      <c r="AU8" s="263"/>
      <c r="AV8" s="263"/>
      <c r="AW8" s="263"/>
      <c r="AX8" s="263"/>
      <c r="AY8" s="263"/>
      <c r="AZ8" s="263"/>
      <c r="BA8" s="263"/>
      <c r="BB8" s="263"/>
      <c r="BC8" s="263"/>
      <c r="BD8" s="263"/>
      <c r="BE8" s="263"/>
      <c r="BF8" s="263"/>
      <c r="BG8" s="263"/>
      <c r="BH8" s="263"/>
      <c r="BI8" s="263"/>
      <c r="BJ8" s="261"/>
    </row>
    <row r="9" spans="1:62">
      <c r="A9" s="261"/>
      <c r="B9" s="263"/>
      <c r="C9" s="723"/>
      <c r="D9" s="723"/>
      <c r="E9" s="723"/>
      <c r="F9" s="723"/>
      <c r="G9" s="723"/>
      <c r="H9" s="723"/>
      <c r="I9" s="723"/>
      <c r="J9" s="723"/>
      <c r="K9" s="723"/>
      <c r="L9" s="723"/>
      <c r="M9" s="723"/>
      <c r="N9" s="723"/>
      <c r="O9" s="723"/>
      <c r="P9" s="723"/>
      <c r="Q9" s="723"/>
      <c r="R9" s="723"/>
      <c r="S9" s="723"/>
      <c r="T9" s="723"/>
      <c r="U9" s="723"/>
      <c r="V9" s="723"/>
      <c r="W9" s="723"/>
      <c r="X9" s="723"/>
      <c r="Y9" s="723"/>
      <c r="Z9" s="723"/>
      <c r="AA9" s="723"/>
      <c r="AB9" s="723"/>
      <c r="AC9" s="723"/>
      <c r="AD9" s="723"/>
      <c r="AE9" s="723"/>
      <c r="AF9" s="723"/>
      <c r="AG9" s="723"/>
      <c r="AH9" s="723"/>
      <c r="AI9" s="723"/>
      <c r="AJ9" s="723"/>
      <c r="AK9" s="263"/>
      <c r="AL9" s="263"/>
      <c r="AM9" s="263"/>
      <c r="AN9" s="263"/>
      <c r="AO9" s="263"/>
      <c r="AP9" s="263"/>
      <c r="AQ9" s="263"/>
      <c r="AR9" s="263"/>
      <c r="AS9" s="263"/>
      <c r="AT9" s="263"/>
      <c r="AU9" s="263"/>
      <c r="AV9" s="263"/>
      <c r="AW9" s="263"/>
      <c r="AX9" s="263"/>
      <c r="AY9" s="263"/>
      <c r="AZ9" s="263"/>
      <c r="BA9" s="263"/>
      <c r="BB9" s="263"/>
      <c r="BC9" s="263"/>
      <c r="BD9" s="263"/>
      <c r="BE9" s="263"/>
      <c r="BF9" s="263"/>
      <c r="BG9" s="263"/>
      <c r="BH9" s="263"/>
      <c r="BI9" s="263"/>
      <c r="BJ9" s="261"/>
    </row>
    <row r="10" spans="1:62">
      <c r="A10" s="261"/>
      <c r="B10" s="263"/>
      <c r="C10" s="263"/>
      <c r="D10" s="407"/>
      <c r="E10" s="407"/>
      <c r="F10" s="407"/>
      <c r="G10" s="407"/>
      <c r="H10" s="407"/>
      <c r="I10" s="407"/>
      <c r="J10" s="407"/>
      <c r="K10" s="407"/>
      <c r="L10" s="407"/>
      <c r="M10" s="407"/>
      <c r="N10" s="407"/>
      <c r="O10" s="407"/>
      <c r="P10" s="407"/>
      <c r="Q10" s="407"/>
      <c r="R10" s="407"/>
      <c r="S10" s="407"/>
      <c r="T10" s="407"/>
      <c r="U10" s="407"/>
      <c r="V10" s="407"/>
      <c r="W10" s="263"/>
      <c r="X10" s="263"/>
      <c r="Y10" s="263"/>
      <c r="Z10" s="263"/>
      <c r="AA10" s="263"/>
      <c r="AB10" s="263"/>
      <c r="AC10" s="263"/>
      <c r="AD10" s="263"/>
      <c r="AE10" s="263"/>
      <c r="AF10" s="263"/>
      <c r="AG10" s="263"/>
      <c r="AH10" s="263"/>
      <c r="AI10" s="263"/>
      <c r="AJ10" s="263"/>
      <c r="AK10" s="263"/>
      <c r="AL10" s="263"/>
      <c r="AM10" s="263"/>
      <c r="AN10" s="263"/>
      <c r="AO10" s="263"/>
      <c r="AP10" s="407"/>
      <c r="AQ10" s="407"/>
      <c r="AR10" s="407"/>
      <c r="AS10" s="407"/>
      <c r="AT10" s="407"/>
      <c r="AU10" s="407"/>
      <c r="AV10" s="407"/>
      <c r="AW10" s="407"/>
      <c r="AX10" s="407"/>
      <c r="AY10" s="407"/>
      <c r="AZ10" s="407"/>
      <c r="BA10" s="407"/>
      <c r="BB10" s="407"/>
      <c r="BC10" s="407"/>
      <c r="BD10" s="407"/>
      <c r="BE10" s="407"/>
      <c r="BF10" s="407"/>
      <c r="BG10" s="407"/>
      <c r="BH10" s="407"/>
      <c r="BI10" s="263"/>
      <c r="BJ10" s="261"/>
    </row>
    <row r="11" spans="1:62">
      <c r="A11" s="261"/>
      <c r="B11" s="263"/>
      <c r="C11" s="724" t="s">
        <v>374</v>
      </c>
      <c r="D11" s="724"/>
      <c r="E11" s="724"/>
      <c r="F11" s="724"/>
      <c r="G11" s="724"/>
      <c r="H11" s="724"/>
      <c r="I11" s="724"/>
      <c r="J11" s="724"/>
      <c r="K11" s="724"/>
      <c r="L11" s="724"/>
      <c r="M11" s="724"/>
      <c r="N11" s="724"/>
      <c r="O11" s="724"/>
      <c r="P11" s="724"/>
      <c r="Q11" s="724"/>
      <c r="R11" s="724"/>
      <c r="S11" s="724"/>
      <c r="T11" s="724"/>
      <c r="U11" s="724"/>
      <c r="V11" s="724"/>
      <c r="W11" s="724"/>
      <c r="X11" s="724"/>
      <c r="Y11" s="724"/>
      <c r="Z11" s="724"/>
      <c r="AA11" s="724"/>
      <c r="AB11" s="724"/>
      <c r="AC11" s="724"/>
      <c r="AD11" s="396"/>
      <c r="AE11" s="263"/>
      <c r="AF11" s="263"/>
      <c r="AG11" s="263"/>
      <c r="AH11" s="263"/>
      <c r="AI11" s="263"/>
      <c r="AJ11" s="263"/>
      <c r="AK11" s="263"/>
      <c r="AL11" s="263"/>
      <c r="AM11" s="263"/>
      <c r="AN11" s="263"/>
      <c r="AO11" s="263"/>
      <c r="AP11" s="263"/>
      <c r="AQ11" s="263"/>
      <c r="AR11" s="263"/>
      <c r="AS11" s="263"/>
      <c r="AT11" s="263"/>
      <c r="AU11" s="263"/>
      <c r="AV11" s="263"/>
      <c r="AW11" s="263"/>
      <c r="AX11" s="263"/>
      <c r="AY11" s="263"/>
      <c r="AZ11" s="263"/>
      <c r="BA11" s="263"/>
      <c r="BB11" s="263"/>
      <c r="BC11" s="263"/>
      <c r="BD11" s="263"/>
      <c r="BE11" s="263"/>
      <c r="BF11" s="263"/>
      <c r="BG11" s="263"/>
      <c r="BH11" s="263"/>
      <c r="BI11" s="263"/>
      <c r="BJ11" s="261"/>
    </row>
    <row r="12" spans="1:62">
      <c r="A12" s="261"/>
      <c r="B12" s="263"/>
      <c r="C12" s="725"/>
      <c r="D12" s="725"/>
      <c r="E12" s="725"/>
      <c r="F12" s="725"/>
      <c r="G12" s="725"/>
      <c r="H12" s="725"/>
      <c r="I12" s="725"/>
      <c r="J12" s="725"/>
      <c r="K12" s="725"/>
      <c r="L12" s="725"/>
      <c r="M12" s="725"/>
      <c r="N12" s="725"/>
      <c r="O12" s="725"/>
      <c r="P12" s="725"/>
      <c r="Q12" s="725"/>
      <c r="R12" s="725"/>
      <c r="S12" s="725"/>
      <c r="T12" s="725"/>
      <c r="U12" s="725"/>
      <c r="V12" s="725"/>
      <c r="W12" s="725"/>
      <c r="X12" s="725"/>
      <c r="Y12" s="725"/>
      <c r="Z12" s="725"/>
      <c r="AA12" s="725"/>
      <c r="AB12" s="725"/>
      <c r="AC12" s="725"/>
      <c r="AD12" s="396"/>
      <c r="AE12" s="263"/>
      <c r="AF12" s="263"/>
      <c r="AG12" s="263"/>
      <c r="AH12" s="263"/>
      <c r="AI12" s="263"/>
      <c r="AJ12" s="263"/>
      <c r="AK12" s="263"/>
      <c r="AL12" s="263"/>
      <c r="AM12" s="263"/>
      <c r="AN12" s="263"/>
      <c r="AO12" s="263"/>
      <c r="AP12" s="263"/>
      <c r="AQ12" s="263"/>
      <c r="AR12" s="263"/>
      <c r="AS12" s="263"/>
      <c r="AT12" s="263"/>
      <c r="AU12" s="263"/>
      <c r="AV12" s="263"/>
      <c r="AW12" s="263"/>
      <c r="AX12" s="263"/>
      <c r="AY12" s="263"/>
      <c r="AZ12" s="263"/>
      <c r="BA12" s="263"/>
      <c r="BB12" s="263"/>
      <c r="BC12" s="263"/>
      <c r="BD12" s="263"/>
      <c r="BE12" s="263"/>
      <c r="BF12" s="263"/>
      <c r="BG12" s="263"/>
      <c r="BH12" s="263"/>
      <c r="BI12" s="263"/>
      <c r="BJ12" s="261"/>
    </row>
    <row r="13" spans="1:62">
      <c r="A13" s="261"/>
      <c r="B13" s="263"/>
      <c r="C13" s="263"/>
      <c r="D13" s="407"/>
      <c r="E13" s="407"/>
      <c r="F13" s="407"/>
      <c r="G13" s="407"/>
      <c r="H13" s="407"/>
      <c r="I13" s="407"/>
      <c r="J13" s="407"/>
      <c r="K13" s="407"/>
      <c r="L13" s="407"/>
      <c r="M13" s="407"/>
      <c r="N13" s="407"/>
      <c r="O13" s="407"/>
      <c r="P13" s="407"/>
      <c r="Q13" s="407"/>
      <c r="R13" s="407"/>
      <c r="S13" s="407"/>
      <c r="T13" s="407"/>
      <c r="U13" s="407"/>
      <c r="V13" s="407"/>
      <c r="W13" s="263"/>
      <c r="X13" s="263"/>
      <c r="Y13" s="263"/>
      <c r="Z13" s="263"/>
      <c r="AA13" s="263"/>
      <c r="AB13" s="263"/>
      <c r="AC13" s="263"/>
      <c r="AD13" s="263"/>
      <c r="AE13" s="263"/>
      <c r="AF13" s="263"/>
      <c r="AG13" s="263"/>
      <c r="AH13" s="263"/>
      <c r="AI13" s="263"/>
      <c r="AJ13" s="263"/>
      <c r="AK13" s="263"/>
      <c r="AL13" s="263"/>
      <c r="AM13" s="263"/>
      <c r="AN13" s="263"/>
      <c r="AO13" s="263"/>
      <c r="AP13" s="407"/>
      <c r="AQ13" s="407"/>
      <c r="AR13" s="407"/>
      <c r="AS13" s="407"/>
      <c r="AT13" s="407"/>
      <c r="AU13" s="407"/>
      <c r="AV13" s="407"/>
      <c r="AW13" s="407"/>
      <c r="AX13" s="407"/>
      <c r="AY13" s="407"/>
      <c r="AZ13" s="407"/>
      <c r="BA13" s="407"/>
      <c r="BB13" s="407"/>
      <c r="BC13" s="407"/>
      <c r="BD13" s="407"/>
      <c r="BE13" s="407"/>
      <c r="BF13" s="407"/>
      <c r="BG13" s="407"/>
      <c r="BH13" s="407"/>
      <c r="BI13" s="263"/>
      <c r="BJ13" s="261"/>
    </row>
    <row r="14" spans="1:62">
      <c r="A14" s="261"/>
      <c r="B14" s="263"/>
      <c r="C14" s="263"/>
      <c r="D14" s="407"/>
      <c r="E14" s="407"/>
      <c r="F14" s="407"/>
      <c r="G14" s="407"/>
      <c r="H14" s="407"/>
      <c r="I14" s="407"/>
      <c r="J14" s="407"/>
      <c r="K14" s="407"/>
      <c r="L14" s="407"/>
      <c r="M14" s="407"/>
      <c r="N14" s="407"/>
      <c r="O14" s="407"/>
      <c r="P14" s="407"/>
      <c r="Q14" s="407"/>
      <c r="R14" s="407"/>
      <c r="S14" s="407"/>
      <c r="T14" s="407"/>
      <c r="U14" s="407"/>
      <c r="V14" s="407"/>
      <c r="W14" s="263"/>
      <c r="X14" s="263"/>
      <c r="Y14" s="263"/>
      <c r="Z14" s="263"/>
      <c r="AA14" s="263"/>
      <c r="AB14" s="263"/>
      <c r="AC14" s="263"/>
      <c r="AD14" s="263"/>
      <c r="AE14" s="263"/>
      <c r="AF14" s="263"/>
      <c r="AG14" s="263"/>
      <c r="AH14" s="263"/>
      <c r="AI14" s="263"/>
      <c r="AJ14" s="263"/>
      <c r="AK14" s="263"/>
      <c r="AL14" s="263"/>
      <c r="AM14" s="263"/>
      <c r="AN14" s="263"/>
      <c r="AO14" s="263"/>
      <c r="AP14" s="407"/>
      <c r="AQ14" s="407"/>
      <c r="AR14" s="407"/>
      <c r="AS14" s="407"/>
      <c r="AT14" s="407"/>
      <c r="AU14" s="407"/>
      <c r="AV14" s="407"/>
      <c r="AW14" s="407"/>
      <c r="AX14" s="407"/>
      <c r="AY14" s="407"/>
      <c r="AZ14" s="407"/>
      <c r="BA14" s="407"/>
      <c r="BB14" s="407"/>
      <c r="BC14" s="407"/>
      <c r="BD14" s="407"/>
      <c r="BE14" s="407"/>
      <c r="BF14" s="407"/>
      <c r="BG14" s="407"/>
      <c r="BH14" s="407"/>
      <c r="BI14" s="263"/>
      <c r="BJ14" s="261"/>
    </row>
    <row r="15" spans="1:62">
      <c r="A15" s="261"/>
      <c r="B15" s="262"/>
      <c r="C15" s="262"/>
      <c r="D15" s="406"/>
      <c r="E15" s="406"/>
      <c r="F15" s="406"/>
      <c r="G15" s="406"/>
      <c r="H15" s="406"/>
      <c r="I15" s="406"/>
      <c r="J15" s="406"/>
      <c r="K15" s="406"/>
      <c r="L15" s="406"/>
      <c r="M15" s="406"/>
      <c r="N15" s="406"/>
      <c r="O15" s="406"/>
      <c r="P15" s="406"/>
      <c r="Q15" s="406"/>
      <c r="R15" s="406"/>
      <c r="S15" s="406"/>
      <c r="T15" s="406"/>
      <c r="U15" s="406"/>
      <c r="V15" s="406"/>
      <c r="W15" s="262"/>
      <c r="X15" s="262"/>
      <c r="Y15" s="262"/>
      <c r="Z15" s="262"/>
      <c r="AA15" s="262"/>
      <c r="AB15" s="262"/>
      <c r="AC15" s="262"/>
      <c r="AD15" s="262"/>
      <c r="AE15" s="262"/>
      <c r="AF15" s="262"/>
      <c r="AG15" s="262"/>
      <c r="AH15" s="262"/>
      <c r="AI15" s="262"/>
      <c r="AJ15" s="262"/>
      <c r="AK15" s="262"/>
      <c r="AL15" s="262"/>
      <c r="AM15" s="262"/>
      <c r="AN15" s="262"/>
      <c r="AO15" s="262"/>
      <c r="AP15" s="406"/>
      <c r="AQ15" s="406"/>
      <c r="AR15" s="406"/>
      <c r="AS15" s="406"/>
      <c r="AT15" s="406"/>
      <c r="AU15" s="406"/>
      <c r="AV15" s="406"/>
      <c r="AW15" s="406"/>
      <c r="AX15" s="406"/>
      <c r="AY15" s="406"/>
      <c r="AZ15" s="406"/>
      <c r="BA15" s="406"/>
      <c r="BB15" s="406"/>
      <c r="BC15" s="406"/>
      <c r="BD15" s="406"/>
      <c r="BE15" s="406"/>
      <c r="BF15" s="406"/>
      <c r="BG15" s="406"/>
      <c r="BH15" s="406"/>
      <c r="BI15" s="262"/>
      <c r="BJ15" s="261"/>
    </row>
    <row r="16" spans="1:62">
      <c r="A16" s="261"/>
      <c r="B16" s="262"/>
      <c r="C16" s="262"/>
      <c r="D16" s="406"/>
      <c r="E16" s="406"/>
      <c r="F16" s="406"/>
      <c r="G16" s="406"/>
      <c r="H16" s="406"/>
      <c r="I16" s="406"/>
      <c r="J16" s="406"/>
      <c r="K16" s="406"/>
      <c r="L16" s="406"/>
      <c r="M16" s="406"/>
      <c r="N16" s="406"/>
      <c r="O16" s="406"/>
      <c r="P16" s="406"/>
      <c r="Q16" s="406"/>
      <c r="R16" s="406"/>
      <c r="S16" s="406"/>
      <c r="T16" s="406"/>
      <c r="U16" s="406"/>
      <c r="V16" s="406"/>
      <c r="W16" s="262"/>
      <c r="X16" s="262"/>
      <c r="Y16" s="262"/>
      <c r="Z16" s="262"/>
      <c r="AA16" s="262"/>
      <c r="AB16" s="262"/>
      <c r="AC16" s="262"/>
      <c r="AD16" s="262"/>
      <c r="AE16" s="262"/>
      <c r="AF16" s="262"/>
      <c r="AG16" s="262"/>
      <c r="AH16" s="262"/>
      <c r="AI16" s="262"/>
      <c r="AJ16" s="262"/>
      <c r="AK16" s="262"/>
      <c r="AL16" s="262"/>
      <c r="AM16" s="262"/>
      <c r="AN16" s="262"/>
      <c r="AO16" s="262"/>
      <c r="AP16" s="406"/>
      <c r="AQ16" s="406"/>
      <c r="AR16" s="406"/>
      <c r="AS16" s="406"/>
      <c r="AT16" s="406"/>
      <c r="AU16" s="406"/>
      <c r="AV16" s="406"/>
      <c r="AW16" s="406"/>
      <c r="AX16" s="406"/>
      <c r="AY16" s="406"/>
      <c r="AZ16" s="406"/>
      <c r="BA16" s="406"/>
      <c r="BB16" s="406"/>
      <c r="BC16" s="406"/>
      <c r="BD16" s="406"/>
      <c r="BE16" s="406"/>
      <c r="BF16" s="406"/>
      <c r="BG16" s="406"/>
      <c r="BH16" s="406"/>
      <c r="BI16" s="262"/>
      <c r="BJ16" s="261"/>
    </row>
    <row r="17" spans="1:62">
      <c r="A17" s="261"/>
      <c r="B17" s="262"/>
      <c r="C17" s="262"/>
      <c r="D17" s="406"/>
      <c r="E17" s="406"/>
      <c r="F17" s="406"/>
      <c r="G17" s="406"/>
      <c r="H17" s="406"/>
      <c r="I17" s="406"/>
      <c r="J17" s="406"/>
      <c r="K17" s="406"/>
      <c r="L17" s="406"/>
      <c r="M17" s="406"/>
      <c r="N17" s="406"/>
      <c r="O17" s="406"/>
      <c r="P17" s="406"/>
      <c r="Q17" s="406"/>
      <c r="R17" s="406"/>
      <c r="S17" s="406"/>
      <c r="T17" s="406"/>
      <c r="U17" s="406"/>
      <c r="V17" s="406"/>
      <c r="W17" s="262"/>
      <c r="X17" s="262"/>
      <c r="Y17" s="262"/>
      <c r="Z17" s="788" t="s">
        <v>398</v>
      </c>
      <c r="AA17" s="788"/>
      <c r="AB17" s="788"/>
      <c r="AC17" s="788"/>
      <c r="AD17" s="788"/>
      <c r="AE17" s="262"/>
      <c r="AF17" s="788" t="s">
        <v>397</v>
      </c>
      <c r="AG17" s="788"/>
      <c r="AH17" s="788"/>
      <c r="AI17" s="788"/>
      <c r="AJ17" s="788"/>
      <c r="AK17" s="262"/>
      <c r="AL17" s="262"/>
      <c r="AM17" s="262"/>
      <c r="AN17" s="262"/>
      <c r="AO17" s="262"/>
      <c r="AP17" s="406"/>
      <c r="AQ17" s="406"/>
      <c r="AR17" s="406"/>
      <c r="AS17" s="406"/>
      <c r="AT17" s="406"/>
      <c r="AU17" s="406"/>
      <c r="AV17" s="406"/>
      <c r="AW17" s="406"/>
      <c r="AX17" s="406"/>
      <c r="AY17" s="406"/>
      <c r="AZ17" s="406"/>
      <c r="BA17" s="406"/>
      <c r="BB17" s="406"/>
      <c r="BC17" s="406"/>
      <c r="BD17" s="406"/>
      <c r="BE17" s="406"/>
      <c r="BF17" s="406"/>
      <c r="BG17" s="406"/>
      <c r="BH17" s="406"/>
      <c r="BI17" s="262"/>
      <c r="BJ17" s="261"/>
    </row>
    <row r="18" spans="1:62">
      <c r="A18" s="265"/>
      <c r="B18" s="289"/>
      <c r="C18" s="289"/>
      <c r="D18" s="409"/>
      <c r="E18" s="409"/>
      <c r="F18" s="409"/>
      <c r="G18" s="409"/>
      <c r="H18" s="409"/>
      <c r="I18" s="409"/>
      <c r="J18" s="409"/>
      <c r="K18" s="409"/>
      <c r="L18" s="409"/>
      <c r="M18" s="409"/>
      <c r="N18" s="409"/>
      <c r="O18" s="409"/>
      <c r="P18" s="409"/>
      <c r="Q18" s="409"/>
      <c r="R18" s="409"/>
      <c r="S18" s="409"/>
      <c r="T18" s="409"/>
      <c r="U18" s="409"/>
      <c r="V18" s="409"/>
      <c r="W18" s="289"/>
      <c r="X18" s="289"/>
      <c r="Y18" s="289"/>
      <c r="Z18" s="289"/>
      <c r="AA18" s="289"/>
      <c r="AB18" s="289"/>
      <c r="AC18" s="289"/>
      <c r="AD18" s="289"/>
      <c r="AE18" s="289"/>
      <c r="AF18" s="289"/>
      <c r="AG18" s="289"/>
      <c r="AH18" s="289"/>
      <c r="AI18" s="289"/>
      <c r="AJ18" s="289"/>
      <c r="AK18" s="289"/>
      <c r="AL18" s="289"/>
      <c r="AM18" s="289"/>
      <c r="AN18" s="289"/>
      <c r="AO18" s="289"/>
      <c r="AP18" s="409"/>
      <c r="AQ18" s="409"/>
      <c r="AR18" s="409"/>
      <c r="AS18" s="409"/>
      <c r="AT18" s="409"/>
      <c r="AU18" s="409"/>
      <c r="AV18" s="409"/>
      <c r="AW18" s="409"/>
      <c r="AX18" s="409"/>
      <c r="AY18" s="409"/>
      <c r="AZ18" s="409"/>
      <c r="BA18" s="409"/>
      <c r="BB18" s="409"/>
      <c r="BC18" s="409"/>
      <c r="BD18" s="409"/>
      <c r="BE18" s="409"/>
      <c r="BF18" s="409"/>
      <c r="BG18" s="409"/>
      <c r="BH18" s="409"/>
      <c r="BI18" s="266"/>
      <c r="BJ18" s="265"/>
    </row>
    <row r="19" spans="1:62" ht="6" customHeight="1">
      <c r="A19" s="265"/>
      <c r="B19" s="289"/>
      <c r="C19" s="289"/>
      <c r="D19" s="409"/>
      <c r="E19" s="409"/>
      <c r="F19" s="409"/>
      <c r="G19" s="409"/>
      <c r="H19" s="409"/>
      <c r="I19" s="409"/>
      <c r="J19" s="409"/>
      <c r="K19" s="409"/>
      <c r="L19" s="409"/>
      <c r="M19" s="409"/>
      <c r="N19" s="409"/>
      <c r="O19" s="409"/>
      <c r="P19" s="409"/>
      <c r="Q19" s="409"/>
      <c r="R19" s="409"/>
      <c r="S19" s="409"/>
      <c r="T19" s="409"/>
      <c r="U19" s="409"/>
      <c r="V19" s="409"/>
      <c r="W19" s="289"/>
      <c r="X19" s="289"/>
      <c r="Y19" s="789" t="str">
        <f>IF(Obliczenia!E61="10","",Obliczenia!E61)</f>
        <v>0.1</v>
      </c>
      <c r="Z19" s="397"/>
      <c r="AA19" s="397"/>
      <c r="AB19" s="397"/>
      <c r="AC19" s="397"/>
      <c r="AD19" s="397"/>
      <c r="AE19" s="289"/>
      <c r="AF19" s="395"/>
      <c r="AG19" s="395"/>
      <c r="AH19" s="395"/>
      <c r="AI19" s="395"/>
      <c r="AJ19" s="395"/>
      <c r="AK19" s="789" t="str">
        <f>IF(Obliczenia!E37="10","",Obliczenia!E37)</f>
        <v>0.9</v>
      </c>
      <c r="AL19" s="289"/>
      <c r="AM19" s="289"/>
      <c r="AN19" s="289"/>
      <c r="AO19" s="289"/>
      <c r="AP19" s="409"/>
      <c r="AQ19" s="409"/>
      <c r="AR19" s="409"/>
      <c r="AS19" s="409"/>
      <c r="AT19" s="409"/>
      <c r="AU19" s="409"/>
      <c r="AV19" s="409"/>
      <c r="AW19" s="409"/>
      <c r="AX19" s="409"/>
      <c r="AY19" s="409"/>
      <c r="AZ19" s="409"/>
      <c r="BA19" s="409"/>
      <c r="BB19" s="409"/>
      <c r="BC19" s="409"/>
      <c r="BD19" s="409"/>
      <c r="BE19" s="409"/>
      <c r="BF19" s="409"/>
      <c r="BG19" s="409"/>
      <c r="BH19" s="409"/>
      <c r="BI19" s="266"/>
      <c r="BJ19" s="265"/>
    </row>
    <row r="20" spans="1:62" ht="14.4" customHeight="1">
      <c r="A20" s="265"/>
      <c r="B20" s="289"/>
      <c r="C20" s="289"/>
      <c r="D20" s="409"/>
      <c r="E20" s="409"/>
      <c r="F20" s="409"/>
      <c r="G20" s="409"/>
      <c r="H20" s="409"/>
      <c r="I20" s="409"/>
      <c r="J20" s="409"/>
      <c r="K20" s="409"/>
      <c r="L20" s="409"/>
      <c r="M20" s="409"/>
      <c r="N20" s="409"/>
      <c r="O20" s="409"/>
      <c r="P20" s="409"/>
      <c r="Q20" s="409"/>
      <c r="R20" s="409"/>
      <c r="S20" s="409"/>
      <c r="T20" s="409"/>
      <c r="U20" s="409"/>
      <c r="V20" s="409"/>
      <c r="W20" s="289"/>
      <c r="X20" s="4" t="str">
        <f>IF(Y19&lt;&gt;"","1","")</f>
        <v>1</v>
      </c>
      <c r="Y20" s="789"/>
      <c r="Z20" s="397"/>
      <c r="AA20" s="772" t="str">
        <f>IF(Y19="","",VLOOKUP(Y19,big_tabela,3,0))</f>
        <v>Wiatrołap</v>
      </c>
      <c r="AB20" s="772"/>
      <c r="AC20" s="773">
        <f>IF(Y19="","",VLOOKUP(Y19,big_tabela,12,0))</f>
        <v>15</v>
      </c>
      <c r="AD20" s="774" t="s">
        <v>373</v>
      </c>
      <c r="AE20" s="289"/>
      <c r="AF20" s="395"/>
      <c r="AG20" s="783" t="str">
        <f>IF(AK19="","",VLOOKUP(AK19,big_tabela,3,0))</f>
        <v>Sypialnia</v>
      </c>
      <c r="AH20" s="783"/>
      <c r="AI20" s="784">
        <f>IF(AK19="","",VLOOKUP(AK19,big_tabela,12,0))</f>
        <v>60</v>
      </c>
      <c r="AJ20" s="767" t="s">
        <v>373</v>
      </c>
      <c r="AK20" s="789"/>
      <c r="AL20" s="4" t="str">
        <f>IF(AK19&lt;&gt;"","1","")</f>
        <v>1</v>
      </c>
      <c r="AM20" s="289"/>
      <c r="AN20" s="289"/>
      <c r="AO20" s="289"/>
      <c r="AP20" s="409"/>
      <c r="AQ20" s="409"/>
      <c r="AR20" s="409"/>
      <c r="AS20" s="409"/>
      <c r="AT20" s="409"/>
      <c r="AU20" s="409"/>
      <c r="AV20" s="409"/>
      <c r="AW20" s="409"/>
      <c r="AX20" s="409"/>
      <c r="AY20" s="409"/>
      <c r="AZ20" s="409"/>
      <c r="BA20" s="409"/>
      <c r="BB20" s="409"/>
      <c r="BC20" s="409"/>
      <c r="BD20" s="409"/>
      <c r="BE20" s="409"/>
      <c r="BF20" s="409"/>
      <c r="BG20" s="409"/>
      <c r="BH20" s="409"/>
      <c r="BI20" s="266"/>
      <c r="BJ20" s="265"/>
    </row>
    <row r="21" spans="1:62" ht="14.4" customHeight="1">
      <c r="A21" s="265"/>
      <c r="B21" s="289"/>
      <c r="C21" s="289"/>
      <c r="D21" s="409"/>
      <c r="E21" s="409"/>
      <c r="F21" s="409"/>
      <c r="G21" s="409"/>
      <c r="H21" s="409"/>
      <c r="I21" s="409"/>
      <c r="J21" s="409"/>
      <c r="K21" s="409"/>
      <c r="L21" s="409"/>
      <c r="M21" s="409"/>
      <c r="N21" s="409"/>
      <c r="O21" s="409"/>
      <c r="P21" s="409"/>
      <c r="Q21" s="409"/>
      <c r="R21" s="409"/>
      <c r="S21" s="409"/>
      <c r="T21" s="409"/>
      <c r="U21" s="409"/>
      <c r="V21" s="409"/>
      <c r="W21" s="494" t="str">
        <f>IF(Y19="","","Φ90")</f>
        <v>Φ90</v>
      </c>
      <c r="X21" s="495" t="str">
        <f>IF(Y19="","","x"&amp;VLOOKUP(Y19,big_tabela,53,0))</f>
        <v>x1</v>
      </c>
      <c r="Y21" s="403" t="str">
        <f>IF(Y19="","","◄")</f>
        <v>◄</v>
      </c>
      <c r="Z21" s="397"/>
      <c r="AA21" s="772"/>
      <c r="AB21" s="772"/>
      <c r="AC21" s="794"/>
      <c r="AD21" s="795"/>
      <c r="AE21" s="289"/>
      <c r="AF21" s="395"/>
      <c r="AG21" s="783"/>
      <c r="AH21" s="783"/>
      <c r="AI21" s="784"/>
      <c r="AJ21" s="767"/>
      <c r="AK21" s="402" t="str">
        <f>IF(AK19="","","◄")</f>
        <v>◄</v>
      </c>
      <c r="AL21" s="494" t="str">
        <f>IF(AK19="","","Φ90")</f>
        <v>Φ90</v>
      </c>
      <c r="AM21" s="495" t="str">
        <f>IF(AK19="","","x"&amp;VLOOKUP(AK19,big_tabela,52,0))</f>
        <v>x2</v>
      </c>
      <c r="AN21" s="289"/>
      <c r="AO21" s="289"/>
      <c r="AP21" s="409"/>
      <c r="AQ21" s="409"/>
      <c r="AR21" s="409"/>
      <c r="AS21" s="409"/>
      <c r="AT21" s="409"/>
      <c r="AU21" s="409"/>
      <c r="AV21" s="409"/>
      <c r="AW21" s="409"/>
      <c r="AX21" s="409"/>
      <c r="AY21" s="409"/>
      <c r="AZ21" s="409"/>
      <c r="BA21" s="409"/>
      <c r="BB21" s="409"/>
      <c r="BC21" s="409"/>
      <c r="BD21" s="409"/>
      <c r="BE21" s="409"/>
      <c r="BF21" s="409"/>
      <c r="BG21" s="409"/>
      <c r="BH21" s="409"/>
      <c r="BI21" s="266"/>
      <c r="BJ21" s="265"/>
    </row>
    <row r="22" spans="1:62" ht="3" customHeight="1">
      <c r="A22" s="265"/>
      <c r="B22" s="289"/>
      <c r="C22" s="404"/>
      <c r="D22" s="418" t="str">
        <f>$X$20</f>
        <v>1</v>
      </c>
      <c r="E22" s="418" t="str">
        <f>$X$20</f>
        <v>1</v>
      </c>
      <c r="F22" s="418" t="str">
        <f t="shared" ref="F22:Y22" si="0">$X$20</f>
        <v>1</v>
      </c>
      <c r="G22" s="418" t="str">
        <f t="shared" si="0"/>
        <v>1</v>
      </c>
      <c r="H22" s="418" t="str">
        <f t="shared" si="0"/>
        <v>1</v>
      </c>
      <c r="I22" s="418" t="str">
        <f t="shared" si="0"/>
        <v>1</v>
      </c>
      <c r="J22" s="418" t="str">
        <f t="shared" si="0"/>
        <v>1</v>
      </c>
      <c r="K22" s="418" t="str">
        <f t="shared" si="0"/>
        <v>1</v>
      </c>
      <c r="L22" s="418" t="str">
        <f t="shared" si="0"/>
        <v>1</v>
      </c>
      <c r="M22" s="418" t="str">
        <f t="shared" si="0"/>
        <v>1</v>
      </c>
      <c r="N22" s="418" t="str">
        <f t="shared" si="0"/>
        <v>1</v>
      </c>
      <c r="O22" s="418" t="str">
        <f t="shared" si="0"/>
        <v>1</v>
      </c>
      <c r="P22" s="418" t="str">
        <f t="shared" si="0"/>
        <v>1</v>
      </c>
      <c r="Q22" s="418" t="str">
        <f t="shared" si="0"/>
        <v>1</v>
      </c>
      <c r="R22" s="418" t="str">
        <f t="shared" si="0"/>
        <v>1</v>
      </c>
      <c r="S22" s="418" t="str">
        <f t="shared" si="0"/>
        <v>1</v>
      </c>
      <c r="T22" s="418" t="str">
        <f t="shared" si="0"/>
        <v>1</v>
      </c>
      <c r="U22" s="418" t="str">
        <f t="shared" si="0"/>
        <v>1</v>
      </c>
      <c r="V22" s="418" t="str">
        <f t="shared" si="0"/>
        <v>1</v>
      </c>
      <c r="W22" s="418" t="str">
        <f t="shared" si="0"/>
        <v>1</v>
      </c>
      <c r="X22" s="418" t="str">
        <f t="shared" si="0"/>
        <v>1</v>
      </c>
      <c r="Y22" s="418" t="str">
        <f t="shared" si="0"/>
        <v>1</v>
      </c>
      <c r="Z22" s="397"/>
      <c r="AA22" s="412"/>
      <c r="AB22" s="412"/>
      <c r="AC22" s="415"/>
      <c r="AD22" s="416"/>
      <c r="AE22" s="289"/>
      <c r="AF22" s="395"/>
      <c r="AG22" s="421"/>
      <c r="AH22" s="421"/>
      <c r="AI22" s="413"/>
      <c r="AJ22" s="414"/>
      <c r="AK22" s="418" t="str">
        <f>$AL$20</f>
        <v>1</v>
      </c>
      <c r="AL22" s="418" t="str">
        <f t="shared" ref="AL22:BH37" si="1">$AL$20</f>
        <v>1</v>
      </c>
      <c r="AM22" s="418" t="str">
        <f t="shared" si="1"/>
        <v>1</v>
      </c>
      <c r="AN22" s="418" t="str">
        <f t="shared" si="1"/>
        <v>1</v>
      </c>
      <c r="AO22" s="418" t="str">
        <f t="shared" si="1"/>
        <v>1</v>
      </c>
      <c r="AP22" s="418" t="str">
        <f t="shared" si="1"/>
        <v>1</v>
      </c>
      <c r="AQ22" s="418" t="str">
        <f t="shared" si="1"/>
        <v>1</v>
      </c>
      <c r="AR22" s="418" t="str">
        <f t="shared" si="1"/>
        <v>1</v>
      </c>
      <c r="AS22" s="418" t="str">
        <f t="shared" si="1"/>
        <v>1</v>
      </c>
      <c r="AT22" s="418" t="str">
        <f t="shared" si="1"/>
        <v>1</v>
      </c>
      <c r="AU22" s="418" t="str">
        <f t="shared" si="1"/>
        <v>1</v>
      </c>
      <c r="AV22" s="418" t="str">
        <f t="shared" si="1"/>
        <v>1</v>
      </c>
      <c r="AW22" s="418" t="str">
        <f t="shared" si="1"/>
        <v>1</v>
      </c>
      <c r="AX22" s="418" t="str">
        <f t="shared" si="1"/>
        <v>1</v>
      </c>
      <c r="AY22" s="418" t="str">
        <f t="shared" si="1"/>
        <v>1</v>
      </c>
      <c r="AZ22" s="418" t="str">
        <f t="shared" si="1"/>
        <v>1</v>
      </c>
      <c r="BA22" s="418" t="str">
        <f t="shared" si="1"/>
        <v>1</v>
      </c>
      <c r="BB22" s="418" t="str">
        <f t="shared" si="1"/>
        <v>1</v>
      </c>
      <c r="BC22" s="418" t="str">
        <f t="shared" si="1"/>
        <v>1</v>
      </c>
      <c r="BD22" s="418" t="str">
        <f t="shared" si="1"/>
        <v>1</v>
      </c>
      <c r="BE22" s="418" t="str">
        <f t="shared" si="1"/>
        <v>1</v>
      </c>
      <c r="BF22" s="418" t="str">
        <f t="shared" si="1"/>
        <v>1</v>
      </c>
      <c r="BG22" s="418" t="str">
        <f t="shared" si="1"/>
        <v>1</v>
      </c>
      <c r="BH22" s="418" t="str">
        <f t="shared" si="1"/>
        <v>1</v>
      </c>
      <c r="BI22" s="266"/>
      <c r="BJ22" s="265"/>
    </row>
    <row r="23" spans="1:62" ht="14.4" customHeight="1">
      <c r="A23" s="265"/>
      <c r="B23" s="289"/>
      <c r="C23" s="289"/>
      <c r="D23" s="418" t="str">
        <f t="shared" ref="D23:D86" si="2">$X$20</f>
        <v>1</v>
      </c>
      <c r="E23" s="418"/>
      <c r="F23" s="418"/>
      <c r="G23" s="418"/>
      <c r="H23" s="418"/>
      <c r="I23" s="418"/>
      <c r="J23" s="418"/>
      <c r="K23" s="418"/>
      <c r="L23" s="418"/>
      <c r="M23" s="418"/>
      <c r="N23" s="418"/>
      <c r="O23" s="418"/>
      <c r="P23" s="418"/>
      <c r="Q23" s="418"/>
      <c r="R23" s="418"/>
      <c r="S23" s="418"/>
      <c r="T23" s="418"/>
      <c r="U23" s="418"/>
      <c r="V23" s="418"/>
      <c r="W23" s="289"/>
      <c r="X23" s="289"/>
      <c r="Y23" s="289"/>
      <c r="Z23" s="397"/>
      <c r="AA23" s="399" t="str">
        <f>IF(Y19="","",VLOOKUP(Y19,big_tabela,4,0))</f>
        <v/>
      </c>
      <c r="AB23" s="400"/>
      <c r="AC23" s="634" t="str">
        <f>IF(Y19="","","anemostat")</f>
        <v>anemostat</v>
      </c>
      <c r="AD23" s="416" t="str">
        <f>IF(Y19="","","x"&amp;VLOOKUP(Y19,big_tabela,56,0))</f>
        <v>x1</v>
      </c>
      <c r="AE23" s="289"/>
      <c r="AF23" s="395"/>
      <c r="AG23" s="398" t="str">
        <f>IF(AK19="","",VLOOKUP(AK19,big_tabela,4,0))</f>
        <v/>
      </c>
      <c r="AH23" s="417"/>
      <c r="AI23" s="635" t="str">
        <f>IF(AK19="","","anemostat")</f>
        <v>anemostat</v>
      </c>
      <c r="AJ23" s="414" t="str">
        <f>IF(AK19="","","x"&amp;VLOOKUP(AK19,big_tabela,55,0))</f>
        <v>x2</v>
      </c>
      <c r="AK23" s="401"/>
      <c r="AL23" s="289"/>
      <c r="AM23" s="289"/>
      <c r="AN23" s="289"/>
      <c r="AO23" s="289"/>
      <c r="AP23" s="409"/>
      <c r="AQ23" s="409"/>
      <c r="AR23" s="409"/>
      <c r="AS23" s="409"/>
      <c r="AT23" s="409"/>
      <c r="AU23" s="409"/>
      <c r="AV23" s="409"/>
      <c r="AW23" s="409"/>
      <c r="AX23" s="409"/>
      <c r="AY23" s="409"/>
      <c r="AZ23" s="409"/>
      <c r="BA23" s="409"/>
      <c r="BB23" s="409"/>
      <c r="BC23" s="409"/>
      <c r="BD23" s="409"/>
      <c r="BE23" s="409"/>
      <c r="BF23" s="409"/>
      <c r="BG23" s="409"/>
      <c r="BH23" s="418" t="str">
        <f t="shared" si="1"/>
        <v>1</v>
      </c>
      <c r="BI23" s="266"/>
      <c r="BJ23" s="265"/>
    </row>
    <row r="24" spans="1:62" ht="6" customHeight="1">
      <c r="A24" s="265"/>
      <c r="B24" s="289"/>
      <c r="C24" s="289"/>
      <c r="D24" s="418" t="str">
        <f t="shared" si="2"/>
        <v>1</v>
      </c>
      <c r="E24" s="418"/>
      <c r="F24" s="418"/>
      <c r="G24" s="418"/>
      <c r="H24" s="418"/>
      <c r="I24" s="418"/>
      <c r="J24" s="418"/>
      <c r="K24" s="418"/>
      <c r="L24" s="418"/>
      <c r="M24" s="418"/>
      <c r="N24" s="418"/>
      <c r="O24" s="418"/>
      <c r="P24" s="418"/>
      <c r="Q24" s="418"/>
      <c r="R24" s="418"/>
      <c r="S24" s="418"/>
      <c r="T24" s="418"/>
      <c r="U24" s="418"/>
      <c r="V24" s="418"/>
      <c r="W24" s="289"/>
      <c r="X24" s="289"/>
      <c r="Y24" s="289"/>
      <c r="Z24" s="397"/>
      <c r="AA24" s="397"/>
      <c r="AB24" s="397"/>
      <c r="AC24" s="397"/>
      <c r="AD24" s="397"/>
      <c r="AE24" s="289"/>
      <c r="AF24" s="395"/>
      <c r="AG24" s="395"/>
      <c r="AH24" s="395"/>
      <c r="AI24" s="395"/>
      <c r="AJ24" s="395"/>
      <c r="AK24" s="289"/>
      <c r="AL24" s="289"/>
      <c r="AM24" s="289"/>
      <c r="AN24" s="289"/>
      <c r="AO24" s="289"/>
      <c r="AP24" s="409"/>
      <c r="AQ24" s="409"/>
      <c r="AR24" s="409"/>
      <c r="AS24" s="409"/>
      <c r="AT24" s="409"/>
      <c r="AU24" s="409"/>
      <c r="AV24" s="409"/>
      <c r="AW24" s="409"/>
      <c r="AX24" s="409"/>
      <c r="AY24" s="409"/>
      <c r="AZ24" s="409"/>
      <c r="BA24" s="409"/>
      <c r="BB24" s="409"/>
      <c r="BC24" s="409"/>
      <c r="BD24" s="409"/>
      <c r="BE24" s="409"/>
      <c r="BF24" s="409"/>
      <c r="BG24" s="409"/>
      <c r="BH24" s="418" t="str">
        <f t="shared" si="1"/>
        <v>1</v>
      </c>
      <c r="BI24" s="266"/>
      <c r="BJ24" s="265"/>
    </row>
    <row r="25" spans="1:62">
      <c r="A25" s="265"/>
      <c r="B25" s="289"/>
      <c r="C25" s="289"/>
      <c r="D25" s="418" t="str">
        <f t="shared" si="2"/>
        <v>1</v>
      </c>
      <c r="E25" s="418"/>
      <c r="F25" s="418"/>
      <c r="G25" s="418"/>
      <c r="H25" s="418"/>
      <c r="I25" s="418"/>
      <c r="J25" s="418"/>
      <c r="K25" s="418"/>
      <c r="L25" s="418"/>
      <c r="M25" s="418"/>
      <c r="N25" s="418"/>
      <c r="O25" s="418"/>
      <c r="P25" s="418"/>
      <c r="Q25" s="418"/>
      <c r="R25" s="418"/>
      <c r="S25" s="418"/>
      <c r="T25" s="418"/>
      <c r="U25" s="418"/>
      <c r="V25" s="418"/>
      <c r="W25" s="289"/>
      <c r="X25" s="289"/>
      <c r="Y25" s="289"/>
      <c r="Z25" s="289"/>
      <c r="AA25" s="289"/>
      <c r="AB25" s="289"/>
      <c r="AC25" s="289"/>
      <c r="AD25" s="289"/>
      <c r="AE25" s="289"/>
      <c r="AF25" s="289"/>
      <c r="AG25" s="289"/>
      <c r="AH25" s="289"/>
      <c r="AI25" s="289"/>
      <c r="AJ25" s="289"/>
      <c r="AK25" s="289"/>
      <c r="AL25" s="289"/>
      <c r="AM25" s="289"/>
      <c r="AN25" s="289"/>
      <c r="AO25" s="289"/>
      <c r="AP25" s="409"/>
      <c r="AQ25" s="409"/>
      <c r="AR25" s="409"/>
      <c r="AS25" s="409"/>
      <c r="AT25" s="409"/>
      <c r="AU25" s="409"/>
      <c r="AV25" s="409"/>
      <c r="AW25" s="409"/>
      <c r="AX25" s="409"/>
      <c r="AY25" s="409"/>
      <c r="AZ25" s="409"/>
      <c r="BA25" s="409"/>
      <c r="BB25" s="409"/>
      <c r="BC25" s="409"/>
      <c r="BD25" s="409"/>
      <c r="BE25" s="409"/>
      <c r="BF25" s="409"/>
      <c r="BG25" s="409"/>
      <c r="BH25" s="418" t="str">
        <f t="shared" si="1"/>
        <v>1</v>
      </c>
      <c r="BI25" s="266"/>
      <c r="BJ25" s="265"/>
    </row>
    <row r="26" spans="1:62" ht="6" customHeight="1">
      <c r="A26" s="265"/>
      <c r="B26" s="289"/>
      <c r="C26" s="289"/>
      <c r="D26" s="418" t="str">
        <f t="shared" si="2"/>
        <v>1</v>
      </c>
      <c r="E26" s="418"/>
      <c r="F26" s="418"/>
      <c r="G26" s="418"/>
      <c r="H26" s="418"/>
      <c r="I26" s="418"/>
      <c r="J26" s="418"/>
      <c r="K26" s="418"/>
      <c r="L26" s="418"/>
      <c r="M26" s="418"/>
      <c r="N26" s="418"/>
      <c r="O26" s="418"/>
      <c r="P26" s="418"/>
      <c r="Q26" s="418"/>
      <c r="R26" s="418"/>
      <c r="S26" s="418"/>
      <c r="T26" s="418"/>
      <c r="U26" s="418"/>
      <c r="V26" s="418"/>
      <c r="W26" s="289"/>
      <c r="X26" s="289"/>
      <c r="Y26" s="789" t="str">
        <f>IF(Obliczenia!E62="10","",Obliczenia!E62)</f>
        <v>0.5</v>
      </c>
      <c r="Z26" s="397"/>
      <c r="AA26" s="397"/>
      <c r="AB26" s="397"/>
      <c r="AC26" s="397"/>
      <c r="AD26" s="397"/>
      <c r="AE26" s="289"/>
      <c r="AF26" s="395"/>
      <c r="AG26" s="395"/>
      <c r="AH26" s="395"/>
      <c r="AI26" s="395"/>
      <c r="AJ26" s="395"/>
      <c r="AK26" s="789" t="str">
        <f>IF(Obliczenia!E38="10","",Obliczenia!E38)</f>
        <v>0.12</v>
      </c>
      <c r="AL26" s="289"/>
      <c r="AM26" s="289"/>
      <c r="AN26" s="289"/>
      <c r="AO26" s="289"/>
      <c r="AP26" s="409"/>
      <c r="AQ26" s="409"/>
      <c r="AR26" s="409"/>
      <c r="AS26" s="409"/>
      <c r="AT26" s="409"/>
      <c r="AU26" s="409"/>
      <c r="AV26" s="409"/>
      <c r="AW26" s="409"/>
      <c r="AX26" s="409"/>
      <c r="AY26" s="409"/>
      <c r="AZ26" s="409"/>
      <c r="BA26" s="409"/>
      <c r="BB26" s="409"/>
      <c r="BC26" s="409"/>
      <c r="BD26" s="409"/>
      <c r="BE26" s="409"/>
      <c r="BF26" s="409"/>
      <c r="BG26" s="409"/>
      <c r="BH26" s="418" t="str">
        <f t="shared" si="1"/>
        <v>1</v>
      </c>
      <c r="BI26" s="266"/>
      <c r="BJ26" s="265"/>
    </row>
    <row r="27" spans="1:62" ht="14.4" customHeight="1">
      <c r="A27" s="265"/>
      <c r="B27" s="289"/>
      <c r="C27" s="289"/>
      <c r="D27" s="418" t="str">
        <f t="shared" si="2"/>
        <v>1</v>
      </c>
      <c r="E27" s="418"/>
      <c r="F27" s="418"/>
      <c r="G27" s="418"/>
      <c r="H27" s="418"/>
      <c r="I27" s="418"/>
      <c r="J27" s="418"/>
      <c r="K27" s="418"/>
      <c r="L27" s="418"/>
      <c r="M27" s="418"/>
      <c r="N27" s="418"/>
      <c r="O27" s="418"/>
      <c r="P27" s="418"/>
      <c r="Q27" s="418"/>
      <c r="R27" s="418"/>
      <c r="S27" s="418"/>
      <c r="T27" s="418"/>
      <c r="U27" s="418"/>
      <c r="V27" s="418"/>
      <c r="W27" s="289"/>
      <c r="X27" s="4" t="str">
        <f>IF(Y26&lt;&gt;"","1","")</f>
        <v>1</v>
      </c>
      <c r="Y27" s="789"/>
      <c r="Z27" s="397"/>
      <c r="AA27" s="772" t="str">
        <f>IF(Y26="","",VLOOKUP(Y26,big_tabela,3,0))</f>
        <v>WC (bez wanny lub kabiny prysznicowej)</v>
      </c>
      <c r="AB27" s="772"/>
      <c r="AC27" s="773">
        <f>IF(Y26="","",VLOOKUP(Y26,big_tabela,12,0))</f>
        <v>30</v>
      </c>
      <c r="AD27" s="774" t="s">
        <v>373</v>
      </c>
      <c r="AE27" s="289"/>
      <c r="AF27" s="395"/>
      <c r="AG27" s="783" t="str">
        <f>IF(AK26="","",VLOOKUP(AK26,big_tabela,3,0))</f>
        <v>Sypialnia</v>
      </c>
      <c r="AH27" s="783"/>
      <c r="AI27" s="784">
        <f>IF(AK26="","",VLOOKUP(AK26,big_tabela,12,0))</f>
        <v>30</v>
      </c>
      <c r="AJ27" s="767" t="s">
        <v>373</v>
      </c>
      <c r="AK27" s="789"/>
      <c r="AL27" s="4" t="str">
        <f>IF(AK26&lt;&gt;"","1","")</f>
        <v>1</v>
      </c>
      <c r="AM27" s="289"/>
      <c r="AN27" s="289"/>
      <c r="AO27" s="289"/>
      <c r="AP27" s="409"/>
      <c r="AQ27" s="409"/>
      <c r="AR27" s="409"/>
      <c r="AS27" s="409"/>
      <c r="AT27" s="409"/>
      <c r="AU27" s="409"/>
      <c r="AV27" s="409"/>
      <c r="AW27" s="409"/>
      <c r="AX27" s="409"/>
      <c r="AY27" s="409"/>
      <c r="AZ27" s="409"/>
      <c r="BA27" s="409"/>
      <c r="BB27" s="409"/>
      <c r="BC27" s="409"/>
      <c r="BD27" s="409"/>
      <c r="BE27" s="409"/>
      <c r="BF27" s="409"/>
      <c r="BG27" s="409"/>
      <c r="BH27" s="418" t="str">
        <f t="shared" si="1"/>
        <v>1</v>
      </c>
      <c r="BI27" s="266"/>
      <c r="BJ27" s="265"/>
    </row>
    <row r="28" spans="1:62" ht="14.4" customHeight="1">
      <c r="A28" s="265"/>
      <c r="B28" s="289"/>
      <c r="C28" s="289"/>
      <c r="D28" s="418" t="str">
        <f t="shared" si="2"/>
        <v>1</v>
      </c>
      <c r="E28" s="418"/>
      <c r="F28" s="418"/>
      <c r="G28" s="418"/>
      <c r="H28" s="418"/>
      <c r="I28" s="418"/>
      <c r="J28" s="418"/>
      <c r="K28" s="418"/>
      <c r="L28" s="418"/>
      <c r="M28" s="418"/>
      <c r="N28" s="418"/>
      <c r="O28" s="418"/>
      <c r="P28" s="418"/>
      <c r="Q28" s="418"/>
      <c r="R28" s="418"/>
      <c r="S28" s="418"/>
      <c r="T28" s="418"/>
      <c r="U28" s="418"/>
      <c r="V28" s="418"/>
      <c r="W28" s="494" t="str">
        <f>IF(Y26="","","Φ90")</f>
        <v>Φ90</v>
      </c>
      <c r="X28" s="495" t="str">
        <f>IF(Y26="","","x"&amp;VLOOKUP(Y26,big_tabela,53,0))</f>
        <v>x1</v>
      </c>
      <c r="Y28" s="403" t="str">
        <f>IF(Y26="","","◄")</f>
        <v>◄</v>
      </c>
      <c r="Z28" s="397"/>
      <c r="AA28" s="772"/>
      <c r="AB28" s="772"/>
      <c r="AC28" s="773"/>
      <c r="AD28" s="774"/>
      <c r="AE28" s="289"/>
      <c r="AF28" s="395"/>
      <c r="AG28" s="783"/>
      <c r="AH28" s="783"/>
      <c r="AI28" s="784"/>
      <c r="AJ28" s="767"/>
      <c r="AK28" s="402" t="str">
        <f>IF(AK26="","","◄")</f>
        <v>◄</v>
      </c>
      <c r="AL28" s="494" t="str">
        <f>IF(AK26="","","Φ90")</f>
        <v>Φ90</v>
      </c>
      <c r="AM28" s="495" t="str">
        <f>IF(AK26="","","x"&amp;VLOOKUP(AK26,big_tabela,52,0))</f>
        <v>x1</v>
      </c>
      <c r="AN28" s="289"/>
      <c r="AO28" s="289"/>
      <c r="AP28" s="409"/>
      <c r="AQ28" s="409"/>
      <c r="AR28" s="409"/>
      <c r="AS28" s="409"/>
      <c r="AT28" s="409"/>
      <c r="AU28" s="409"/>
      <c r="AV28" s="409"/>
      <c r="AW28" s="409"/>
      <c r="AX28" s="409"/>
      <c r="AY28" s="409"/>
      <c r="AZ28" s="409"/>
      <c r="BA28" s="409"/>
      <c r="BB28" s="409"/>
      <c r="BC28" s="409"/>
      <c r="BD28" s="409"/>
      <c r="BE28" s="409"/>
      <c r="BF28" s="409"/>
      <c r="BG28" s="409"/>
      <c r="BH28" s="418" t="str">
        <f t="shared" si="1"/>
        <v>1</v>
      </c>
      <c r="BI28" s="266"/>
      <c r="BJ28" s="265"/>
    </row>
    <row r="29" spans="1:62" ht="3" customHeight="1">
      <c r="A29" s="265"/>
      <c r="B29" s="289"/>
      <c r="C29" s="404"/>
      <c r="D29" s="418" t="str">
        <f t="shared" si="2"/>
        <v>1</v>
      </c>
      <c r="E29" s="418"/>
      <c r="F29" s="418" t="str">
        <f t="shared" ref="F29:X44" si="3">$X$27</f>
        <v>1</v>
      </c>
      <c r="G29" s="418" t="str">
        <f t="shared" si="3"/>
        <v>1</v>
      </c>
      <c r="H29" s="418" t="str">
        <f t="shared" si="3"/>
        <v>1</v>
      </c>
      <c r="I29" s="418" t="str">
        <f t="shared" si="3"/>
        <v>1</v>
      </c>
      <c r="J29" s="418" t="str">
        <f t="shared" si="3"/>
        <v>1</v>
      </c>
      <c r="K29" s="418" t="str">
        <f t="shared" si="3"/>
        <v>1</v>
      </c>
      <c r="L29" s="418" t="str">
        <f t="shared" si="3"/>
        <v>1</v>
      </c>
      <c r="M29" s="418" t="str">
        <f t="shared" si="3"/>
        <v>1</v>
      </c>
      <c r="N29" s="418" t="str">
        <f t="shared" si="3"/>
        <v>1</v>
      </c>
      <c r="O29" s="418" t="str">
        <f t="shared" si="3"/>
        <v>1</v>
      </c>
      <c r="P29" s="418" t="str">
        <f t="shared" si="3"/>
        <v>1</v>
      </c>
      <c r="Q29" s="418" t="str">
        <f t="shared" si="3"/>
        <v>1</v>
      </c>
      <c r="R29" s="418" t="str">
        <f t="shared" si="3"/>
        <v>1</v>
      </c>
      <c r="S29" s="418" t="str">
        <f t="shared" si="3"/>
        <v>1</v>
      </c>
      <c r="T29" s="418" t="str">
        <f t="shared" si="3"/>
        <v>1</v>
      </c>
      <c r="U29" s="418" t="str">
        <f t="shared" si="3"/>
        <v>1</v>
      </c>
      <c r="V29" s="418" t="str">
        <f t="shared" si="3"/>
        <v>1</v>
      </c>
      <c r="W29" s="418" t="str">
        <f t="shared" si="3"/>
        <v>1</v>
      </c>
      <c r="X29" s="418" t="str">
        <f t="shared" si="3"/>
        <v>1</v>
      </c>
      <c r="Y29" s="418" t="str">
        <f>$X$27</f>
        <v>1</v>
      </c>
      <c r="Z29" s="397"/>
      <c r="AA29" s="412"/>
      <c r="AB29" s="412"/>
      <c r="AC29" s="415"/>
      <c r="AD29" s="416"/>
      <c r="AE29" s="289"/>
      <c r="AF29" s="395"/>
      <c r="AG29" s="421"/>
      <c r="AH29" s="421"/>
      <c r="AI29" s="413"/>
      <c r="AJ29" s="414"/>
      <c r="AK29" s="418" t="str">
        <f>$AL$27</f>
        <v>1</v>
      </c>
      <c r="AL29" s="418" t="str">
        <f t="shared" ref="AL29:BF44" si="4">$AL$27</f>
        <v>1</v>
      </c>
      <c r="AM29" s="418" t="str">
        <f t="shared" si="4"/>
        <v>1</v>
      </c>
      <c r="AN29" s="418" t="str">
        <f t="shared" si="4"/>
        <v>1</v>
      </c>
      <c r="AO29" s="418" t="str">
        <f t="shared" si="4"/>
        <v>1</v>
      </c>
      <c r="AP29" s="418" t="str">
        <f t="shared" si="4"/>
        <v>1</v>
      </c>
      <c r="AQ29" s="418" t="str">
        <f t="shared" si="4"/>
        <v>1</v>
      </c>
      <c r="AR29" s="418" t="str">
        <f t="shared" si="4"/>
        <v>1</v>
      </c>
      <c r="AS29" s="418" t="str">
        <f t="shared" si="4"/>
        <v>1</v>
      </c>
      <c r="AT29" s="418" t="str">
        <f t="shared" si="4"/>
        <v>1</v>
      </c>
      <c r="AU29" s="418" t="str">
        <f t="shared" si="4"/>
        <v>1</v>
      </c>
      <c r="AV29" s="418" t="str">
        <f t="shared" si="4"/>
        <v>1</v>
      </c>
      <c r="AW29" s="418" t="str">
        <f t="shared" si="4"/>
        <v>1</v>
      </c>
      <c r="AX29" s="418" t="str">
        <f t="shared" si="4"/>
        <v>1</v>
      </c>
      <c r="AY29" s="418" t="str">
        <f t="shared" si="4"/>
        <v>1</v>
      </c>
      <c r="AZ29" s="418" t="str">
        <f t="shared" si="4"/>
        <v>1</v>
      </c>
      <c r="BA29" s="418" t="str">
        <f t="shared" si="4"/>
        <v>1</v>
      </c>
      <c r="BB29" s="418" t="str">
        <f t="shared" si="4"/>
        <v>1</v>
      </c>
      <c r="BC29" s="418" t="str">
        <f t="shared" si="4"/>
        <v>1</v>
      </c>
      <c r="BD29" s="418" t="str">
        <f t="shared" si="4"/>
        <v>1</v>
      </c>
      <c r="BE29" s="418" t="str">
        <f t="shared" si="4"/>
        <v>1</v>
      </c>
      <c r="BF29" s="418" t="str">
        <f t="shared" si="4"/>
        <v>1</v>
      </c>
      <c r="BG29" s="409"/>
      <c r="BH29" s="418" t="str">
        <f t="shared" si="1"/>
        <v>1</v>
      </c>
      <c r="BI29" s="266"/>
      <c r="BJ29" s="265"/>
    </row>
    <row r="30" spans="1:62" ht="14.4" customHeight="1">
      <c r="A30" s="265"/>
      <c r="B30" s="289"/>
      <c r="C30" s="289"/>
      <c r="D30" s="418" t="str">
        <f t="shared" si="2"/>
        <v>1</v>
      </c>
      <c r="E30" s="418"/>
      <c r="F30" s="418" t="str">
        <f t="shared" si="3"/>
        <v>1</v>
      </c>
      <c r="G30" s="418"/>
      <c r="H30" s="418"/>
      <c r="I30" s="418"/>
      <c r="J30" s="418"/>
      <c r="K30" s="418"/>
      <c r="L30" s="418"/>
      <c r="M30" s="418"/>
      <c r="N30" s="418"/>
      <c r="O30" s="418"/>
      <c r="P30" s="418"/>
      <c r="Q30" s="418"/>
      <c r="R30" s="418"/>
      <c r="S30" s="418"/>
      <c r="T30" s="418"/>
      <c r="U30" s="418"/>
      <c r="V30" s="418"/>
      <c r="W30" s="289"/>
      <c r="X30" s="289"/>
      <c r="Y30" s="289"/>
      <c r="Z30" s="397"/>
      <c r="AA30" s="399" t="str">
        <f>IF(Y26="","",VLOOKUP(Y26,big_tabela,4,0))</f>
        <v/>
      </c>
      <c r="AB30" s="400"/>
      <c r="AC30" s="634" t="str">
        <f>IF(Y26="","","anemostat")</f>
        <v>anemostat</v>
      </c>
      <c r="AD30" s="416" t="str">
        <f>IF(Y26="","","x"&amp;VLOOKUP(Y26,big_tabela,56,0))</f>
        <v>x1</v>
      </c>
      <c r="AE30" s="289"/>
      <c r="AF30" s="395"/>
      <c r="AG30" s="398" t="str">
        <f>IF(AK26="","",VLOOKUP(AK26,big_tabela,4,0))</f>
        <v/>
      </c>
      <c r="AH30" s="417"/>
      <c r="AI30" s="635" t="str">
        <f>IF(AK26="","","anemostat")</f>
        <v>anemostat</v>
      </c>
      <c r="AJ30" s="414" t="str">
        <f>IF(AK26="","","x"&amp;VLOOKUP(AK26,big_tabela,55,0))</f>
        <v>x1</v>
      </c>
      <c r="AK30" s="401"/>
      <c r="AL30" s="289"/>
      <c r="AM30" s="289"/>
      <c r="AN30" s="289"/>
      <c r="AO30" s="289"/>
      <c r="AP30" s="409"/>
      <c r="AQ30" s="409"/>
      <c r="AR30" s="409"/>
      <c r="AS30" s="409"/>
      <c r="AT30" s="409"/>
      <c r="AU30" s="409"/>
      <c r="AV30" s="409"/>
      <c r="AW30" s="409"/>
      <c r="AX30" s="409"/>
      <c r="AY30" s="409"/>
      <c r="AZ30" s="409"/>
      <c r="BA30" s="409"/>
      <c r="BB30" s="409"/>
      <c r="BC30" s="409"/>
      <c r="BD30" s="409"/>
      <c r="BE30" s="409"/>
      <c r="BF30" s="418" t="str">
        <f t="shared" si="4"/>
        <v>1</v>
      </c>
      <c r="BG30" s="409"/>
      <c r="BH30" s="418" t="str">
        <f t="shared" si="1"/>
        <v>1</v>
      </c>
      <c r="BI30" s="266"/>
      <c r="BJ30" s="265"/>
    </row>
    <row r="31" spans="1:62" ht="6" customHeight="1">
      <c r="A31" s="265"/>
      <c r="B31" s="289"/>
      <c r="C31" s="289"/>
      <c r="D31" s="418" t="str">
        <f t="shared" si="2"/>
        <v>1</v>
      </c>
      <c r="E31" s="418"/>
      <c r="F31" s="418" t="str">
        <f t="shared" si="3"/>
        <v>1</v>
      </c>
      <c r="G31" s="418"/>
      <c r="H31" s="418"/>
      <c r="I31" s="418"/>
      <c r="J31" s="418"/>
      <c r="K31" s="418"/>
      <c r="L31" s="418"/>
      <c r="M31" s="418"/>
      <c r="N31" s="418"/>
      <c r="O31" s="418"/>
      <c r="P31" s="418"/>
      <c r="Q31" s="418"/>
      <c r="R31" s="418"/>
      <c r="S31" s="418"/>
      <c r="T31" s="418"/>
      <c r="U31" s="418"/>
      <c r="V31" s="418"/>
      <c r="W31" s="289"/>
      <c r="X31" s="289"/>
      <c r="Y31" s="289"/>
      <c r="Z31" s="397"/>
      <c r="AA31" s="397"/>
      <c r="AB31" s="397"/>
      <c r="AC31" s="397"/>
      <c r="AD31" s="397"/>
      <c r="AE31" s="289"/>
      <c r="AF31" s="395"/>
      <c r="AG31" s="395"/>
      <c r="AH31" s="395"/>
      <c r="AI31" s="395"/>
      <c r="AJ31" s="395"/>
      <c r="AK31" s="289"/>
      <c r="AL31" s="289"/>
      <c r="AM31" s="289"/>
      <c r="AN31" s="289"/>
      <c r="AO31" s="289"/>
      <c r="AP31" s="409"/>
      <c r="AQ31" s="409"/>
      <c r="AR31" s="409"/>
      <c r="AS31" s="409"/>
      <c r="AT31" s="409"/>
      <c r="AU31" s="409"/>
      <c r="AV31" s="409"/>
      <c r="AW31" s="409"/>
      <c r="AX31" s="409"/>
      <c r="AY31" s="409"/>
      <c r="AZ31" s="409"/>
      <c r="BA31" s="409"/>
      <c r="BB31" s="409"/>
      <c r="BC31" s="409"/>
      <c r="BD31" s="409"/>
      <c r="BE31" s="409"/>
      <c r="BF31" s="418" t="str">
        <f t="shared" si="4"/>
        <v>1</v>
      </c>
      <c r="BG31" s="409"/>
      <c r="BH31" s="418" t="str">
        <f t="shared" si="1"/>
        <v>1</v>
      </c>
      <c r="BI31" s="266"/>
      <c r="BJ31" s="265"/>
    </row>
    <row r="32" spans="1:62">
      <c r="A32" s="265"/>
      <c r="B32" s="289"/>
      <c r="C32" s="289"/>
      <c r="D32" s="418" t="str">
        <f t="shared" si="2"/>
        <v>1</v>
      </c>
      <c r="E32" s="418"/>
      <c r="F32" s="418" t="str">
        <f t="shared" si="3"/>
        <v>1</v>
      </c>
      <c r="G32" s="418"/>
      <c r="H32" s="418"/>
      <c r="I32" s="418"/>
      <c r="J32" s="418"/>
      <c r="K32" s="418"/>
      <c r="L32" s="418"/>
      <c r="M32" s="418"/>
      <c r="N32" s="418"/>
      <c r="O32" s="418"/>
      <c r="P32" s="418"/>
      <c r="Q32" s="418"/>
      <c r="R32" s="418"/>
      <c r="S32" s="418"/>
      <c r="T32" s="418"/>
      <c r="U32" s="418"/>
      <c r="V32" s="418"/>
      <c r="W32" s="289"/>
      <c r="X32" s="289"/>
      <c r="Y32" s="289"/>
      <c r="Z32" s="289"/>
      <c r="AA32" s="289"/>
      <c r="AB32" s="289"/>
      <c r="AC32" s="289"/>
      <c r="AD32" s="289"/>
      <c r="AE32" s="289"/>
      <c r="AF32" s="289"/>
      <c r="AG32" s="289"/>
      <c r="AH32" s="289"/>
      <c r="AI32" s="289"/>
      <c r="AJ32" s="289"/>
      <c r="AK32" s="289"/>
      <c r="AL32" s="289"/>
      <c r="AM32" s="289"/>
      <c r="AN32" s="289"/>
      <c r="AO32" s="289"/>
      <c r="AP32" s="409"/>
      <c r="AQ32" s="409"/>
      <c r="AR32" s="409"/>
      <c r="AS32" s="409"/>
      <c r="AT32" s="409"/>
      <c r="AU32" s="409"/>
      <c r="AV32" s="409"/>
      <c r="AW32" s="409"/>
      <c r="AX32" s="409"/>
      <c r="AY32" s="409"/>
      <c r="AZ32" s="409"/>
      <c r="BA32" s="409"/>
      <c r="BB32" s="409"/>
      <c r="BC32" s="409"/>
      <c r="BD32" s="409"/>
      <c r="BE32" s="409"/>
      <c r="BF32" s="418" t="str">
        <f t="shared" si="4"/>
        <v>1</v>
      </c>
      <c r="BG32" s="409"/>
      <c r="BH32" s="418" t="str">
        <f t="shared" si="1"/>
        <v>1</v>
      </c>
      <c r="BI32" s="266"/>
      <c r="BJ32" s="265"/>
    </row>
    <row r="33" spans="1:62" ht="6" customHeight="1">
      <c r="A33" s="265"/>
      <c r="B33" s="289"/>
      <c r="C33" s="289"/>
      <c r="D33" s="418" t="str">
        <f t="shared" si="2"/>
        <v>1</v>
      </c>
      <c r="E33" s="418"/>
      <c r="F33" s="418" t="str">
        <f t="shared" si="3"/>
        <v>1</v>
      </c>
      <c r="G33" s="418"/>
      <c r="H33" s="418"/>
      <c r="I33" s="418"/>
      <c r="J33" s="418"/>
      <c r="K33" s="418"/>
      <c r="L33" s="418"/>
      <c r="M33" s="418"/>
      <c r="N33" s="418"/>
      <c r="O33" s="418"/>
      <c r="P33" s="418"/>
      <c r="Q33" s="418"/>
      <c r="R33" s="418"/>
      <c r="S33" s="418"/>
      <c r="T33" s="418"/>
      <c r="U33" s="418"/>
      <c r="V33" s="418"/>
      <c r="W33" s="289"/>
      <c r="X33" s="289"/>
      <c r="Y33" s="789" t="str">
        <f>IF(Obliczenia!E63="10","",Obliczenia!E63)</f>
        <v>0.3</v>
      </c>
      <c r="Z33" s="397"/>
      <c r="AA33" s="397"/>
      <c r="AB33" s="397"/>
      <c r="AC33" s="397"/>
      <c r="AD33" s="397"/>
      <c r="AE33" s="289"/>
      <c r="AF33" s="395"/>
      <c r="AG33" s="395"/>
      <c r="AH33" s="395"/>
      <c r="AI33" s="395"/>
      <c r="AJ33" s="395"/>
      <c r="AK33" s="789" t="str">
        <f>IF(Obliczenia!E39="10","",Obliczenia!E39)</f>
        <v>1.1</v>
      </c>
      <c r="AL33" s="289"/>
      <c r="AM33" s="289"/>
      <c r="AN33" s="289"/>
      <c r="AO33" s="289"/>
      <c r="AP33" s="409"/>
      <c r="AQ33" s="409"/>
      <c r="AR33" s="409"/>
      <c r="AS33" s="409"/>
      <c r="AT33" s="409"/>
      <c r="AU33" s="409"/>
      <c r="AV33" s="409"/>
      <c r="AW33" s="409"/>
      <c r="AX33" s="409"/>
      <c r="AY33" s="409"/>
      <c r="AZ33" s="409"/>
      <c r="BA33" s="409"/>
      <c r="BB33" s="409"/>
      <c r="BC33" s="409"/>
      <c r="BD33" s="409"/>
      <c r="BE33" s="409"/>
      <c r="BF33" s="418" t="str">
        <f t="shared" si="4"/>
        <v>1</v>
      </c>
      <c r="BG33" s="409"/>
      <c r="BH33" s="418" t="str">
        <f t="shared" si="1"/>
        <v>1</v>
      </c>
      <c r="BI33" s="266"/>
      <c r="BJ33" s="265"/>
    </row>
    <row r="34" spans="1:62" ht="14.4" customHeight="1">
      <c r="A34" s="265"/>
      <c r="B34" s="289"/>
      <c r="C34" s="289"/>
      <c r="D34" s="418" t="str">
        <f t="shared" si="2"/>
        <v>1</v>
      </c>
      <c r="E34" s="418"/>
      <c r="F34" s="418" t="str">
        <f t="shared" si="3"/>
        <v>1</v>
      </c>
      <c r="G34" s="418">
        <v>1</v>
      </c>
      <c r="H34" s="418"/>
      <c r="I34" s="418"/>
      <c r="J34" s="418"/>
      <c r="K34" s="418"/>
      <c r="L34" s="418"/>
      <c r="M34" s="418"/>
      <c r="N34" s="418"/>
      <c r="O34" s="418"/>
      <c r="P34" s="418"/>
      <c r="Q34" s="418"/>
      <c r="R34" s="418"/>
      <c r="S34" s="418"/>
      <c r="T34" s="418"/>
      <c r="U34" s="418"/>
      <c r="V34" s="418"/>
      <c r="W34" s="289"/>
      <c r="X34" s="4" t="str">
        <f>IF(Y33&lt;&gt;"","1","")</f>
        <v>1</v>
      </c>
      <c r="Y34" s="789"/>
      <c r="Z34" s="397"/>
      <c r="AA34" s="772" t="str">
        <f>IF(Y33="","",VLOOKUP(Y33,big_tabela,3,0))</f>
        <v>Spiżarnia</v>
      </c>
      <c r="AB34" s="772"/>
      <c r="AC34" s="773">
        <f>IF(Y33="","",VLOOKUP(Y33,big_tabela,12,0))</f>
        <v>15</v>
      </c>
      <c r="AD34" s="774" t="s">
        <v>373</v>
      </c>
      <c r="AE34" s="289"/>
      <c r="AF34" s="395"/>
      <c r="AG34" s="783" t="str">
        <f>IF(AK33="","",VLOOKUP(AK33,big_tabela,3,0))</f>
        <v>Sypialnia</v>
      </c>
      <c r="AH34" s="783"/>
      <c r="AI34" s="784">
        <f>IF(AK33="","",VLOOKUP(AK33,big_tabela,12,0))</f>
        <v>40</v>
      </c>
      <c r="AJ34" s="767" t="s">
        <v>373</v>
      </c>
      <c r="AK34" s="789"/>
      <c r="AL34" s="4" t="str">
        <f>IF(AK33&lt;&gt;"","1","")</f>
        <v>1</v>
      </c>
      <c r="AM34" s="289"/>
      <c r="AN34" s="289"/>
      <c r="AO34" s="289"/>
      <c r="AP34" s="409"/>
      <c r="AQ34" s="409"/>
      <c r="AR34" s="409"/>
      <c r="AS34" s="409"/>
      <c r="AT34" s="409"/>
      <c r="AU34" s="409"/>
      <c r="AV34" s="409"/>
      <c r="AW34" s="409"/>
      <c r="AX34" s="409"/>
      <c r="AY34" s="409"/>
      <c r="AZ34" s="409"/>
      <c r="BA34" s="409"/>
      <c r="BB34" s="409"/>
      <c r="BC34" s="409"/>
      <c r="BD34" s="409"/>
      <c r="BE34" s="409"/>
      <c r="BF34" s="418" t="str">
        <f t="shared" si="4"/>
        <v>1</v>
      </c>
      <c r="BG34" s="409"/>
      <c r="BH34" s="418" t="str">
        <f t="shared" si="1"/>
        <v>1</v>
      </c>
      <c r="BI34" s="266"/>
      <c r="BJ34" s="265"/>
    </row>
    <row r="35" spans="1:62" ht="14.4" customHeight="1">
      <c r="A35" s="265"/>
      <c r="B35" s="289"/>
      <c r="C35" s="289"/>
      <c r="D35" s="418" t="str">
        <f t="shared" si="2"/>
        <v>1</v>
      </c>
      <c r="E35" s="418"/>
      <c r="F35" s="418" t="str">
        <f t="shared" si="3"/>
        <v>1</v>
      </c>
      <c r="G35" s="418"/>
      <c r="H35" s="418"/>
      <c r="I35" s="418"/>
      <c r="J35" s="418"/>
      <c r="K35" s="418"/>
      <c r="L35" s="418"/>
      <c r="M35" s="418"/>
      <c r="N35" s="418"/>
      <c r="O35" s="418"/>
      <c r="P35" s="418"/>
      <c r="Q35" s="418"/>
      <c r="R35" s="418"/>
      <c r="S35" s="418"/>
      <c r="T35" s="418"/>
      <c r="U35" s="418"/>
      <c r="V35" s="418"/>
      <c r="W35" s="494" t="str">
        <f>IF(Y33="","","Φ90")</f>
        <v>Φ90</v>
      </c>
      <c r="X35" s="495" t="str">
        <f>IF(Y33="","","x"&amp;VLOOKUP(Y33,big_tabela,53,0))</f>
        <v>x1</v>
      </c>
      <c r="Y35" s="403" t="str">
        <f>IF(Y33="","","◄")</f>
        <v>◄</v>
      </c>
      <c r="Z35" s="397"/>
      <c r="AA35" s="772"/>
      <c r="AB35" s="772"/>
      <c r="AC35" s="773"/>
      <c r="AD35" s="774"/>
      <c r="AE35" s="289"/>
      <c r="AF35" s="395"/>
      <c r="AG35" s="783"/>
      <c r="AH35" s="783"/>
      <c r="AI35" s="784"/>
      <c r="AJ35" s="767"/>
      <c r="AK35" s="402" t="str">
        <f>IF(AK33="","","◄")</f>
        <v>◄</v>
      </c>
      <c r="AL35" s="494" t="str">
        <f>IF(AK33="","","Φ90")</f>
        <v>Φ90</v>
      </c>
      <c r="AM35" s="495" t="str">
        <f>IF(AK33="","","x"&amp;VLOOKUP(AK33,big_tabela,52,0))</f>
        <v>x1</v>
      </c>
      <c r="AN35" s="289"/>
      <c r="AO35" s="289"/>
      <c r="AP35" s="409"/>
      <c r="AQ35" s="409"/>
      <c r="AR35" s="409"/>
      <c r="AS35" s="409"/>
      <c r="AT35" s="409"/>
      <c r="AU35" s="409"/>
      <c r="AV35" s="409"/>
      <c r="AW35" s="409"/>
      <c r="AX35" s="409"/>
      <c r="AY35" s="409"/>
      <c r="AZ35" s="409"/>
      <c r="BA35" s="409"/>
      <c r="BB35" s="409"/>
      <c r="BC35" s="409"/>
      <c r="BD35" s="409"/>
      <c r="BE35" s="409"/>
      <c r="BF35" s="418" t="str">
        <f t="shared" si="4"/>
        <v>1</v>
      </c>
      <c r="BG35" s="409"/>
      <c r="BH35" s="418" t="str">
        <f t="shared" si="1"/>
        <v>1</v>
      </c>
      <c r="BI35" s="266"/>
      <c r="BJ35" s="265"/>
    </row>
    <row r="36" spans="1:62" ht="3" customHeight="1">
      <c r="A36" s="265"/>
      <c r="B36" s="289"/>
      <c r="C36" s="404"/>
      <c r="D36" s="418" t="str">
        <f t="shared" si="2"/>
        <v>1</v>
      </c>
      <c r="E36" s="418"/>
      <c r="F36" s="418" t="str">
        <f t="shared" si="3"/>
        <v>1</v>
      </c>
      <c r="G36" s="418"/>
      <c r="H36" s="419" t="str">
        <f t="shared" ref="H36:W87" si="5">$X$34</f>
        <v>1</v>
      </c>
      <c r="I36" s="419" t="str">
        <f t="shared" si="5"/>
        <v>1</v>
      </c>
      <c r="J36" s="419" t="str">
        <f t="shared" si="5"/>
        <v>1</v>
      </c>
      <c r="K36" s="419" t="str">
        <f t="shared" si="5"/>
        <v>1</v>
      </c>
      <c r="L36" s="419" t="str">
        <f t="shared" si="5"/>
        <v>1</v>
      </c>
      <c r="M36" s="419" t="str">
        <f t="shared" si="5"/>
        <v>1</v>
      </c>
      <c r="N36" s="419" t="str">
        <f t="shared" si="5"/>
        <v>1</v>
      </c>
      <c r="O36" s="419" t="str">
        <f t="shared" si="5"/>
        <v>1</v>
      </c>
      <c r="P36" s="419" t="str">
        <f t="shared" si="5"/>
        <v>1</v>
      </c>
      <c r="Q36" s="419" t="str">
        <f t="shared" si="5"/>
        <v>1</v>
      </c>
      <c r="R36" s="419" t="str">
        <f t="shared" si="5"/>
        <v>1</v>
      </c>
      <c r="S36" s="419" t="str">
        <f t="shared" si="5"/>
        <v>1</v>
      </c>
      <c r="T36" s="419" t="str">
        <f t="shared" si="5"/>
        <v>1</v>
      </c>
      <c r="U36" s="419" t="str">
        <f t="shared" si="5"/>
        <v>1</v>
      </c>
      <c r="V36" s="419" t="str">
        <f t="shared" si="5"/>
        <v>1</v>
      </c>
      <c r="W36" s="419" t="str">
        <f t="shared" si="5"/>
        <v>1</v>
      </c>
      <c r="X36" s="419" t="str">
        <f t="shared" ref="X36" si="6">$X$34</f>
        <v>1</v>
      </c>
      <c r="Y36" s="419" t="str">
        <f>$X$34</f>
        <v>1</v>
      </c>
      <c r="Z36" s="397"/>
      <c r="AA36" s="412"/>
      <c r="AB36" s="412"/>
      <c r="AC36" s="415"/>
      <c r="AD36" s="416"/>
      <c r="AE36" s="289"/>
      <c r="AF36" s="395"/>
      <c r="AG36" s="421"/>
      <c r="AH36" s="421"/>
      <c r="AI36" s="413"/>
      <c r="AJ36" s="414"/>
      <c r="AK36" s="418" t="str">
        <f>$AL$34</f>
        <v>1</v>
      </c>
      <c r="AL36" s="418" t="str">
        <f t="shared" ref="AL36:BD51" si="7">$AL$34</f>
        <v>1</v>
      </c>
      <c r="AM36" s="418" t="str">
        <f t="shared" si="7"/>
        <v>1</v>
      </c>
      <c r="AN36" s="418" t="str">
        <f t="shared" si="7"/>
        <v>1</v>
      </c>
      <c r="AO36" s="418" t="str">
        <f t="shared" si="7"/>
        <v>1</v>
      </c>
      <c r="AP36" s="418" t="str">
        <f t="shared" si="7"/>
        <v>1</v>
      </c>
      <c r="AQ36" s="418" t="str">
        <f t="shared" si="7"/>
        <v>1</v>
      </c>
      <c r="AR36" s="418" t="str">
        <f t="shared" si="7"/>
        <v>1</v>
      </c>
      <c r="AS36" s="418" t="str">
        <f t="shared" si="7"/>
        <v>1</v>
      </c>
      <c r="AT36" s="418" t="str">
        <f t="shared" si="7"/>
        <v>1</v>
      </c>
      <c r="AU36" s="418" t="str">
        <f t="shared" si="7"/>
        <v>1</v>
      </c>
      <c r="AV36" s="418" t="str">
        <f t="shared" si="7"/>
        <v>1</v>
      </c>
      <c r="AW36" s="418" t="str">
        <f t="shared" si="7"/>
        <v>1</v>
      </c>
      <c r="AX36" s="418" t="str">
        <f t="shared" si="7"/>
        <v>1</v>
      </c>
      <c r="AY36" s="418" t="str">
        <f t="shared" si="7"/>
        <v>1</v>
      </c>
      <c r="AZ36" s="418" t="str">
        <f t="shared" si="7"/>
        <v>1</v>
      </c>
      <c r="BA36" s="418" t="str">
        <f t="shared" si="7"/>
        <v>1</v>
      </c>
      <c r="BB36" s="418" t="str">
        <f t="shared" si="7"/>
        <v>1</v>
      </c>
      <c r="BC36" s="418" t="str">
        <f t="shared" si="7"/>
        <v>1</v>
      </c>
      <c r="BD36" s="418" t="str">
        <f t="shared" si="7"/>
        <v>1</v>
      </c>
      <c r="BE36" s="409"/>
      <c r="BF36" s="418" t="str">
        <f t="shared" si="4"/>
        <v>1</v>
      </c>
      <c r="BG36" s="409"/>
      <c r="BH36" s="418" t="str">
        <f t="shared" si="1"/>
        <v>1</v>
      </c>
      <c r="BI36" s="266"/>
      <c r="BJ36" s="265"/>
    </row>
    <row r="37" spans="1:62" ht="14.4" customHeight="1">
      <c r="A37" s="265"/>
      <c r="B37" s="289"/>
      <c r="C37" s="289"/>
      <c r="D37" s="418" t="str">
        <f t="shared" si="2"/>
        <v>1</v>
      </c>
      <c r="E37" s="418"/>
      <c r="F37" s="418" t="str">
        <f t="shared" si="3"/>
        <v>1</v>
      </c>
      <c r="G37" s="418"/>
      <c r="H37" s="419" t="str">
        <f t="shared" si="5"/>
        <v>1</v>
      </c>
      <c r="I37" s="418"/>
      <c r="J37" s="418"/>
      <c r="K37" s="418"/>
      <c r="L37" s="418"/>
      <c r="M37" s="418"/>
      <c r="N37" s="418"/>
      <c r="O37" s="418"/>
      <c r="P37" s="418"/>
      <c r="Q37" s="418"/>
      <c r="R37" s="418"/>
      <c r="S37" s="418"/>
      <c r="T37" s="418"/>
      <c r="U37" s="418"/>
      <c r="V37" s="418"/>
      <c r="W37" s="289"/>
      <c r="X37" s="289"/>
      <c r="Y37" s="289"/>
      <c r="Z37" s="397"/>
      <c r="AA37" s="399" t="str">
        <f>IF(Y33="","",VLOOKUP(Y33,big_tabela,4,0))</f>
        <v/>
      </c>
      <c r="AB37" s="400"/>
      <c r="AC37" s="634" t="str">
        <f>IF(Y33="","","anemostat")</f>
        <v>anemostat</v>
      </c>
      <c r="AD37" s="416" t="str">
        <f>IF(Y33="","","x"&amp;VLOOKUP(Y33,big_tabela,56,0))</f>
        <v>x1</v>
      </c>
      <c r="AE37" s="289"/>
      <c r="AF37" s="395"/>
      <c r="AG37" s="398" t="str">
        <f>IF(AK33="","",VLOOKUP(AK33,big_tabela,4,0))</f>
        <v/>
      </c>
      <c r="AH37" s="417"/>
      <c r="AI37" s="635" t="str">
        <f>IF(AK33="","","anemostat")</f>
        <v>anemostat</v>
      </c>
      <c r="AJ37" s="414" t="str">
        <f>IF(AK33="","","x"&amp;VLOOKUP(AK33,big_tabela,55,0))</f>
        <v>x1</v>
      </c>
      <c r="AK37" s="401"/>
      <c r="AL37" s="289"/>
      <c r="AM37" s="289"/>
      <c r="AN37" s="289"/>
      <c r="AO37" s="289"/>
      <c r="AP37" s="409"/>
      <c r="AQ37" s="409"/>
      <c r="AR37" s="409"/>
      <c r="AS37" s="409"/>
      <c r="AT37" s="409"/>
      <c r="AU37" s="409"/>
      <c r="AV37" s="409"/>
      <c r="AW37" s="409"/>
      <c r="AX37" s="409"/>
      <c r="AY37" s="409"/>
      <c r="AZ37" s="409"/>
      <c r="BA37" s="409"/>
      <c r="BB37" s="409"/>
      <c r="BC37" s="409"/>
      <c r="BD37" s="418" t="str">
        <f t="shared" si="7"/>
        <v>1</v>
      </c>
      <c r="BE37" s="409"/>
      <c r="BF37" s="418" t="str">
        <f t="shared" si="4"/>
        <v>1</v>
      </c>
      <c r="BG37" s="409"/>
      <c r="BH37" s="418" t="str">
        <f t="shared" si="1"/>
        <v>1</v>
      </c>
      <c r="BI37" s="266"/>
      <c r="BJ37" s="265"/>
    </row>
    <row r="38" spans="1:62" ht="6" customHeight="1">
      <c r="A38" s="265"/>
      <c r="B38" s="289"/>
      <c r="C38" s="289"/>
      <c r="D38" s="418" t="str">
        <f t="shared" si="2"/>
        <v>1</v>
      </c>
      <c r="E38" s="418"/>
      <c r="F38" s="418" t="str">
        <f t="shared" si="3"/>
        <v>1</v>
      </c>
      <c r="G38" s="418"/>
      <c r="H38" s="419" t="str">
        <f t="shared" si="5"/>
        <v>1</v>
      </c>
      <c r="I38" s="418"/>
      <c r="J38" s="418"/>
      <c r="K38" s="418"/>
      <c r="L38" s="418"/>
      <c r="M38" s="418"/>
      <c r="N38" s="418"/>
      <c r="O38" s="418"/>
      <c r="P38" s="418"/>
      <c r="Q38" s="418"/>
      <c r="R38" s="418"/>
      <c r="S38" s="418"/>
      <c r="T38" s="418"/>
      <c r="U38" s="418"/>
      <c r="V38" s="418"/>
      <c r="W38" s="289"/>
      <c r="X38" s="289"/>
      <c r="Y38" s="289"/>
      <c r="Z38" s="397"/>
      <c r="AA38" s="397"/>
      <c r="AB38" s="397"/>
      <c r="AC38" s="397"/>
      <c r="AD38" s="397"/>
      <c r="AE38" s="289"/>
      <c r="AF38" s="395"/>
      <c r="AG38" s="395"/>
      <c r="AH38" s="395"/>
      <c r="AI38" s="395"/>
      <c r="AJ38" s="395"/>
      <c r="AK38" s="289"/>
      <c r="AL38" s="289"/>
      <c r="AM38" s="289"/>
      <c r="AN38" s="289"/>
      <c r="AO38" s="289"/>
      <c r="AP38" s="409"/>
      <c r="AQ38" s="409"/>
      <c r="AR38" s="409"/>
      <c r="AS38" s="409"/>
      <c r="AT38" s="409"/>
      <c r="AU38" s="409"/>
      <c r="AV38" s="409"/>
      <c r="AW38" s="409"/>
      <c r="AX38" s="409"/>
      <c r="AY38" s="409"/>
      <c r="AZ38" s="409"/>
      <c r="BA38" s="409"/>
      <c r="BB38" s="409"/>
      <c r="BC38" s="409"/>
      <c r="BD38" s="418" t="str">
        <f t="shared" si="7"/>
        <v>1</v>
      </c>
      <c r="BE38" s="409"/>
      <c r="BF38" s="418" t="str">
        <f t="shared" si="4"/>
        <v>1</v>
      </c>
      <c r="BG38" s="409"/>
      <c r="BH38" s="418" t="str">
        <f t="shared" ref="BH38:BH87" si="8">$AL$20</f>
        <v>1</v>
      </c>
      <c r="BI38" s="266"/>
      <c r="BJ38" s="265"/>
    </row>
    <row r="39" spans="1:62">
      <c r="A39" s="265"/>
      <c r="B39" s="289"/>
      <c r="C39" s="289"/>
      <c r="D39" s="418" t="str">
        <f t="shared" si="2"/>
        <v>1</v>
      </c>
      <c r="E39" s="418"/>
      <c r="F39" s="418" t="str">
        <f t="shared" si="3"/>
        <v>1</v>
      </c>
      <c r="G39" s="418"/>
      <c r="H39" s="419" t="str">
        <f t="shared" si="5"/>
        <v>1</v>
      </c>
      <c r="I39" s="418"/>
      <c r="J39" s="418"/>
      <c r="K39" s="418"/>
      <c r="L39" s="418"/>
      <c r="M39" s="418"/>
      <c r="N39" s="418"/>
      <c r="O39" s="418"/>
      <c r="P39" s="418"/>
      <c r="Q39" s="418"/>
      <c r="R39" s="418"/>
      <c r="S39" s="418"/>
      <c r="T39" s="418"/>
      <c r="U39" s="418"/>
      <c r="V39" s="418"/>
      <c r="W39" s="289"/>
      <c r="X39" s="289"/>
      <c r="Y39" s="289"/>
      <c r="Z39" s="289"/>
      <c r="AA39" s="289"/>
      <c r="AB39" s="289"/>
      <c r="AC39" s="289"/>
      <c r="AD39" s="289"/>
      <c r="AE39" s="289"/>
      <c r="AF39" s="289"/>
      <c r="AG39" s="289"/>
      <c r="AH39" s="289"/>
      <c r="AI39" s="289"/>
      <c r="AJ39" s="289"/>
      <c r="AK39" s="289"/>
      <c r="AL39" s="289"/>
      <c r="AM39" s="289"/>
      <c r="AN39" s="289"/>
      <c r="AO39" s="289"/>
      <c r="AP39" s="409"/>
      <c r="AQ39" s="409"/>
      <c r="AR39" s="409"/>
      <c r="AS39" s="409"/>
      <c r="AT39" s="409"/>
      <c r="AU39" s="409"/>
      <c r="AV39" s="409"/>
      <c r="AW39" s="409"/>
      <c r="AX39" s="409"/>
      <c r="AY39" s="409"/>
      <c r="AZ39" s="409"/>
      <c r="BA39" s="409"/>
      <c r="BB39" s="409"/>
      <c r="BC39" s="409"/>
      <c r="BD39" s="418" t="str">
        <f t="shared" si="7"/>
        <v>1</v>
      </c>
      <c r="BE39" s="409"/>
      <c r="BF39" s="418" t="str">
        <f t="shared" si="4"/>
        <v>1</v>
      </c>
      <c r="BG39" s="409"/>
      <c r="BH39" s="418" t="str">
        <f t="shared" si="8"/>
        <v>1</v>
      </c>
      <c r="BI39" s="266"/>
      <c r="BJ39" s="265"/>
    </row>
    <row r="40" spans="1:62" ht="6" customHeight="1">
      <c r="A40" s="265"/>
      <c r="B40" s="289"/>
      <c r="C40" s="289"/>
      <c r="D40" s="418" t="str">
        <f t="shared" si="2"/>
        <v>1</v>
      </c>
      <c r="E40" s="418"/>
      <c r="F40" s="418" t="str">
        <f t="shared" si="3"/>
        <v>1</v>
      </c>
      <c r="G40" s="418"/>
      <c r="H40" s="419" t="str">
        <f t="shared" si="5"/>
        <v>1</v>
      </c>
      <c r="I40" s="418"/>
      <c r="J40" s="418"/>
      <c r="K40" s="418"/>
      <c r="L40" s="418"/>
      <c r="M40" s="418"/>
      <c r="N40" s="418"/>
      <c r="O40" s="418"/>
      <c r="P40" s="418"/>
      <c r="Q40" s="418"/>
      <c r="R40" s="418"/>
      <c r="S40" s="418"/>
      <c r="T40" s="418"/>
      <c r="U40" s="418"/>
      <c r="V40" s="418"/>
      <c r="W40" s="289"/>
      <c r="X40" s="289"/>
      <c r="Y40" s="789" t="str">
        <f>IF(Obliczenia!E64="10","",Obliczenia!E64)</f>
        <v>0.7</v>
      </c>
      <c r="Z40" s="397"/>
      <c r="AA40" s="397"/>
      <c r="AB40" s="397"/>
      <c r="AC40" s="397"/>
      <c r="AD40" s="397"/>
      <c r="AE40" s="289"/>
      <c r="AF40" s="395"/>
      <c r="AG40" s="395"/>
      <c r="AH40" s="395"/>
      <c r="AI40" s="395"/>
      <c r="AJ40" s="395"/>
      <c r="AK40" s="789" t="str">
        <f>IF(Obliczenia!E40="10","",Obliczenia!E40)</f>
        <v>0.4</v>
      </c>
      <c r="AL40" s="289"/>
      <c r="AM40" s="289"/>
      <c r="AN40" s="289"/>
      <c r="AO40" s="289"/>
      <c r="AP40" s="409"/>
      <c r="AQ40" s="409"/>
      <c r="AR40" s="409"/>
      <c r="AS40" s="409"/>
      <c r="AT40" s="409"/>
      <c r="AU40" s="409"/>
      <c r="AV40" s="409"/>
      <c r="AW40" s="409"/>
      <c r="AX40" s="409"/>
      <c r="AY40" s="409"/>
      <c r="AZ40" s="409"/>
      <c r="BA40" s="409"/>
      <c r="BB40" s="409"/>
      <c r="BC40" s="409"/>
      <c r="BD40" s="418" t="str">
        <f t="shared" si="7"/>
        <v>1</v>
      </c>
      <c r="BE40" s="409"/>
      <c r="BF40" s="418" t="str">
        <f t="shared" si="4"/>
        <v>1</v>
      </c>
      <c r="BG40" s="409"/>
      <c r="BH40" s="418" t="str">
        <f t="shared" si="8"/>
        <v>1</v>
      </c>
      <c r="BI40" s="266"/>
      <c r="BJ40" s="265"/>
    </row>
    <row r="41" spans="1:62" ht="14.4" customHeight="1">
      <c r="A41" s="265"/>
      <c r="B41" s="289"/>
      <c r="C41" s="289"/>
      <c r="D41" s="418" t="str">
        <f t="shared" si="2"/>
        <v>1</v>
      </c>
      <c r="E41" s="418"/>
      <c r="F41" s="418" t="str">
        <f t="shared" si="3"/>
        <v>1</v>
      </c>
      <c r="G41" s="418"/>
      <c r="H41" s="419" t="str">
        <f t="shared" si="5"/>
        <v>1</v>
      </c>
      <c r="I41" s="418"/>
      <c r="J41" s="418"/>
      <c r="K41" s="418"/>
      <c r="L41" s="418"/>
      <c r="M41" s="418"/>
      <c r="N41" s="418"/>
      <c r="O41" s="418"/>
      <c r="P41" s="418"/>
      <c r="Q41" s="418"/>
      <c r="R41" s="418"/>
      <c r="S41" s="418"/>
      <c r="T41" s="418"/>
      <c r="U41" s="418"/>
      <c r="V41" s="418"/>
      <c r="W41" s="289"/>
      <c r="X41" s="4" t="str">
        <f>IF(Y40&lt;&gt;"","1","")</f>
        <v>1</v>
      </c>
      <c r="Y41" s="789"/>
      <c r="Z41" s="397"/>
      <c r="AA41" s="772" t="str">
        <f>IF(Y40="","",VLOOKUP(Y40,big_tabela,3,0))</f>
        <v>Pomieszczenie gospodarcze</v>
      </c>
      <c r="AB41" s="772"/>
      <c r="AC41" s="773">
        <f>IF(Y40="","",VLOOKUP(Y40,big_tabela,12,0))</f>
        <v>15</v>
      </c>
      <c r="AD41" s="774" t="s">
        <v>373</v>
      </c>
      <c r="AE41" s="289"/>
      <c r="AF41" s="395"/>
      <c r="AG41" s="783" t="str">
        <f>IF(AK40="","",VLOOKUP(AK40,big_tabela,3,0))</f>
        <v>Pokój dzienny</v>
      </c>
      <c r="AH41" s="783"/>
      <c r="AI41" s="784">
        <f>IF(AK40="","",VLOOKUP(AK40,big_tabela,12,0))</f>
        <v>80</v>
      </c>
      <c r="AJ41" s="767" t="s">
        <v>373</v>
      </c>
      <c r="AK41" s="789"/>
      <c r="AL41" s="4" t="str">
        <f>IF(AK40&lt;&gt;"","1","")</f>
        <v>1</v>
      </c>
      <c r="AM41" s="289"/>
      <c r="AN41" s="289"/>
      <c r="AO41" s="289"/>
      <c r="AP41" s="409"/>
      <c r="AQ41" s="409"/>
      <c r="AR41" s="409"/>
      <c r="AS41" s="409"/>
      <c r="AT41" s="409"/>
      <c r="AU41" s="409"/>
      <c r="AV41" s="409"/>
      <c r="AW41" s="409"/>
      <c r="AX41" s="409"/>
      <c r="AY41" s="409"/>
      <c r="AZ41" s="409"/>
      <c r="BA41" s="409"/>
      <c r="BB41" s="409"/>
      <c r="BC41" s="409"/>
      <c r="BD41" s="418" t="str">
        <f t="shared" si="7"/>
        <v>1</v>
      </c>
      <c r="BE41" s="409"/>
      <c r="BF41" s="418" t="str">
        <f t="shared" si="4"/>
        <v>1</v>
      </c>
      <c r="BG41" s="409"/>
      <c r="BH41" s="418" t="str">
        <f t="shared" si="8"/>
        <v>1</v>
      </c>
      <c r="BI41" s="266"/>
      <c r="BJ41" s="265"/>
    </row>
    <row r="42" spans="1:62" ht="14.4" customHeight="1">
      <c r="A42" s="265"/>
      <c r="B42" s="289"/>
      <c r="C42" s="289"/>
      <c r="D42" s="418" t="str">
        <f t="shared" si="2"/>
        <v>1</v>
      </c>
      <c r="E42" s="418"/>
      <c r="F42" s="418" t="str">
        <f t="shared" si="3"/>
        <v>1</v>
      </c>
      <c r="G42" s="418"/>
      <c r="H42" s="419" t="str">
        <f t="shared" si="5"/>
        <v>1</v>
      </c>
      <c r="I42" s="418"/>
      <c r="J42" s="418"/>
      <c r="K42" s="418"/>
      <c r="L42" s="418"/>
      <c r="M42" s="418"/>
      <c r="N42" s="418"/>
      <c r="O42" s="418"/>
      <c r="P42" s="418"/>
      <c r="Q42" s="418"/>
      <c r="R42" s="418"/>
      <c r="S42" s="418"/>
      <c r="T42" s="418"/>
      <c r="U42" s="418"/>
      <c r="V42" s="418"/>
      <c r="W42" s="494" t="str">
        <f>IF(Y40="","","Φ90")</f>
        <v>Φ90</v>
      </c>
      <c r="X42" s="495" t="str">
        <f>IF(Y40="","","x"&amp;VLOOKUP(Y40,big_tabela,53,0))</f>
        <v>x1</v>
      </c>
      <c r="Y42" s="403" t="str">
        <f>IF(Y40="","","◄")</f>
        <v>◄</v>
      </c>
      <c r="Z42" s="397"/>
      <c r="AA42" s="772"/>
      <c r="AB42" s="772"/>
      <c r="AC42" s="773"/>
      <c r="AD42" s="774"/>
      <c r="AE42" s="289"/>
      <c r="AF42" s="395"/>
      <c r="AG42" s="783"/>
      <c r="AH42" s="783"/>
      <c r="AI42" s="784"/>
      <c r="AJ42" s="767"/>
      <c r="AK42" s="402" t="str">
        <f>IF(AK40="","","◄")</f>
        <v>◄</v>
      </c>
      <c r="AL42" s="494" t="str">
        <f>IF(AK40="","","Φ90")</f>
        <v>Φ90</v>
      </c>
      <c r="AM42" s="495" t="str">
        <f>IF(AK40="","","x"&amp;VLOOKUP(AK40,big_tabela,52,0))</f>
        <v>x2</v>
      </c>
      <c r="AN42" s="289"/>
      <c r="AO42" s="289"/>
      <c r="AP42" s="409"/>
      <c r="AQ42" s="409"/>
      <c r="AR42" s="409"/>
      <c r="AS42" s="409"/>
      <c r="AT42" s="409"/>
      <c r="AU42" s="409"/>
      <c r="AV42" s="409"/>
      <c r="AW42" s="409"/>
      <c r="AX42" s="409"/>
      <c r="AY42" s="409"/>
      <c r="AZ42" s="409"/>
      <c r="BA42" s="409"/>
      <c r="BB42" s="409"/>
      <c r="BC42" s="409"/>
      <c r="BD42" s="418" t="str">
        <f t="shared" si="7"/>
        <v>1</v>
      </c>
      <c r="BE42" s="409"/>
      <c r="BF42" s="418" t="str">
        <f t="shared" si="4"/>
        <v>1</v>
      </c>
      <c r="BG42" s="409"/>
      <c r="BH42" s="418" t="str">
        <f t="shared" si="8"/>
        <v>1</v>
      </c>
      <c r="BI42" s="266"/>
      <c r="BJ42" s="265"/>
    </row>
    <row r="43" spans="1:62" ht="3" customHeight="1">
      <c r="A43" s="265"/>
      <c r="B43" s="289"/>
      <c r="C43" s="404"/>
      <c r="D43" s="418" t="str">
        <f t="shared" si="2"/>
        <v>1</v>
      </c>
      <c r="E43" s="418"/>
      <c r="F43" s="418" t="str">
        <f t="shared" si="3"/>
        <v>1</v>
      </c>
      <c r="G43" s="418"/>
      <c r="H43" s="419" t="str">
        <f t="shared" si="5"/>
        <v>1</v>
      </c>
      <c r="I43" s="418"/>
      <c r="J43" s="419" t="str">
        <f t="shared" ref="J43:X58" si="9">$X$41</f>
        <v>1</v>
      </c>
      <c r="K43" s="419" t="str">
        <f t="shared" si="9"/>
        <v>1</v>
      </c>
      <c r="L43" s="419" t="str">
        <f t="shared" si="9"/>
        <v>1</v>
      </c>
      <c r="M43" s="419" t="str">
        <f t="shared" si="9"/>
        <v>1</v>
      </c>
      <c r="N43" s="419" t="str">
        <f t="shared" si="9"/>
        <v>1</v>
      </c>
      <c r="O43" s="419" t="str">
        <f t="shared" si="9"/>
        <v>1</v>
      </c>
      <c r="P43" s="419" t="str">
        <f t="shared" si="9"/>
        <v>1</v>
      </c>
      <c r="Q43" s="419" t="str">
        <f t="shared" si="9"/>
        <v>1</v>
      </c>
      <c r="R43" s="419" t="str">
        <f t="shared" si="9"/>
        <v>1</v>
      </c>
      <c r="S43" s="419" t="str">
        <f t="shared" si="9"/>
        <v>1</v>
      </c>
      <c r="T43" s="419" t="str">
        <f t="shared" si="9"/>
        <v>1</v>
      </c>
      <c r="U43" s="419" t="str">
        <f t="shared" si="9"/>
        <v>1</v>
      </c>
      <c r="V43" s="419" t="str">
        <f t="shared" si="9"/>
        <v>1</v>
      </c>
      <c r="W43" s="419" t="str">
        <f t="shared" si="9"/>
        <v>1</v>
      </c>
      <c r="X43" s="419" t="str">
        <f t="shared" si="9"/>
        <v>1</v>
      </c>
      <c r="Y43" s="419" t="str">
        <f>$X$41</f>
        <v>1</v>
      </c>
      <c r="Z43" s="397"/>
      <c r="AA43" s="412"/>
      <c r="AB43" s="412"/>
      <c r="AC43" s="415"/>
      <c r="AD43" s="416"/>
      <c r="AE43" s="289"/>
      <c r="AF43" s="395"/>
      <c r="AG43" s="421"/>
      <c r="AH43" s="421"/>
      <c r="AI43" s="413"/>
      <c r="AJ43" s="414"/>
      <c r="AK43" s="418" t="str">
        <f>$AL$41</f>
        <v>1</v>
      </c>
      <c r="AL43" s="418" t="str">
        <f t="shared" ref="AL43:BB58" si="10">$AL$41</f>
        <v>1</v>
      </c>
      <c r="AM43" s="418" t="str">
        <f t="shared" si="10"/>
        <v>1</v>
      </c>
      <c r="AN43" s="418" t="str">
        <f t="shared" si="10"/>
        <v>1</v>
      </c>
      <c r="AO43" s="418" t="str">
        <f t="shared" si="10"/>
        <v>1</v>
      </c>
      <c r="AP43" s="418" t="str">
        <f t="shared" si="10"/>
        <v>1</v>
      </c>
      <c r="AQ43" s="418" t="str">
        <f t="shared" si="10"/>
        <v>1</v>
      </c>
      <c r="AR43" s="418" t="str">
        <f t="shared" si="10"/>
        <v>1</v>
      </c>
      <c r="AS43" s="418" t="str">
        <f t="shared" si="10"/>
        <v>1</v>
      </c>
      <c r="AT43" s="418" t="str">
        <f t="shared" si="10"/>
        <v>1</v>
      </c>
      <c r="AU43" s="418" t="str">
        <f t="shared" si="10"/>
        <v>1</v>
      </c>
      <c r="AV43" s="418" t="str">
        <f t="shared" si="10"/>
        <v>1</v>
      </c>
      <c r="AW43" s="418" t="str">
        <f t="shared" si="10"/>
        <v>1</v>
      </c>
      <c r="AX43" s="418" t="str">
        <f t="shared" si="10"/>
        <v>1</v>
      </c>
      <c r="AY43" s="418" t="str">
        <f t="shared" si="10"/>
        <v>1</v>
      </c>
      <c r="AZ43" s="418" t="str">
        <f t="shared" si="10"/>
        <v>1</v>
      </c>
      <c r="BA43" s="418" t="str">
        <f t="shared" si="10"/>
        <v>1</v>
      </c>
      <c r="BB43" s="418" t="str">
        <f t="shared" si="10"/>
        <v>1</v>
      </c>
      <c r="BC43" s="409"/>
      <c r="BD43" s="418" t="str">
        <f t="shared" si="7"/>
        <v>1</v>
      </c>
      <c r="BE43" s="409"/>
      <c r="BF43" s="418" t="str">
        <f t="shared" si="4"/>
        <v>1</v>
      </c>
      <c r="BG43" s="409"/>
      <c r="BH43" s="418" t="str">
        <f t="shared" si="8"/>
        <v>1</v>
      </c>
      <c r="BI43" s="266"/>
      <c r="BJ43" s="265"/>
    </row>
    <row r="44" spans="1:62" ht="14.4" customHeight="1">
      <c r="A44" s="265"/>
      <c r="B44" s="289"/>
      <c r="C44" s="289"/>
      <c r="D44" s="418" t="str">
        <f t="shared" si="2"/>
        <v>1</v>
      </c>
      <c r="E44" s="418"/>
      <c r="F44" s="418" t="str">
        <f t="shared" si="3"/>
        <v>1</v>
      </c>
      <c r="G44" s="418"/>
      <c r="H44" s="419" t="str">
        <f t="shared" si="5"/>
        <v>1</v>
      </c>
      <c r="I44" s="418"/>
      <c r="J44" s="419" t="str">
        <f t="shared" si="9"/>
        <v>1</v>
      </c>
      <c r="K44" s="418"/>
      <c r="L44" s="418"/>
      <c r="M44" s="418"/>
      <c r="N44" s="418"/>
      <c r="O44" s="418"/>
      <c r="P44" s="418"/>
      <c r="Q44" s="418"/>
      <c r="R44" s="418"/>
      <c r="S44" s="418"/>
      <c r="T44" s="418"/>
      <c r="U44" s="418"/>
      <c r="V44" s="418"/>
      <c r="W44" s="289"/>
      <c r="X44" s="289"/>
      <c r="Y44" s="289"/>
      <c r="Z44" s="397"/>
      <c r="AA44" s="399" t="str">
        <f>IF(Y40="","",VLOOKUP(Y40,big_tabela,4,0))</f>
        <v/>
      </c>
      <c r="AB44" s="400"/>
      <c r="AC44" s="634" t="str">
        <f>IF(Y40="","","anemostat")</f>
        <v>anemostat</v>
      </c>
      <c r="AD44" s="416" t="str">
        <f>IF(Y40="","","x"&amp;VLOOKUP(Y40,big_tabela,56,0))</f>
        <v>x1</v>
      </c>
      <c r="AE44" s="289"/>
      <c r="AF44" s="395"/>
      <c r="AG44" s="398" t="str">
        <f>IF(AK40="","",VLOOKUP(AK40,big_tabela,4,0))</f>
        <v/>
      </c>
      <c r="AH44" s="417"/>
      <c r="AI44" s="635" t="str">
        <f>IF(AK40="","","anemostat")</f>
        <v>anemostat</v>
      </c>
      <c r="AJ44" s="414" t="str">
        <f>IF(AK40="","","x"&amp;VLOOKUP(AK40,big_tabela,55,0))</f>
        <v>x2</v>
      </c>
      <c r="AK44" s="401"/>
      <c r="AL44" s="289"/>
      <c r="AM44" s="289"/>
      <c r="AN44" s="289"/>
      <c r="AO44" s="289"/>
      <c r="AP44" s="409"/>
      <c r="AQ44" s="409"/>
      <c r="AR44" s="409"/>
      <c r="AS44" s="409"/>
      <c r="AT44" s="409"/>
      <c r="AU44" s="409"/>
      <c r="AV44" s="409"/>
      <c r="AW44" s="409"/>
      <c r="AX44" s="409"/>
      <c r="AY44" s="409"/>
      <c r="AZ44" s="409"/>
      <c r="BA44" s="409"/>
      <c r="BB44" s="418" t="str">
        <f t="shared" si="10"/>
        <v>1</v>
      </c>
      <c r="BC44" s="409"/>
      <c r="BD44" s="418" t="str">
        <f t="shared" si="7"/>
        <v>1</v>
      </c>
      <c r="BE44" s="409"/>
      <c r="BF44" s="418" t="str">
        <f t="shared" si="4"/>
        <v>1</v>
      </c>
      <c r="BG44" s="409"/>
      <c r="BH44" s="418" t="str">
        <f t="shared" si="8"/>
        <v>1</v>
      </c>
      <c r="BI44" s="266"/>
      <c r="BJ44" s="265"/>
    </row>
    <row r="45" spans="1:62" ht="6" customHeight="1">
      <c r="A45" s="265"/>
      <c r="B45" s="289"/>
      <c r="C45" s="289"/>
      <c r="D45" s="418" t="str">
        <f t="shared" si="2"/>
        <v>1</v>
      </c>
      <c r="E45" s="418"/>
      <c r="F45" s="418" t="str">
        <f t="shared" ref="F45:F87" si="11">$X$27</f>
        <v>1</v>
      </c>
      <c r="G45" s="418"/>
      <c r="H45" s="419" t="str">
        <f t="shared" si="5"/>
        <v>1</v>
      </c>
      <c r="I45" s="418"/>
      <c r="J45" s="419" t="str">
        <f t="shared" si="9"/>
        <v>1</v>
      </c>
      <c r="K45" s="418"/>
      <c r="L45" s="418"/>
      <c r="M45" s="418"/>
      <c r="N45" s="418"/>
      <c r="O45" s="418"/>
      <c r="P45" s="418"/>
      <c r="Q45" s="418"/>
      <c r="R45" s="418"/>
      <c r="S45" s="418"/>
      <c r="T45" s="418"/>
      <c r="U45" s="418"/>
      <c r="V45" s="418"/>
      <c r="W45" s="289"/>
      <c r="X45" s="289"/>
      <c r="Y45" s="289"/>
      <c r="Z45" s="397"/>
      <c r="AA45" s="397"/>
      <c r="AB45" s="397"/>
      <c r="AC45" s="397"/>
      <c r="AD45" s="397"/>
      <c r="AE45" s="289"/>
      <c r="AF45" s="395"/>
      <c r="AG45" s="395"/>
      <c r="AH45" s="395"/>
      <c r="AI45" s="395"/>
      <c r="AJ45" s="395"/>
      <c r="AK45" s="289"/>
      <c r="AL45" s="289"/>
      <c r="AM45" s="289"/>
      <c r="AN45" s="289"/>
      <c r="AO45" s="289"/>
      <c r="AP45" s="409"/>
      <c r="AQ45" s="409"/>
      <c r="AR45" s="409"/>
      <c r="AS45" s="409"/>
      <c r="AT45" s="409"/>
      <c r="AU45" s="409"/>
      <c r="AV45" s="409"/>
      <c r="AW45" s="409"/>
      <c r="AX45" s="409"/>
      <c r="AY45" s="409"/>
      <c r="AZ45" s="409"/>
      <c r="BA45" s="409"/>
      <c r="BB45" s="418" t="str">
        <f t="shared" si="10"/>
        <v>1</v>
      </c>
      <c r="BC45" s="409"/>
      <c r="BD45" s="418" t="str">
        <f t="shared" si="7"/>
        <v>1</v>
      </c>
      <c r="BE45" s="409"/>
      <c r="BF45" s="418" t="str">
        <f t="shared" ref="BF45:BF87" si="12">$AL$27</f>
        <v>1</v>
      </c>
      <c r="BG45" s="409"/>
      <c r="BH45" s="418" t="str">
        <f t="shared" si="8"/>
        <v>1</v>
      </c>
      <c r="BI45" s="266"/>
      <c r="BJ45" s="265"/>
    </row>
    <row r="46" spans="1:62">
      <c r="A46" s="265"/>
      <c r="B46" s="289"/>
      <c r="C46" s="289"/>
      <c r="D46" s="418" t="str">
        <f t="shared" si="2"/>
        <v>1</v>
      </c>
      <c r="E46" s="418"/>
      <c r="F46" s="418" t="str">
        <f t="shared" si="11"/>
        <v>1</v>
      </c>
      <c r="G46" s="418"/>
      <c r="H46" s="419" t="str">
        <f t="shared" si="5"/>
        <v>1</v>
      </c>
      <c r="I46" s="418"/>
      <c r="J46" s="419" t="str">
        <f t="shared" si="9"/>
        <v>1</v>
      </c>
      <c r="K46" s="418"/>
      <c r="L46" s="418"/>
      <c r="M46" s="418"/>
      <c r="N46" s="418"/>
      <c r="O46" s="418"/>
      <c r="P46" s="418"/>
      <c r="Q46" s="418"/>
      <c r="R46" s="418"/>
      <c r="S46" s="418"/>
      <c r="T46" s="418"/>
      <c r="U46" s="418"/>
      <c r="V46" s="418"/>
      <c r="W46" s="289"/>
      <c r="X46" s="289"/>
      <c r="Y46" s="289"/>
      <c r="Z46" s="289"/>
      <c r="AA46" s="289"/>
      <c r="AB46" s="289"/>
      <c r="AC46" s="289"/>
      <c r="AD46" s="289"/>
      <c r="AE46" s="289"/>
      <c r="AF46" s="289"/>
      <c r="AG46" s="289"/>
      <c r="AH46" s="289"/>
      <c r="AI46" s="289"/>
      <c r="AJ46" s="289"/>
      <c r="AK46" s="289"/>
      <c r="AL46" s="289"/>
      <c r="AM46" s="289"/>
      <c r="AN46" s="289"/>
      <c r="AO46" s="289"/>
      <c r="AP46" s="409"/>
      <c r="AQ46" s="409"/>
      <c r="AR46" s="409"/>
      <c r="AS46" s="409"/>
      <c r="AT46" s="409"/>
      <c r="AU46" s="409"/>
      <c r="AV46" s="409"/>
      <c r="AW46" s="409"/>
      <c r="AX46" s="409"/>
      <c r="AY46" s="409"/>
      <c r="AZ46" s="409"/>
      <c r="BA46" s="409"/>
      <c r="BB46" s="418" t="str">
        <f t="shared" si="10"/>
        <v>1</v>
      </c>
      <c r="BC46" s="409"/>
      <c r="BD46" s="418" t="str">
        <f t="shared" si="7"/>
        <v>1</v>
      </c>
      <c r="BE46" s="409"/>
      <c r="BF46" s="418" t="str">
        <f t="shared" si="12"/>
        <v>1</v>
      </c>
      <c r="BG46" s="409"/>
      <c r="BH46" s="418" t="str">
        <f t="shared" si="8"/>
        <v>1</v>
      </c>
      <c r="BI46" s="266"/>
      <c r="BJ46" s="265"/>
    </row>
    <row r="47" spans="1:62" ht="6" customHeight="1">
      <c r="A47" s="265"/>
      <c r="B47" s="289"/>
      <c r="C47" s="289"/>
      <c r="D47" s="418" t="str">
        <f t="shared" si="2"/>
        <v>1</v>
      </c>
      <c r="E47" s="418"/>
      <c r="F47" s="418" t="str">
        <f t="shared" si="11"/>
        <v>1</v>
      </c>
      <c r="G47" s="418"/>
      <c r="H47" s="419" t="str">
        <f t="shared" si="5"/>
        <v>1</v>
      </c>
      <c r="I47" s="418"/>
      <c r="J47" s="419" t="str">
        <f t="shared" si="9"/>
        <v>1</v>
      </c>
      <c r="K47" s="418"/>
      <c r="L47" s="418"/>
      <c r="M47" s="418"/>
      <c r="N47" s="418"/>
      <c r="O47" s="418"/>
      <c r="P47" s="418"/>
      <c r="Q47" s="418"/>
      <c r="R47" s="418"/>
      <c r="S47" s="418"/>
      <c r="T47" s="418"/>
      <c r="U47" s="418"/>
      <c r="V47" s="418"/>
      <c r="W47" s="289"/>
      <c r="X47" s="289"/>
      <c r="Y47" s="789" t="str">
        <f>IF(Obliczenia!E65="10","",Obliczenia!E65)</f>
        <v>0.11</v>
      </c>
      <c r="Z47" s="397"/>
      <c r="AA47" s="397"/>
      <c r="AB47" s="397"/>
      <c r="AC47" s="397"/>
      <c r="AD47" s="397"/>
      <c r="AE47" s="289"/>
      <c r="AF47" s="395"/>
      <c r="AG47" s="395"/>
      <c r="AH47" s="395"/>
      <c r="AI47" s="395"/>
      <c r="AJ47" s="395"/>
      <c r="AK47" s="789" t="str">
        <f>IF(Obliczenia!E41="10","",Obliczenia!E41)</f>
        <v>0.8</v>
      </c>
      <c r="AL47" s="289"/>
      <c r="AM47" s="289"/>
      <c r="AN47" s="289"/>
      <c r="AO47" s="289"/>
      <c r="AP47" s="409"/>
      <c r="AQ47" s="409"/>
      <c r="AR47" s="409"/>
      <c r="AS47" s="409"/>
      <c r="AT47" s="409"/>
      <c r="AU47" s="409"/>
      <c r="AV47" s="409"/>
      <c r="AW47" s="409"/>
      <c r="AX47" s="409"/>
      <c r="AY47" s="409"/>
      <c r="AZ47" s="409"/>
      <c r="BA47" s="409"/>
      <c r="BB47" s="418" t="str">
        <f t="shared" si="10"/>
        <v>1</v>
      </c>
      <c r="BC47" s="409"/>
      <c r="BD47" s="418" t="str">
        <f t="shared" si="7"/>
        <v>1</v>
      </c>
      <c r="BE47" s="409"/>
      <c r="BF47" s="418" t="str">
        <f t="shared" si="12"/>
        <v>1</v>
      </c>
      <c r="BG47" s="409"/>
      <c r="BH47" s="418" t="str">
        <f t="shared" si="8"/>
        <v>1</v>
      </c>
      <c r="BI47" s="266"/>
      <c r="BJ47" s="265"/>
    </row>
    <row r="48" spans="1:62" ht="14.4" customHeight="1">
      <c r="A48" s="265"/>
      <c r="B48" s="289"/>
      <c r="C48" s="289"/>
      <c r="D48" s="418" t="str">
        <f t="shared" si="2"/>
        <v>1</v>
      </c>
      <c r="E48" s="418"/>
      <c r="F48" s="418" t="str">
        <f t="shared" si="11"/>
        <v>1</v>
      </c>
      <c r="G48" s="418"/>
      <c r="H48" s="419" t="str">
        <f t="shared" si="5"/>
        <v>1</v>
      </c>
      <c r="I48" s="418"/>
      <c r="J48" s="419" t="str">
        <f t="shared" si="9"/>
        <v>1</v>
      </c>
      <c r="K48" s="418"/>
      <c r="L48" s="418"/>
      <c r="M48" s="418"/>
      <c r="N48" s="418"/>
      <c r="O48" s="418"/>
      <c r="P48" s="418"/>
      <c r="Q48" s="418"/>
      <c r="R48" s="418"/>
      <c r="S48" s="418"/>
      <c r="T48" s="418"/>
      <c r="U48" s="418"/>
      <c r="V48" s="418"/>
      <c r="W48" s="289"/>
      <c r="X48" s="4" t="str">
        <f>IF(Y47&lt;&gt;"","1","")</f>
        <v>1</v>
      </c>
      <c r="Y48" s="789"/>
      <c r="Z48" s="397"/>
      <c r="AA48" s="772" t="str">
        <f>IF(Y47="","",VLOOKUP(Y47,big_tabela,3,0))</f>
        <v>Łazienka</v>
      </c>
      <c r="AB48" s="772"/>
      <c r="AC48" s="773">
        <f>IF(Y47="","",VLOOKUP(Y47,big_tabela,12,0))</f>
        <v>55</v>
      </c>
      <c r="AD48" s="774" t="s">
        <v>373</v>
      </c>
      <c r="AE48" s="289"/>
      <c r="AF48" s="395"/>
      <c r="AG48" s="783" t="str">
        <f>IF(AK47="","",VLOOKUP(AK47,big_tabela,3,0))</f>
        <v>Jadalnia - nawiew</v>
      </c>
      <c r="AH48" s="783"/>
      <c r="AI48" s="784">
        <f>IF(AK47="","",VLOOKUP(AK47,big_tabela,12,0))</f>
        <v>20</v>
      </c>
      <c r="AJ48" s="767" t="s">
        <v>373</v>
      </c>
      <c r="AK48" s="789"/>
      <c r="AL48" s="4" t="str">
        <f>IF(AK47&lt;&gt;"","1","")</f>
        <v>1</v>
      </c>
      <c r="AM48" s="289"/>
      <c r="AN48" s="289"/>
      <c r="AO48" s="289"/>
      <c r="AP48" s="409"/>
      <c r="AQ48" s="409"/>
      <c r="AR48" s="409"/>
      <c r="AS48" s="409"/>
      <c r="AT48" s="409"/>
      <c r="AU48" s="409"/>
      <c r="AV48" s="409"/>
      <c r="AW48" s="409"/>
      <c r="AX48" s="409"/>
      <c r="AY48" s="409"/>
      <c r="AZ48" s="409"/>
      <c r="BA48" s="409"/>
      <c r="BB48" s="418" t="str">
        <f t="shared" si="10"/>
        <v>1</v>
      </c>
      <c r="BC48" s="409"/>
      <c r="BD48" s="418" t="str">
        <f t="shared" si="7"/>
        <v>1</v>
      </c>
      <c r="BE48" s="409"/>
      <c r="BF48" s="418" t="str">
        <f t="shared" si="12"/>
        <v>1</v>
      </c>
      <c r="BG48" s="409"/>
      <c r="BH48" s="418" t="str">
        <f t="shared" si="8"/>
        <v>1</v>
      </c>
      <c r="BI48" s="266"/>
      <c r="BJ48" s="265"/>
    </row>
    <row r="49" spans="1:62" ht="14.4" customHeight="1">
      <c r="A49" s="265"/>
      <c r="B49" s="289"/>
      <c r="C49" s="289"/>
      <c r="D49" s="418" t="str">
        <f t="shared" si="2"/>
        <v>1</v>
      </c>
      <c r="E49" s="418"/>
      <c r="F49" s="418" t="str">
        <f t="shared" si="11"/>
        <v>1</v>
      </c>
      <c r="G49" s="418"/>
      <c r="H49" s="419" t="str">
        <f t="shared" si="5"/>
        <v>1</v>
      </c>
      <c r="I49" s="418"/>
      <c r="J49" s="419" t="str">
        <f t="shared" si="9"/>
        <v>1</v>
      </c>
      <c r="K49" s="418"/>
      <c r="L49" s="418"/>
      <c r="M49" s="418"/>
      <c r="N49" s="418"/>
      <c r="O49" s="418"/>
      <c r="P49" s="418"/>
      <c r="Q49" s="418"/>
      <c r="R49" s="418"/>
      <c r="S49" s="418"/>
      <c r="T49" s="418"/>
      <c r="U49" s="418"/>
      <c r="V49" s="418"/>
      <c r="W49" s="494" t="str">
        <f>IF(Y47="","","Φ90")</f>
        <v>Φ90</v>
      </c>
      <c r="X49" s="495" t="str">
        <f>IF(Y47="","","x"&amp;VLOOKUP(Y47,big_tabela,53,0))</f>
        <v>x2</v>
      </c>
      <c r="Y49" s="403" t="str">
        <f>IF(Y47="","","◄")</f>
        <v>◄</v>
      </c>
      <c r="Z49" s="397"/>
      <c r="AA49" s="772"/>
      <c r="AB49" s="772"/>
      <c r="AC49" s="773"/>
      <c r="AD49" s="774"/>
      <c r="AE49" s="289"/>
      <c r="AF49" s="395"/>
      <c r="AG49" s="783"/>
      <c r="AH49" s="783"/>
      <c r="AI49" s="784"/>
      <c r="AJ49" s="767"/>
      <c r="AK49" s="402" t="str">
        <f>IF(AK47="","","◄")</f>
        <v>◄</v>
      </c>
      <c r="AL49" s="494" t="str">
        <f>IF(AK47="","","Φ90")</f>
        <v>Φ90</v>
      </c>
      <c r="AM49" s="495" t="str">
        <f>IF(AK47="","","x"&amp;VLOOKUP(AK47,big_tabela,52,0))</f>
        <v>x1</v>
      </c>
      <c r="AN49" s="289"/>
      <c r="AO49" s="289"/>
      <c r="AP49" s="409"/>
      <c r="AQ49" s="409"/>
      <c r="AR49" s="409"/>
      <c r="AS49" s="409"/>
      <c r="AT49" s="409"/>
      <c r="AU49" s="409"/>
      <c r="AV49" s="409"/>
      <c r="AW49" s="409"/>
      <c r="AX49" s="409"/>
      <c r="AY49" s="409"/>
      <c r="AZ49" s="409"/>
      <c r="BA49" s="409"/>
      <c r="BB49" s="418" t="str">
        <f t="shared" si="10"/>
        <v>1</v>
      </c>
      <c r="BC49" s="409"/>
      <c r="BD49" s="418" t="str">
        <f t="shared" si="7"/>
        <v>1</v>
      </c>
      <c r="BE49" s="409"/>
      <c r="BF49" s="418" t="str">
        <f t="shared" si="12"/>
        <v>1</v>
      </c>
      <c r="BG49" s="409"/>
      <c r="BH49" s="418" t="str">
        <f t="shared" si="8"/>
        <v>1</v>
      </c>
      <c r="BI49" s="266"/>
      <c r="BJ49" s="265"/>
    </row>
    <row r="50" spans="1:62" ht="3" customHeight="1">
      <c r="A50" s="265"/>
      <c r="B50" s="289"/>
      <c r="C50" s="404"/>
      <c r="D50" s="418" t="str">
        <f t="shared" si="2"/>
        <v>1</v>
      </c>
      <c r="E50" s="418"/>
      <c r="F50" s="418" t="str">
        <f t="shared" si="11"/>
        <v>1</v>
      </c>
      <c r="G50" s="418"/>
      <c r="H50" s="419" t="str">
        <f t="shared" si="5"/>
        <v>1</v>
      </c>
      <c r="I50" s="418"/>
      <c r="J50" s="419" t="str">
        <f t="shared" si="9"/>
        <v>1</v>
      </c>
      <c r="K50" s="418"/>
      <c r="L50" s="419" t="str">
        <f t="shared" ref="L50:X87" si="13">$X$48</f>
        <v>1</v>
      </c>
      <c r="M50" s="419" t="str">
        <f t="shared" si="13"/>
        <v>1</v>
      </c>
      <c r="N50" s="419" t="str">
        <f t="shared" si="13"/>
        <v>1</v>
      </c>
      <c r="O50" s="419" t="str">
        <f t="shared" si="13"/>
        <v>1</v>
      </c>
      <c r="P50" s="419" t="str">
        <f t="shared" si="13"/>
        <v>1</v>
      </c>
      <c r="Q50" s="419" t="str">
        <f t="shared" si="13"/>
        <v>1</v>
      </c>
      <c r="R50" s="419" t="str">
        <f t="shared" si="13"/>
        <v>1</v>
      </c>
      <c r="S50" s="419" t="str">
        <f t="shared" si="13"/>
        <v>1</v>
      </c>
      <c r="T50" s="419" t="str">
        <f t="shared" si="13"/>
        <v>1</v>
      </c>
      <c r="U50" s="419" t="str">
        <f t="shared" si="13"/>
        <v>1</v>
      </c>
      <c r="V50" s="419" t="str">
        <f t="shared" si="13"/>
        <v>1</v>
      </c>
      <c r="W50" s="419" t="str">
        <f t="shared" si="13"/>
        <v>1</v>
      </c>
      <c r="X50" s="419" t="str">
        <f t="shared" si="13"/>
        <v>1</v>
      </c>
      <c r="Y50" s="419" t="str">
        <f>$X$48</f>
        <v>1</v>
      </c>
      <c r="Z50" s="397"/>
      <c r="AA50" s="412"/>
      <c r="AB50" s="412"/>
      <c r="AC50" s="415"/>
      <c r="AD50" s="416"/>
      <c r="AE50" s="289"/>
      <c r="AF50" s="395"/>
      <c r="AG50" s="421"/>
      <c r="AH50" s="421"/>
      <c r="AI50" s="413"/>
      <c r="AJ50" s="414"/>
      <c r="AK50" s="418" t="str">
        <f t="shared" ref="AK50:AZ65" si="14">$AL$48</f>
        <v>1</v>
      </c>
      <c r="AL50" s="418" t="str">
        <f t="shared" si="14"/>
        <v>1</v>
      </c>
      <c r="AM50" s="418" t="str">
        <f t="shared" si="14"/>
        <v>1</v>
      </c>
      <c r="AN50" s="418" t="str">
        <f t="shared" si="14"/>
        <v>1</v>
      </c>
      <c r="AO50" s="418" t="str">
        <f t="shared" si="14"/>
        <v>1</v>
      </c>
      <c r="AP50" s="418" t="str">
        <f t="shared" si="14"/>
        <v>1</v>
      </c>
      <c r="AQ50" s="418" t="str">
        <f t="shared" si="14"/>
        <v>1</v>
      </c>
      <c r="AR50" s="418" t="str">
        <f t="shared" si="14"/>
        <v>1</v>
      </c>
      <c r="AS50" s="418" t="str">
        <f t="shared" si="14"/>
        <v>1</v>
      </c>
      <c r="AT50" s="418" t="str">
        <f t="shared" si="14"/>
        <v>1</v>
      </c>
      <c r="AU50" s="418" t="str">
        <f t="shared" si="14"/>
        <v>1</v>
      </c>
      <c r="AV50" s="418" t="str">
        <f t="shared" si="14"/>
        <v>1</v>
      </c>
      <c r="AW50" s="418" t="str">
        <f t="shared" si="14"/>
        <v>1</v>
      </c>
      <c r="AX50" s="418" t="str">
        <f t="shared" si="14"/>
        <v>1</v>
      </c>
      <c r="AY50" s="418" t="str">
        <f t="shared" si="14"/>
        <v>1</v>
      </c>
      <c r="AZ50" s="418" t="str">
        <f t="shared" si="14"/>
        <v>1</v>
      </c>
      <c r="BA50" s="409"/>
      <c r="BB50" s="418" t="str">
        <f t="shared" si="10"/>
        <v>1</v>
      </c>
      <c r="BC50" s="409"/>
      <c r="BD50" s="418" t="str">
        <f t="shared" si="7"/>
        <v>1</v>
      </c>
      <c r="BE50" s="409"/>
      <c r="BF50" s="418" t="str">
        <f t="shared" si="12"/>
        <v>1</v>
      </c>
      <c r="BG50" s="409"/>
      <c r="BH50" s="418" t="str">
        <f t="shared" si="8"/>
        <v>1</v>
      </c>
      <c r="BI50" s="266"/>
      <c r="BJ50" s="265"/>
    </row>
    <row r="51" spans="1:62" ht="14.4" customHeight="1">
      <c r="A51" s="265"/>
      <c r="B51" s="289"/>
      <c r="C51" s="289"/>
      <c r="D51" s="418" t="str">
        <f t="shared" si="2"/>
        <v>1</v>
      </c>
      <c r="E51" s="418"/>
      <c r="F51" s="418" t="str">
        <f t="shared" si="11"/>
        <v>1</v>
      </c>
      <c r="G51" s="418"/>
      <c r="H51" s="419" t="str">
        <f t="shared" si="5"/>
        <v>1</v>
      </c>
      <c r="I51" s="418"/>
      <c r="J51" s="419" t="str">
        <f t="shared" si="9"/>
        <v>1</v>
      </c>
      <c r="K51" s="418"/>
      <c r="L51" s="419" t="str">
        <f t="shared" si="13"/>
        <v>1</v>
      </c>
      <c r="M51" s="418"/>
      <c r="N51" s="418"/>
      <c r="O51" s="418"/>
      <c r="P51" s="418"/>
      <c r="Q51" s="418"/>
      <c r="R51" s="418"/>
      <c r="S51" s="418"/>
      <c r="T51" s="418"/>
      <c r="U51" s="418"/>
      <c r="V51" s="418"/>
      <c r="W51" s="289"/>
      <c r="X51" s="289"/>
      <c r="Y51" s="289"/>
      <c r="Z51" s="397"/>
      <c r="AA51" s="399" t="str">
        <f>IF(Y47="","",VLOOKUP(Y47,big_tabela,4,0))</f>
        <v/>
      </c>
      <c r="AB51" s="400"/>
      <c r="AC51" s="634" t="str">
        <f>IF(Y47="","","anemostat")</f>
        <v>anemostat</v>
      </c>
      <c r="AD51" s="416" t="str">
        <f>IF(Y47="","","x"&amp;VLOOKUP(Y47,big_tabela,56,0))</f>
        <v>x2</v>
      </c>
      <c r="AE51" s="289"/>
      <c r="AF51" s="395"/>
      <c r="AG51" s="398" t="str">
        <f>IF(AK47="","",VLOOKUP(AK47,big_tabela,4,0))</f>
        <v/>
      </c>
      <c r="AH51" s="417"/>
      <c r="AI51" s="635" t="str">
        <f>IF(AK47="","","anemostat")</f>
        <v>anemostat</v>
      </c>
      <c r="AJ51" s="414" t="str">
        <f>IF(AK47="","","x"&amp;VLOOKUP(AK47,big_tabela,55,0))</f>
        <v>x1</v>
      </c>
      <c r="AK51" s="401"/>
      <c r="AL51" s="289"/>
      <c r="AM51" s="289"/>
      <c r="AN51" s="289"/>
      <c r="AO51" s="289"/>
      <c r="AP51" s="409"/>
      <c r="AQ51" s="409"/>
      <c r="AR51" s="409"/>
      <c r="AS51" s="409"/>
      <c r="AT51" s="409"/>
      <c r="AU51" s="409"/>
      <c r="AV51" s="409"/>
      <c r="AW51" s="409"/>
      <c r="AX51" s="409"/>
      <c r="AY51" s="409"/>
      <c r="AZ51" s="418" t="str">
        <f t="shared" si="14"/>
        <v>1</v>
      </c>
      <c r="BA51" s="409"/>
      <c r="BB51" s="418" t="str">
        <f t="shared" si="10"/>
        <v>1</v>
      </c>
      <c r="BC51" s="409"/>
      <c r="BD51" s="418" t="str">
        <f t="shared" si="7"/>
        <v>1</v>
      </c>
      <c r="BE51" s="409"/>
      <c r="BF51" s="418" t="str">
        <f t="shared" si="12"/>
        <v>1</v>
      </c>
      <c r="BG51" s="409"/>
      <c r="BH51" s="418" t="str">
        <f t="shared" si="8"/>
        <v>1</v>
      </c>
      <c r="BI51" s="266"/>
      <c r="BJ51" s="265"/>
    </row>
    <row r="52" spans="1:62" ht="6" customHeight="1">
      <c r="A52" s="265"/>
      <c r="B52" s="289"/>
      <c r="C52" s="289"/>
      <c r="D52" s="418" t="str">
        <f t="shared" si="2"/>
        <v>1</v>
      </c>
      <c r="E52" s="418"/>
      <c r="F52" s="418" t="str">
        <f t="shared" si="11"/>
        <v>1</v>
      </c>
      <c r="G52" s="418"/>
      <c r="H52" s="419" t="str">
        <f t="shared" si="5"/>
        <v>1</v>
      </c>
      <c r="I52" s="418"/>
      <c r="J52" s="419" t="str">
        <f t="shared" si="9"/>
        <v>1</v>
      </c>
      <c r="K52" s="418"/>
      <c r="L52" s="419" t="str">
        <f t="shared" si="13"/>
        <v>1</v>
      </c>
      <c r="M52" s="418"/>
      <c r="N52" s="418"/>
      <c r="O52" s="418"/>
      <c r="P52" s="418"/>
      <c r="Q52" s="418"/>
      <c r="R52" s="418"/>
      <c r="S52" s="418"/>
      <c r="T52" s="418"/>
      <c r="U52" s="418"/>
      <c r="V52" s="418"/>
      <c r="W52" s="289"/>
      <c r="X52" s="289"/>
      <c r="Y52" s="289"/>
      <c r="Z52" s="397"/>
      <c r="AA52" s="397"/>
      <c r="AB52" s="397"/>
      <c r="AC52" s="397"/>
      <c r="AD52" s="397"/>
      <c r="AE52" s="289"/>
      <c r="AF52" s="395"/>
      <c r="AG52" s="395"/>
      <c r="AH52" s="395"/>
      <c r="AI52" s="395"/>
      <c r="AJ52" s="395"/>
      <c r="AK52" s="289"/>
      <c r="AL52" s="289"/>
      <c r="AM52" s="289"/>
      <c r="AN52" s="289"/>
      <c r="AO52" s="289"/>
      <c r="AP52" s="409"/>
      <c r="AQ52" s="409"/>
      <c r="AR52" s="409"/>
      <c r="AS52" s="409"/>
      <c r="AT52" s="409"/>
      <c r="AU52" s="409"/>
      <c r="AV52" s="409"/>
      <c r="AW52" s="409"/>
      <c r="AX52" s="409"/>
      <c r="AY52" s="409"/>
      <c r="AZ52" s="418" t="str">
        <f t="shared" si="14"/>
        <v>1</v>
      </c>
      <c r="BA52" s="409"/>
      <c r="BB52" s="418" t="str">
        <f t="shared" si="10"/>
        <v>1</v>
      </c>
      <c r="BC52" s="409"/>
      <c r="BD52" s="418" t="str">
        <f t="shared" ref="BD52:BD87" si="15">$AL$34</f>
        <v>1</v>
      </c>
      <c r="BE52" s="409"/>
      <c r="BF52" s="418" t="str">
        <f t="shared" si="12"/>
        <v>1</v>
      </c>
      <c r="BG52" s="409"/>
      <c r="BH52" s="418" t="str">
        <f t="shared" si="8"/>
        <v>1</v>
      </c>
      <c r="BI52" s="266"/>
      <c r="BJ52" s="265"/>
    </row>
    <row r="53" spans="1:62">
      <c r="A53" s="265"/>
      <c r="B53" s="289"/>
      <c r="C53" s="289"/>
      <c r="D53" s="418" t="str">
        <f t="shared" si="2"/>
        <v>1</v>
      </c>
      <c r="E53" s="418"/>
      <c r="F53" s="418" t="str">
        <f t="shared" si="11"/>
        <v>1</v>
      </c>
      <c r="G53" s="418"/>
      <c r="H53" s="419" t="str">
        <f t="shared" si="5"/>
        <v>1</v>
      </c>
      <c r="I53" s="418"/>
      <c r="J53" s="419" t="str">
        <f t="shared" si="9"/>
        <v>1</v>
      </c>
      <c r="K53" s="418"/>
      <c r="L53" s="419" t="str">
        <f t="shared" si="13"/>
        <v>1</v>
      </c>
      <c r="M53" s="418"/>
      <c r="N53" s="418"/>
      <c r="O53" s="418"/>
      <c r="P53" s="418"/>
      <c r="Q53" s="418"/>
      <c r="R53" s="418"/>
      <c r="S53" s="418"/>
      <c r="T53" s="418"/>
      <c r="U53" s="418"/>
      <c r="V53" s="418"/>
      <c r="W53" s="289"/>
      <c r="X53" s="289"/>
      <c r="Y53" s="289"/>
      <c r="Z53" s="289"/>
      <c r="AA53" s="289"/>
      <c r="AB53" s="289"/>
      <c r="AC53" s="289"/>
      <c r="AD53" s="289"/>
      <c r="AE53" s="289"/>
      <c r="AF53" s="289"/>
      <c r="AG53" s="289"/>
      <c r="AH53" s="289"/>
      <c r="AI53" s="289"/>
      <c r="AJ53" s="289"/>
      <c r="AK53" s="289"/>
      <c r="AL53" s="289"/>
      <c r="AM53" s="289"/>
      <c r="AN53" s="289"/>
      <c r="AO53" s="289"/>
      <c r="AP53" s="409"/>
      <c r="AQ53" s="409"/>
      <c r="AR53" s="409"/>
      <c r="AS53" s="409"/>
      <c r="AT53" s="409"/>
      <c r="AU53" s="409"/>
      <c r="AV53" s="409"/>
      <c r="AW53" s="409"/>
      <c r="AX53" s="409"/>
      <c r="AY53" s="409"/>
      <c r="AZ53" s="418" t="str">
        <f t="shared" si="14"/>
        <v>1</v>
      </c>
      <c r="BA53" s="409"/>
      <c r="BB53" s="418" t="str">
        <f t="shared" si="10"/>
        <v>1</v>
      </c>
      <c r="BC53" s="409"/>
      <c r="BD53" s="418" t="str">
        <f t="shared" si="15"/>
        <v>1</v>
      </c>
      <c r="BE53" s="409"/>
      <c r="BF53" s="418" t="str">
        <f t="shared" si="12"/>
        <v>1</v>
      </c>
      <c r="BG53" s="409"/>
      <c r="BH53" s="418" t="str">
        <f t="shared" si="8"/>
        <v>1</v>
      </c>
      <c r="BI53" s="266"/>
      <c r="BJ53" s="265"/>
    </row>
    <row r="54" spans="1:62" ht="6" customHeight="1">
      <c r="A54" s="265"/>
      <c r="B54" s="289"/>
      <c r="C54" s="289"/>
      <c r="D54" s="418" t="str">
        <f t="shared" si="2"/>
        <v>1</v>
      </c>
      <c r="E54" s="418"/>
      <c r="F54" s="418" t="str">
        <f t="shared" si="11"/>
        <v>1</v>
      </c>
      <c r="G54" s="418"/>
      <c r="H54" s="419" t="str">
        <f t="shared" si="5"/>
        <v>1</v>
      </c>
      <c r="I54" s="418"/>
      <c r="J54" s="419" t="str">
        <f t="shared" si="9"/>
        <v>1</v>
      </c>
      <c r="K54" s="418"/>
      <c r="L54" s="419" t="str">
        <f t="shared" si="13"/>
        <v>1</v>
      </c>
      <c r="M54" s="418"/>
      <c r="N54" s="418"/>
      <c r="O54" s="418"/>
      <c r="P54" s="418"/>
      <c r="Q54" s="418"/>
      <c r="R54" s="418"/>
      <c r="S54" s="418"/>
      <c r="T54" s="418"/>
      <c r="U54" s="418"/>
      <c r="V54" s="418"/>
      <c r="W54" s="289"/>
      <c r="X54" s="289"/>
      <c r="Y54" s="789" t="str">
        <f>IF(Obliczenia!E66="10","",Obliczenia!E66)</f>
        <v>1.2</v>
      </c>
      <c r="Z54" s="397"/>
      <c r="AA54" s="397"/>
      <c r="AB54" s="397"/>
      <c r="AC54" s="397"/>
      <c r="AD54" s="397"/>
      <c r="AE54" s="289"/>
      <c r="AF54" s="395"/>
      <c r="AG54" s="395"/>
      <c r="AH54" s="395"/>
      <c r="AI54" s="395"/>
      <c r="AJ54" s="395"/>
      <c r="AK54" s="789" t="str">
        <f>IF(Obliczenia!E42="10","",Obliczenia!E42)</f>
        <v>0.6</v>
      </c>
      <c r="AL54" s="289"/>
      <c r="AM54" s="289"/>
      <c r="AN54" s="289"/>
      <c r="AO54" s="289"/>
      <c r="AP54" s="409"/>
      <c r="AQ54" s="409"/>
      <c r="AR54" s="409"/>
      <c r="AS54" s="409"/>
      <c r="AT54" s="409"/>
      <c r="AU54" s="409"/>
      <c r="AV54" s="409"/>
      <c r="AW54" s="409"/>
      <c r="AX54" s="409"/>
      <c r="AY54" s="409"/>
      <c r="AZ54" s="418" t="str">
        <f t="shared" si="14"/>
        <v>1</v>
      </c>
      <c r="BA54" s="409"/>
      <c r="BB54" s="418" t="str">
        <f t="shared" si="10"/>
        <v>1</v>
      </c>
      <c r="BC54" s="409"/>
      <c r="BD54" s="418" t="str">
        <f t="shared" si="15"/>
        <v>1</v>
      </c>
      <c r="BE54" s="409"/>
      <c r="BF54" s="418" t="str">
        <f t="shared" si="12"/>
        <v>1</v>
      </c>
      <c r="BG54" s="409"/>
      <c r="BH54" s="418" t="str">
        <f t="shared" si="8"/>
        <v>1</v>
      </c>
      <c r="BI54" s="266"/>
      <c r="BJ54" s="265"/>
    </row>
    <row r="55" spans="1:62" ht="14.4" customHeight="1">
      <c r="A55" s="265"/>
      <c r="B55" s="289"/>
      <c r="C55" s="289"/>
      <c r="D55" s="418" t="str">
        <f t="shared" si="2"/>
        <v>1</v>
      </c>
      <c r="E55" s="418"/>
      <c r="F55" s="418" t="str">
        <f t="shared" si="11"/>
        <v>1</v>
      </c>
      <c r="G55" s="418"/>
      <c r="H55" s="419" t="str">
        <f t="shared" si="5"/>
        <v>1</v>
      </c>
      <c r="I55" s="418"/>
      <c r="J55" s="419" t="str">
        <f t="shared" si="9"/>
        <v>1</v>
      </c>
      <c r="K55" s="418"/>
      <c r="L55" s="419" t="str">
        <f t="shared" si="13"/>
        <v>1</v>
      </c>
      <c r="M55" s="418"/>
      <c r="N55" s="418"/>
      <c r="O55" s="418"/>
      <c r="P55" s="418"/>
      <c r="Q55" s="418"/>
      <c r="R55" s="418"/>
      <c r="S55" s="418"/>
      <c r="T55" s="418"/>
      <c r="U55" s="418"/>
      <c r="V55" s="418"/>
      <c r="W55" s="289"/>
      <c r="X55" s="4" t="str">
        <f>IF(Y54&lt;&gt;"","1","")</f>
        <v>1</v>
      </c>
      <c r="Y55" s="789"/>
      <c r="Z55" s="397"/>
      <c r="AA55" s="772" t="str">
        <f>IF(Y54="","",VLOOKUP(Y54,big_tabela,3,0))</f>
        <v>Łazienka</v>
      </c>
      <c r="AB55" s="772"/>
      <c r="AC55" s="773">
        <f>IF(Y54="","",VLOOKUP(Y54,big_tabela,12,0))</f>
        <v>50</v>
      </c>
      <c r="AD55" s="774" t="s">
        <v>373</v>
      </c>
      <c r="AE55" s="289"/>
      <c r="AF55" s="395"/>
      <c r="AG55" s="783" t="str">
        <f>IF(AK54="","",VLOOKUP(AK54,big_tabela,3,0))</f>
        <v>Gabinet</v>
      </c>
      <c r="AH55" s="783"/>
      <c r="AI55" s="784">
        <f>IF(AK54="","",VLOOKUP(AK54,big_tabela,12,0))</f>
        <v>30</v>
      </c>
      <c r="AJ55" s="767" t="s">
        <v>373</v>
      </c>
      <c r="AK55" s="789"/>
      <c r="AL55" s="4" t="str">
        <f>IF(AK54&lt;&gt;"","1","")</f>
        <v>1</v>
      </c>
      <c r="AM55" s="289"/>
      <c r="AN55" s="289"/>
      <c r="AO55" s="289"/>
      <c r="AP55" s="409"/>
      <c r="AQ55" s="409"/>
      <c r="AR55" s="409"/>
      <c r="AS55" s="409"/>
      <c r="AT55" s="409"/>
      <c r="AU55" s="409"/>
      <c r="AV55" s="409"/>
      <c r="AW55" s="409"/>
      <c r="AX55" s="409"/>
      <c r="AY55" s="409"/>
      <c r="AZ55" s="418" t="str">
        <f t="shared" si="14"/>
        <v>1</v>
      </c>
      <c r="BA55" s="409"/>
      <c r="BB55" s="418" t="str">
        <f t="shared" si="10"/>
        <v>1</v>
      </c>
      <c r="BC55" s="409"/>
      <c r="BD55" s="418" t="str">
        <f t="shared" si="15"/>
        <v>1</v>
      </c>
      <c r="BE55" s="409"/>
      <c r="BF55" s="418" t="str">
        <f t="shared" si="12"/>
        <v>1</v>
      </c>
      <c r="BG55" s="409"/>
      <c r="BH55" s="418" t="str">
        <f t="shared" si="8"/>
        <v>1</v>
      </c>
      <c r="BI55" s="266"/>
      <c r="BJ55" s="265"/>
    </row>
    <row r="56" spans="1:62" ht="14.4" customHeight="1">
      <c r="A56" s="265"/>
      <c r="B56" s="289"/>
      <c r="C56" s="289"/>
      <c r="D56" s="418" t="str">
        <f t="shared" si="2"/>
        <v>1</v>
      </c>
      <c r="E56" s="418"/>
      <c r="F56" s="418" t="str">
        <f t="shared" si="11"/>
        <v>1</v>
      </c>
      <c r="G56" s="418"/>
      <c r="H56" s="419" t="str">
        <f t="shared" si="5"/>
        <v>1</v>
      </c>
      <c r="I56" s="418"/>
      <c r="J56" s="419" t="str">
        <f t="shared" si="9"/>
        <v>1</v>
      </c>
      <c r="K56" s="418"/>
      <c r="L56" s="419" t="str">
        <f t="shared" si="13"/>
        <v>1</v>
      </c>
      <c r="M56" s="418"/>
      <c r="N56" s="418"/>
      <c r="O56" s="418"/>
      <c r="P56" s="418"/>
      <c r="Q56" s="418"/>
      <c r="R56" s="418"/>
      <c r="S56" s="418"/>
      <c r="T56" s="418"/>
      <c r="U56" s="418"/>
      <c r="V56" s="418"/>
      <c r="W56" s="494" t="str">
        <f>IF(Y54="","","Φ90")</f>
        <v>Φ90</v>
      </c>
      <c r="X56" s="495" t="str">
        <f>IF(Y54="","","x"&amp;VLOOKUP(Y54,big_tabela,53,0))</f>
        <v>x1</v>
      </c>
      <c r="Y56" s="403" t="str">
        <f>IF(Y54="","","◄")</f>
        <v>◄</v>
      </c>
      <c r="Z56" s="397"/>
      <c r="AA56" s="772"/>
      <c r="AB56" s="772"/>
      <c r="AC56" s="773"/>
      <c r="AD56" s="774"/>
      <c r="AE56" s="289"/>
      <c r="AF56" s="395"/>
      <c r="AG56" s="783"/>
      <c r="AH56" s="783"/>
      <c r="AI56" s="784"/>
      <c r="AJ56" s="767"/>
      <c r="AK56" s="402" t="str">
        <f>IF(AK54="","","◄")</f>
        <v>◄</v>
      </c>
      <c r="AL56" s="494" t="str">
        <f>IF(AK54="","","Φ90")</f>
        <v>Φ90</v>
      </c>
      <c r="AM56" s="495" t="str">
        <f>IF(AK54="","","x"&amp;VLOOKUP(AK54,big_tabela,52,0))</f>
        <v>x1</v>
      </c>
      <c r="AN56" s="289"/>
      <c r="AO56" s="289"/>
      <c r="AP56" s="409"/>
      <c r="AQ56" s="409"/>
      <c r="AR56" s="409"/>
      <c r="AS56" s="409"/>
      <c r="AT56" s="409"/>
      <c r="AU56" s="409"/>
      <c r="AV56" s="409"/>
      <c r="AW56" s="409"/>
      <c r="AX56" s="409"/>
      <c r="AY56" s="409"/>
      <c r="AZ56" s="418" t="str">
        <f t="shared" si="14"/>
        <v>1</v>
      </c>
      <c r="BA56" s="409"/>
      <c r="BB56" s="418" t="str">
        <f t="shared" si="10"/>
        <v>1</v>
      </c>
      <c r="BC56" s="409"/>
      <c r="BD56" s="418" t="str">
        <f t="shared" si="15"/>
        <v>1</v>
      </c>
      <c r="BE56" s="409"/>
      <c r="BF56" s="418" t="str">
        <f t="shared" si="12"/>
        <v>1</v>
      </c>
      <c r="BG56" s="409"/>
      <c r="BH56" s="418" t="str">
        <f t="shared" si="8"/>
        <v>1</v>
      </c>
      <c r="BI56" s="266"/>
      <c r="BJ56" s="265"/>
    </row>
    <row r="57" spans="1:62" ht="3" customHeight="1">
      <c r="A57" s="265"/>
      <c r="B57" s="289"/>
      <c r="C57" s="404"/>
      <c r="D57" s="418" t="str">
        <f t="shared" si="2"/>
        <v>1</v>
      </c>
      <c r="E57" s="418"/>
      <c r="F57" s="418" t="str">
        <f t="shared" si="11"/>
        <v>1</v>
      </c>
      <c r="G57" s="418"/>
      <c r="H57" s="419" t="str">
        <f t="shared" si="5"/>
        <v>1</v>
      </c>
      <c r="I57" s="418"/>
      <c r="J57" s="419" t="str">
        <f t="shared" si="9"/>
        <v>1</v>
      </c>
      <c r="K57" s="418"/>
      <c r="L57" s="419" t="str">
        <f t="shared" si="13"/>
        <v>1</v>
      </c>
      <c r="M57" s="418"/>
      <c r="N57" s="419" t="str">
        <f t="shared" ref="N57:X87" si="16">$X$55</f>
        <v>1</v>
      </c>
      <c r="O57" s="419" t="str">
        <f t="shared" si="16"/>
        <v>1</v>
      </c>
      <c r="P57" s="419" t="str">
        <f t="shared" si="16"/>
        <v>1</v>
      </c>
      <c r="Q57" s="419" t="str">
        <f t="shared" si="16"/>
        <v>1</v>
      </c>
      <c r="R57" s="419" t="str">
        <f t="shared" si="16"/>
        <v>1</v>
      </c>
      <c r="S57" s="419" t="str">
        <f t="shared" si="16"/>
        <v>1</v>
      </c>
      <c r="T57" s="419" t="str">
        <f t="shared" si="16"/>
        <v>1</v>
      </c>
      <c r="U57" s="419" t="str">
        <f t="shared" si="16"/>
        <v>1</v>
      </c>
      <c r="V57" s="419" t="str">
        <f t="shared" si="16"/>
        <v>1</v>
      </c>
      <c r="W57" s="419" t="str">
        <f t="shared" si="16"/>
        <v>1</v>
      </c>
      <c r="X57" s="419" t="str">
        <f t="shared" si="16"/>
        <v>1</v>
      </c>
      <c r="Y57" s="419" t="str">
        <f>$X$55</f>
        <v>1</v>
      </c>
      <c r="Z57" s="397"/>
      <c r="AA57" s="412"/>
      <c r="AB57" s="412"/>
      <c r="AC57" s="415"/>
      <c r="AD57" s="416"/>
      <c r="AE57" s="289"/>
      <c r="AF57" s="395"/>
      <c r="AG57" s="421"/>
      <c r="AH57" s="421"/>
      <c r="AI57" s="413"/>
      <c r="AJ57" s="414"/>
      <c r="AK57" s="418" t="str">
        <f t="shared" ref="AK57:AX72" si="17">$AL$55</f>
        <v>1</v>
      </c>
      <c r="AL57" s="418" t="str">
        <f t="shared" si="17"/>
        <v>1</v>
      </c>
      <c r="AM57" s="418" t="str">
        <f t="shared" si="17"/>
        <v>1</v>
      </c>
      <c r="AN57" s="418" t="str">
        <f t="shared" si="17"/>
        <v>1</v>
      </c>
      <c r="AO57" s="418" t="str">
        <f t="shared" si="17"/>
        <v>1</v>
      </c>
      <c r="AP57" s="418" t="str">
        <f t="shared" si="17"/>
        <v>1</v>
      </c>
      <c r="AQ57" s="418" t="str">
        <f t="shared" si="17"/>
        <v>1</v>
      </c>
      <c r="AR57" s="418" t="str">
        <f t="shared" si="17"/>
        <v>1</v>
      </c>
      <c r="AS57" s="418" t="str">
        <f t="shared" si="17"/>
        <v>1</v>
      </c>
      <c r="AT57" s="418" t="str">
        <f t="shared" si="17"/>
        <v>1</v>
      </c>
      <c r="AU57" s="418" t="str">
        <f t="shared" si="17"/>
        <v>1</v>
      </c>
      <c r="AV57" s="418" t="str">
        <f t="shared" si="17"/>
        <v>1</v>
      </c>
      <c r="AW57" s="418" t="str">
        <f t="shared" si="17"/>
        <v>1</v>
      </c>
      <c r="AX57" s="418" t="str">
        <f t="shared" si="17"/>
        <v>1</v>
      </c>
      <c r="AY57" s="409"/>
      <c r="AZ57" s="418" t="str">
        <f t="shared" si="14"/>
        <v>1</v>
      </c>
      <c r="BA57" s="409"/>
      <c r="BB57" s="418" t="str">
        <f t="shared" si="10"/>
        <v>1</v>
      </c>
      <c r="BC57" s="409"/>
      <c r="BD57" s="418" t="str">
        <f t="shared" si="15"/>
        <v>1</v>
      </c>
      <c r="BE57" s="409"/>
      <c r="BF57" s="418" t="str">
        <f t="shared" si="12"/>
        <v>1</v>
      </c>
      <c r="BG57" s="409"/>
      <c r="BH57" s="418" t="str">
        <f t="shared" si="8"/>
        <v>1</v>
      </c>
      <c r="BI57" s="266"/>
      <c r="BJ57" s="265"/>
    </row>
    <row r="58" spans="1:62" ht="14.4" customHeight="1">
      <c r="A58" s="265"/>
      <c r="B58" s="289"/>
      <c r="C58" s="289"/>
      <c r="D58" s="418" t="str">
        <f t="shared" si="2"/>
        <v>1</v>
      </c>
      <c r="E58" s="418"/>
      <c r="F58" s="418" t="str">
        <f t="shared" si="11"/>
        <v>1</v>
      </c>
      <c r="G58" s="418"/>
      <c r="H58" s="419" t="str">
        <f t="shared" si="5"/>
        <v>1</v>
      </c>
      <c r="I58" s="418"/>
      <c r="J58" s="419" t="str">
        <f t="shared" si="9"/>
        <v>1</v>
      </c>
      <c r="K58" s="418"/>
      <c r="L58" s="419" t="str">
        <f t="shared" si="13"/>
        <v>1</v>
      </c>
      <c r="M58" s="418"/>
      <c r="N58" s="419" t="str">
        <f t="shared" si="16"/>
        <v>1</v>
      </c>
      <c r="O58" s="418"/>
      <c r="P58" s="418"/>
      <c r="Q58" s="418"/>
      <c r="R58" s="418"/>
      <c r="S58" s="418"/>
      <c r="T58" s="418"/>
      <c r="U58" s="418"/>
      <c r="V58" s="418"/>
      <c r="W58" s="289"/>
      <c r="X58" s="289"/>
      <c r="Y58" s="289"/>
      <c r="Z58" s="397"/>
      <c r="AA58" s="399" t="str">
        <f>IF(Y54="","",VLOOKUP(Y54,big_tabela,4,0))</f>
        <v/>
      </c>
      <c r="AB58" s="400"/>
      <c r="AC58" s="634" t="str">
        <f>IF(Y54="","","anemostat")</f>
        <v>anemostat</v>
      </c>
      <c r="AD58" s="416" t="str">
        <f>IF(Y54="","","x"&amp;VLOOKUP(Y54,big_tabela,56,0))</f>
        <v>x1</v>
      </c>
      <c r="AE58" s="289"/>
      <c r="AF58" s="395"/>
      <c r="AG58" s="398" t="str">
        <f>IF(AK54="","",VLOOKUP(AK54,big_tabela,4,0))</f>
        <v/>
      </c>
      <c r="AH58" s="417"/>
      <c r="AI58" s="635" t="str">
        <f>IF(AK54="","","anemostat")</f>
        <v>anemostat</v>
      </c>
      <c r="AJ58" s="414" t="str">
        <f>IF(AK54="","","x"&amp;VLOOKUP(AK54,big_tabela,55,0))</f>
        <v>x1</v>
      </c>
      <c r="AK58" s="401"/>
      <c r="AL58" s="289"/>
      <c r="AM58" s="289"/>
      <c r="AN58" s="289"/>
      <c r="AO58" s="289"/>
      <c r="AP58" s="409"/>
      <c r="AQ58" s="409"/>
      <c r="AR58" s="409"/>
      <c r="AS58" s="409"/>
      <c r="AT58" s="409"/>
      <c r="AU58" s="409"/>
      <c r="AV58" s="409"/>
      <c r="AW58" s="409"/>
      <c r="AX58" s="418" t="str">
        <f t="shared" si="17"/>
        <v>1</v>
      </c>
      <c r="AY58" s="409"/>
      <c r="AZ58" s="418" t="str">
        <f t="shared" si="14"/>
        <v>1</v>
      </c>
      <c r="BA58" s="409"/>
      <c r="BB58" s="418" t="str">
        <f t="shared" si="10"/>
        <v>1</v>
      </c>
      <c r="BC58" s="409"/>
      <c r="BD58" s="418" t="str">
        <f t="shared" si="15"/>
        <v>1</v>
      </c>
      <c r="BE58" s="409"/>
      <c r="BF58" s="418" t="str">
        <f t="shared" si="12"/>
        <v>1</v>
      </c>
      <c r="BG58" s="409"/>
      <c r="BH58" s="418" t="str">
        <f t="shared" si="8"/>
        <v>1</v>
      </c>
      <c r="BI58" s="266"/>
      <c r="BJ58" s="265"/>
    </row>
    <row r="59" spans="1:62" ht="6" customHeight="1">
      <c r="A59" s="265"/>
      <c r="B59" s="289"/>
      <c r="C59" s="289"/>
      <c r="D59" s="418" t="str">
        <f t="shared" si="2"/>
        <v>1</v>
      </c>
      <c r="E59" s="418"/>
      <c r="F59" s="418" t="str">
        <f t="shared" si="11"/>
        <v>1</v>
      </c>
      <c r="G59" s="418"/>
      <c r="H59" s="419" t="str">
        <f t="shared" si="5"/>
        <v>1</v>
      </c>
      <c r="I59" s="418"/>
      <c r="J59" s="419" t="str">
        <f t="shared" ref="J59:J87" si="18">$X$41</f>
        <v>1</v>
      </c>
      <c r="K59" s="418"/>
      <c r="L59" s="419" t="str">
        <f t="shared" si="13"/>
        <v>1</v>
      </c>
      <c r="M59" s="418"/>
      <c r="N59" s="419" t="str">
        <f t="shared" si="16"/>
        <v>1</v>
      </c>
      <c r="O59" s="418"/>
      <c r="P59" s="418"/>
      <c r="Q59" s="418"/>
      <c r="R59" s="418"/>
      <c r="S59" s="418"/>
      <c r="T59" s="418"/>
      <c r="U59" s="418"/>
      <c r="V59" s="418"/>
      <c r="W59" s="289"/>
      <c r="X59" s="289"/>
      <c r="Y59" s="418"/>
      <c r="Z59" s="397"/>
      <c r="AA59" s="397"/>
      <c r="AB59" s="397"/>
      <c r="AC59" s="397"/>
      <c r="AD59" s="397"/>
      <c r="AE59" s="289"/>
      <c r="AF59" s="395"/>
      <c r="AG59" s="395"/>
      <c r="AH59" s="395"/>
      <c r="AI59" s="395"/>
      <c r="AJ59" s="395"/>
      <c r="AK59" s="289"/>
      <c r="AL59" s="289"/>
      <c r="AM59" s="289"/>
      <c r="AN59" s="289"/>
      <c r="AO59" s="289"/>
      <c r="AP59" s="409"/>
      <c r="AQ59" s="409"/>
      <c r="AR59" s="409"/>
      <c r="AS59" s="409"/>
      <c r="AT59" s="409"/>
      <c r="AU59" s="409"/>
      <c r="AV59" s="409"/>
      <c r="AW59" s="409"/>
      <c r="AX59" s="418" t="str">
        <f t="shared" si="17"/>
        <v>1</v>
      </c>
      <c r="AY59" s="409"/>
      <c r="AZ59" s="418" t="str">
        <f t="shared" si="14"/>
        <v>1</v>
      </c>
      <c r="BA59" s="409"/>
      <c r="BB59" s="418" t="str">
        <f t="shared" ref="BB59:BB87" si="19">$AL$41</f>
        <v>1</v>
      </c>
      <c r="BC59" s="409"/>
      <c r="BD59" s="418" t="str">
        <f t="shared" si="15"/>
        <v>1</v>
      </c>
      <c r="BE59" s="409"/>
      <c r="BF59" s="418" t="str">
        <f t="shared" si="12"/>
        <v>1</v>
      </c>
      <c r="BG59" s="409"/>
      <c r="BH59" s="418" t="str">
        <f t="shared" si="8"/>
        <v>1</v>
      </c>
      <c r="BI59" s="266"/>
      <c r="BJ59" s="265"/>
    </row>
    <row r="60" spans="1:62">
      <c r="A60" s="265"/>
      <c r="B60" s="289"/>
      <c r="C60" s="289"/>
      <c r="D60" s="418" t="str">
        <f t="shared" si="2"/>
        <v>1</v>
      </c>
      <c r="E60" s="418"/>
      <c r="F60" s="418" t="str">
        <f t="shared" si="11"/>
        <v>1</v>
      </c>
      <c r="G60" s="418"/>
      <c r="H60" s="419" t="str">
        <f t="shared" si="5"/>
        <v>1</v>
      </c>
      <c r="I60" s="418"/>
      <c r="J60" s="419" t="str">
        <f t="shared" si="18"/>
        <v>1</v>
      </c>
      <c r="K60" s="418"/>
      <c r="L60" s="419" t="str">
        <f t="shared" si="13"/>
        <v>1</v>
      </c>
      <c r="M60" s="418"/>
      <c r="N60" s="419" t="str">
        <f t="shared" si="16"/>
        <v>1</v>
      </c>
      <c r="O60" s="418"/>
      <c r="P60" s="418"/>
      <c r="Q60" s="418"/>
      <c r="R60" s="418"/>
      <c r="S60" s="418"/>
      <c r="T60" s="418"/>
      <c r="U60" s="418"/>
      <c r="V60" s="418"/>
      <c r="W60" s="289"/>
      <c r="X60" s="289"/>
      <c r="Y60" s="289"/>
      <c r="Z60" s="289"/>
      <c r="AA60" s="289"/>
      <c r="AB60" s="289"/>
      <c r="AC60" s="289"/>
      <c r="AD60" s="289"/>
      <c r="AE60" s="289"/>
      <c r="AF60" s="289"/>
      <c r="AG60" s="289"/>
      <c r="AH60" s="289"/>
      <c r="AI60" s="289"/>
      <c r="AJ60" s="289"/>
      <c r="AK60" s="289"/>
      <c r="AL60" s="289"/>
      <c r="AM60" s="289"/>
      <c r="AN60" s="289"/>
      <c r="AO60" s="289"/>
      <c r="AP60" s="409"/>
      <c r="AQ60" s="409"/>
      <c r="AR60" s="409"/>
      <c r="AS60" s="409"/>
      <c r="AT60" s="409"/>
      <c r="AU60" s="409"/>
      <c r="AV60" s="409"/>
      <c r="AW60" s="409"/>
      <c r="AX60" s="418" t="str">
        <f t="shared" si="17"/>
        <v>1</v>
      </c>
      <c r="AY60" s="409"/>
      <c r="AZ60" s="418" t="str">
        <f t="shared" si="14"/>
        <v>1</v>
      </c>
      <c r="BA60" s="409"/>
      <c r="BB60" s="418" t="str">
        <f t="shared" si="19"/>
        <v>1</v>
      </c>
      <c r="BC60" s="409"/>
      <c r="BD60" s="418" t="str">
        <f t="shared" si="15"/>
        <v>1</v>
      </c>
      <c r="BE60" s="409"/>
      <c r="BF60" s="418" t="str">
        <f t="shared" si="12"/>
        <v>1</v>
      </c>
      <c r="BG60" s="409"/>
      <c r="BH60" s="418" t="str">
        <f t="shared" si="8"/>
        <v>1</v>
      </c>
      <c r="BI60" s="266"/>
      <c r="BJ60" s="265"/>
    </row>
    <row r="61" spans="1:62" ht="6" customHeight="1">
      <c r="A61" s="265"/>
      <c r="B61" s="289"/>
      <c r="C61" s="289"/>
      <c r="D61" s="418" t="str">
        <f t="shared" si="2"/>
        <v>1</v>
      </c>
      <c r="E61" s="418"/>
      <c r="F61" s="418" t="str">
        <f t="shared" si="11"/>
        <v>1</v>
      </c>
      <c r="G61" s="418"/>
      <c r="H61" s="419" t="str">
        <f t="shared" si="5"/>
        <v>1</v>
      </c>
      <c r="I61" s="418"/>
      <c r="J61" s="419" t="str">
        <f t="shared" si="18"/>
        <v>1</v>
      </c>
      <c r="K61" s="418"/>
      <c r="L61" s="419" t="str">
        <f t="shared" si="13"/>
        <v>1</v>
      </c>
      <c r="M61" s="418"/>
      <c r="N61" s="419" t="str">
        <f t="shared" si="16"/>
        <v>1</v>
      </c>
      <c r="O61" s="418"/>
      <c r="P61" s="418"/>
      <c r="Q61" s="418"/>
      <c r="R61" s="418"/>
      <c r="S61" s="418"/>
      <c r="T61" s="418"/>
      <c r="U61" s="418"/>
      <c r="V61" s="418"/>
      <c r="W61" s="289"/>
      <c r="X61" s="289"/>
      <c r="Y61" s="789" t="str">
        <f>IF(Obliczenia!E67="10","",Obliczenia!E67)</f>
        <v>0.2</v>
      </c>
      <c r="Z61" s="397"/>
      <c r="AA61" s="397"/>
      <c r="AB61" s="397"/>
      <c r="AC61" s="397"/>
      <c r="AD61" s="397"/>
      <c r="AE61" s="289"/>
      <c r="AF61" s="395"/>
      <c r="AG61" s="395"/>
      <c r="AH61" s="395"/>
      <c r="AI61" s="395"/>
      <c r="AJ61" s="395"/>
      <c r="AK61" s="789" t="str">
        <f>IF(Obliczenia!E43="10","",Obliczenia!E43)</f>
        <v/>
      </c>
      <c r="AL61" s="289"/>
      <c r="AM61" s="289"/>
      <c r="AN61" s="289"/>
      <c r="AO61" s="289"/>
      <c r="AP61" s="409"/>
      <c r="AQ61" s="409"/>
      <c r="AR61" s="409"/>
      <c r="AS61" s="409"/>
      <c r="AT61" s="409"/>
      <c r="AU61" s="409"/>
      <c r="AV61" s="409"/>
      <c r="AW61" s="409"/>
      <c r="AX61" s="418" t="str">
        <f t="shared" si="17"/>
        <v>1</v>
      </c>
      <c r="AY61" s="409"/>
      <c r="AZ61" s="418" t="str">
        <f t="shared" si="14"/>
        <v>1</v>
      </c>
      <c r="BA61" s="409"/>
      <c r="BB61" s="418" t="str">
        <f t="shared" si="19"/>
        <v>1</v>
      </c>
      <c r="BC61" s="409"/>
      <c r="BD61" s="418" t="str">
        <f t="shared" si="15"/>
        <v>1</v>
      </c>
      <c r="BE61" s="409"/>
      <c r="BF61" s="418" t="str">
        <f t="shared" si="12"/>
        <v>1</v>
      </c>
      <c r="BG61" s="409"/>
      <c r="BH61" s="418" t="str">
        <f t="shared" si="8"/>
        <v>1</v>
      </c>
      <c r="BI61" s="266"/>
      <c r="BJ61" s="265"/>
    </row>
    <row r="62" spans="1:62" ht="14.4" customHeight="1">
      <c r="A62" s="265"/>
      <c r="B62" s="289"/>
      <c r="C62" s="289"/>
      <c r="D62" s="418" t="str">
        <f t="shared" si="2"/>
        <v>1</v>
      </c>
      <c r="E62" s="418"/>
      <c r="F62" s="418" t="str">
        <f t="shared" si="11"/>
        <v>1</v>
      </c>
      <c r="G62" s="418"/>
      <c r="H62" s="419" t="str">
        <f t="shared" si="5"/>
        <v>1</v>
      </c>
      <c r="I62" s="418"/>
      <c r="J62" s="419" t="str">
        <f t="shared" si="18"/>
        <v>1</v>
      </c>
      <c r="K62" s="418"/>
      <c r="L62" s="419" t="str">
        <f t="shared" si="13"/>
        <v>1</v>
      </c>
      <c r="M62" s="418"/>
      <c r="N62" s="419" t="str">
        <f t="shared" si="16"/>
        <v>1</v>
      </c>
      <c r="O62" s="418"/>
      <c r="P62" s="418"/>
      <c r="Q62" s="418"/>
      <c r="R62" s="418"/>
      <c r="S62" s="418"/>
      <c r="T62" s="418"/>
      <c r="U62" s="418"/>
      <c r="V62" s="418"/>
      <c r="W62" s="289"/>
      <c r="X62" s="4" t="str">
        <f>IF(Y61&lt;&gt;"","1","")</f>
        <v>1</v>
      </c>
      <c r="Y62" s="789"/>
      <c r="Z62" s="397"/>
      <c r="AA62" s="772" t="str">
        <f>IF(Y61="","",VLOOKUP(Y61,big_tabela,3,0))</f>
        <v>Kuchnia otwarta z kuchenką elektryczną</v>
      </c>
      <c r="AB62" s="772"/>
      <c r="AC62" s="773">
        <f>IF(Y61="","",VLOOKUP(Y61,big_tabela,12,0))</f>
        <v>50</v>
      </c>
      <c r="AD62" s="774" t="s">
        <v>373</v>
      </c>
      <c r="AE62" s="289"/>
      <c r="AF62" s="395"/>
      <c r="AG62" s="783" t="str">
        <f>IF(AK61="","",VLOOKUP(AK61,big_tabela,3,0))</f>
        <v/>
      </c>
      <c r="AH62" s="783"/>
      <c r="AI62" s="784" t="str">
        <f>IF(AK61="","",VLOOKUP(AK61,big_tabela,12,0))</f>
        <v/>
      </c>
      <c r="AJ62" s="767" t="s">
        <v>373</v>
      </c>
      <c r="AK62" s="789"/>
      <c r="AL62" s="4" t="str">
        <f>IF(AK61&lt;&gt;"","1","")</f>
        <v/>
      </c>
      <c r="AM62" s="289"/>
      <c r="AN62" s="289"/>
      <c r="AO62" s="289"/>
      <c r="AP62" s="409"/>
      <c r="AQ62" s="409"/>
      <c r="AR62" s="409"/>
      <c r="AS62" s="409"/>
      <c r="AT62" s="409"/>
      <c r="AU62" s="409"/>
      <c r="AV62" s="409"/>
      <c r="AW62" s="409"/>
      <c r="AX62" s="418" t="str">
        <f t="shared" si="17"/>
        <v>1</v>
      </c>
      <c r="AY62" s="409"/>
      <c r="AZ62" s="418" t="str">
        <f t="shared" si="14"/>
        <v>1</v>
      </c>
      <c r="BA62" s="409"/>
      <c r="BB62" s="418" t="str">
        <f t="shared" si="19"/>
        <v>1</v>
      </c>
      <c r="BC62" s="409"/>
      <c r="BD62" s="418" t="str">
        <f t="shared" si="15"/>
        <v>1</v>
      </c>
      <c r="BE62" s="409"/>
      <c r="BF62" s="418" t="str">
        <f t="shared" si="12"/>
        <v>1</v>
      </c>
      <c r="BG62" s="409"/>
      <c r="BH62" s="418" t="str">
        <f t="shared" si="8"/>
        <v>1</v>
      </c>
      <c r="BI62" s="266"/>
      <c r="BJ62" s="265"/>
    </row>
    <row r="63" spans="1:62" ht="14.4" customHeight="1">
      <c r="A63" s="265"/>
      <c r="B63" s="289"/>
      <c r="C63" s="289"/>
      <c r="D63" s="418" t="str">
        <f t="shared" si="2"/>
        <v>1</v>
      </c>
      <c r="E63" s="418"/>
      <c r="F63" s="418" t="str">
        <f t="shared" si="11"/>
        <v>1</v>
      </c>
      <c r="G63" s="418"/>
      <c r="H63" s="419" t="str">
        <f t="shared" si="5"/>
        <v>1</v>
      </c>
      <c r="I63" s="418"/>
      <c r="J63" s="419" t="str">
        <f t="shared" si="18"/>
        <v>1</v>
      </c>
      <c r="K63" s="418"/>
      <c r="L63" s="419" t="str">
        <f t="shared" si="13"/>
        <v>1</v>
      </c>
      <c r="M63" s="418"/>
      <c r="N63" s="419" t="str">
        <f t="shared" si="16"/>
        <v>1</v>
      </c>
      <c r="O63" s="418"/>
      <c r="P63" s="418"/>
      <c r="Q63" s="418"/>
      <c r="R63" s="418"/>
      <c r="S63" s="418"/>
      <c r="T63" s="418"/>
      <c r="U63" s="418"/>
      <c r="V63" s="418"/>
      <c r="W63" s="494" t="str">
        <f>IF(Y61="","","Φ90")</f>
        <v>Φ90</v>
      </c>
      <c r="X63" s="495" t="str">
        <f>IF(Y61="","","x"&amp;VLOOKUP(Y61,big_tabela,53,0))</f>
        <v>x1</v>
      </c>
      <c r="Y63" s="403" t="str">
        <f>IF(Y61="","","◄")</f>
        <v>◄</v>
      </c>
      <c r="Z63" s="397"/>
      <c r="AA63" s="772"/>
      <c r="AB63" s="772"/>
      <c r="AC63" s="773"/>
      <c r="AD63" s="774"/>
      <c r="AE63" s="289"/>
      <c r="AF63" s="395"/>
      <c r="AG63" s="783"/>
      <c r="AH63" s="783"/>
      <c r="AI63" s="784"/>
      <c r="AJ63" s="767"/>
      <c r="AK63" s="402" t="str">
        <f>IF(AK61="","","◄")</f>
        <v/>
      </c>
      <c r="AL63" s="494" t="str">
        <f>IF(AK61="","","Φ90")</f>
        <v/>
      </c>
      <c r="AM63" s="495" t="str">
        <f>IF(AK61="","","x"&amp;VLOOKUP(AK61,big_tabela,52,0))</f>
        <v/>
      </c>
      <c r="AN63" s="289"/>
      <c r="AO63" s="289"/>
      <c r="AP63" s="409"/>
      <c r="AQ63" s="409"/>
      <c r="AR63" s="409"/>
      <c r="AS63" s="409"/>
      <c r="AT63" s="409"/>
      <c r="AU63" s="409"/>
      <c r="AV63" s="409"/>
      <c r="AW63" s="409"/>
      <c r="AX63" s="418" t="str">
        <f t="shared" si="17"/>
        <v>1</v>
      </c>
      <c r="AY63" s="409"/>
      <c r="AZ63" s="418" t="str">
        <f t="shared" si="14"/>
        <v>1</v>
      </c>
      <c r="BA63" s="409"/>
      <c r="BB63" s="418" t="str">
        <f t="shared" si="19"/>
        <v>1</v>
      </c>
      <c r="BC63" s="409"/>
      <c r="BD63" s="418" t="str">
        <f t="shared" si="15"/>
        <v>1</v>
      </c>
      <c r="BE63" s="409"/>
      <c r="BF63" s="418" t="str">
        <f t="shared" si="12"/>
        <v>1</v>
      </c>
      <c r="BG63" s="409"/>
      <c r="BH63" s="418" t="str">
        <f t="shared" si="8"/>
        <v>1</v>
      </c>
      <c r="BI63" s="266"/>
      <c r="BJ63" s="265"/>
    </row>
    <row r="64" spans="1:62" ht="3" customHeight="1">
      <c r="A64" s="265"/>
      <c r="B64" s="289"/>
      <c r="C64" s="404"/>
      <c r="D64" s="418" t="str">
        <f t="shared" si="2"/>
        <v>1</v>
      </c>
      <c r="E64" s="418"/>
      <c r="F64" s="418" t="str">
        <f t="shared" si="11"/>
        <v>1</v>
      </c>
      <c r="G64" s="418"/>
      <c r="H64" s="419" t="str">
        <f t="shared" si="5"/>
        <v>1</v>
      </c>
      <c r="I64" s="418"/>
      <c r="J64" s="419" t="str">
        <f t="shared" si="18"/>
        <v>1</v>
      </c>
      <c r="K64" s="418"/>
      <c r="L64" s="419" t="str">
        <f t="shared" si="13"/>
        <v>1</v>
      </c>
      <c r="M64" s="418"/>
      <c r="N64" s="419" t="str">
        <f t="shared" si="16"/>
        <v>1</v>
      </c>
      <c r="O64" s="418"/>
      <c r="P64" s="418" t="str">
        <f>$X$62</f>
        <v>1</v>
      </c>
      <c r="Q64" s="418" t="str">
        <f t="shared" ref="Q64:Y64" si="20">$X$62</f>
        <v>1</v>
      </c>
      <c r="R64" s="418" t="str">
        <f t="shared" si="20"/>
        <v>1</v>
      </c>
      <c r="S64" s="418" t="str">
        <f t="shared" si="20"/>
        <v>1</v>
      </c>
      <c r="T64" s="418" t="str">
        <f t="shared" si="20"/>
        <v>1</v>
      </c>
      <c r="U64" s="418" t="str">
        <f t="shared" si="20"/>
        <v>1</v>
      </c>
      <c r="V64" s="418" t="str">
        <f t="shared" si="20"/>
        <v>1</v>
      </c>
      <c r="W64" s="418" t="str">
        <f t="shared" si="20"/>
        <v>1</v>
      </c>
      <c r="X64" s="418" t="str">
        <f t="shared" si="20"/>
        <v>1</v>
      </c>
      <c r="Y64" s="418" t="str">
        <f t="shared" si="20"/>
        <v>1</v>
      </c>
      <c r="Z64" s="397"/>
      <c r="AA64" s="412"/>
      <c r="AB64" s="412"/>
      <c r="AC64" s="415"/>
      <c r="AD64" s="416"/>
      <c r="AE64" s="289"/>
      <c r="AF64" s="395"/>
      <c r="AG64" s="421"/>
      <c r="AH64" s="421"/>
      <c r="AI64" s="413"/>
      <c r="AJ64" s="414"/>
      <c r="AK64" s="418" t="str">
        <f t="shared" ref="AK64:AV79" si="21">$AL$62</f>
        <v/>
      </c>
      <c r="AL64" s="418" t="str">
        <f t="shared" si="21"/>
        <v/>
      </c>
      <c r="AM64" s="418" t="str">
        <f t="shared" si="21"/>
        <v/>
      </c>
      <c r="AN64" s="418" t="str">
        <f t="shared" si="21"/>
        <v/>
      </c>
      <c r="AO64" s="418" t="str">
        <f t="shared" si="21"/>
        <v/>
      </c>
      <c r="AP64" s="418" t="str">
        <f t="shared" si="21"/>
        <v/>
      </c>
      <c r="AQ64" s="418" t="str">
        <f t="shared" si="21"/>
        <v/>
      </c>
      <c r="AR64" s="418" t="str">
        <f t="shared" si="21"/>
        <v/>
      </c>
      <c r="AS64" s="418" t="str">
        <f t="shared" si="21"/>
        <v/>
      </c>
      <c r="AT64" s="418" t="str">
        <f t="shared" si="21"/>
        <v/>
      </c>
      <c r="AU64" s="418" t="str">
        <f t="shared" si="21"/>
        <v/>
      </c>
      <c r="AV64" s="418" t="str">
        <f t="shared" si="21"/>
        <v/>
      </c>
      <c r="AW64" s="409"/>
      <c r="AX64" s="418" t="str">
        <f t="shared" si="17"/>
        <v>1</v>
      </c>
      <c r="AY64" s="409"/>
      <c r="AZ64" s="418" t="str">
        <f t="shared" si="14"/>
        <v>1</v>
      </c>
      <c r="BA64" s="409"/>
      <c r="BB64" s="418" t="str">
        <f t="shared" si="19"/>
        <v>1</v>
      </c>
      <c r="BC64" s="409"/>
      <c r="BD64" s="418" t="str">
        <f t="shared" si="15"/>
        <v>1</v>
      </c>
      <c r="BE64" s="409"/>
      <c r="BF64" s="418" t="str">
        <f t="shared" si="12"/>
        <v>1</v>
      </c>
      <c r="BG64" s="409"/>
      <c r="BH64" s="418" t="str">
        <f t="shared" si="8"/>
        <v>1</v>
      </c>
      <c r="BI64" s="266"/>
      <c r="BJ64" s="265"/>
    </row>
    <row r="65" spans="1:62" ht="14.4" customHeight="1">
      <c r="A65" s="265"/>
      <c r="B65" s="289"/>
      <c r="C65" s="289"/>
      <c r="D65" s="418" t="str">
        <f t="shared" si="2"/>
        <v>1</v>
      </c>
      <c r="E65" s="418"/>
      <c r="F65" s="418" t="str">
        <f t="shared" si="11"/>
        <v>1</v>
      </c>
      <c r="G65" s="418"/>
      <c r="H65" s="419" t="str">
        <f t="shared" si="5"/>
        <v>1</v>
      </c>
      <c r="I65" s="418"/>
      <c r="J65" s="419" t="str">
        <f t="shared" si="18"/>
        <v>1</v>
      </c>
      <c r="K65" s="418"/>
      <c r="L65" s="419" t="str">
        <f t="shared" si="13"/>
        <v>1</v>
      </c>
      <c r="M65" s="418"/>
      <c r="N65" s="419" t="str">
        <f t="shared" si="16"/>
        <v>1</v>
      </c>
      <c r="O65" s="418"/>
      <c r="P65" s="418" t="str">
        <f t="shared" ref="P65:P87" si="22">$X$62</f>
        <v>1</v>
      </c>
      <c r="Q65" s="418"/>
      <c r="R65" s="418"/>
      <c r="S65" s="418"/>
      <c r="T65" s="418"/>
      <c r="U65" s="418"/>
      <c r="V65" s="418"/>
      <c r="W65" s="289"/>
      <c r="X65" s="289"/>
      <c r="Y65" s="289"/>
      <c r="Z65" s="397"/>
      <c r="AA65" s="399" t="str">
        <f>IF(Y61="","",VLOOKUP(Y61,big_tabela,4,0))</f>
        <v/>
      </c>
      <c r="AB65" s="400"/>
      <c r="AC65" s="634" t="str">
        <f>IF(Y61="","","anemostat")</f>
        <v>anemostat</v>
      </c>
      <c r="AD65" s="416" t="str">
        <f>IF(Y61="","","x"&amp;VLOOKUP(Y61,big_tabela,56,0))</f>
        <v>x1</v>
      </c>
      <c r="AE65" s="289"/>
      <c r="AF65" s="395"/>
      <c r="AG65" s="398" t="str">
        <f>IF(AK61="","",VLOOKUP(AK61,big_tabela,4,0))</f>
        <v/>
      </c>
      <c r="AH65" s="417"/>
      <c r="AI65" s="635" t="str">
        <f>IF(AK61="","","anemostat")</f>
        <v/>
      </c>
      <c r="AJ65" s="414" t="str">
        <f>IF(AK61="","","x"&amp;VLOOKUP(AK61,big_tabela,55,0))</f>
        <v/>
      </c>
      <c r="AK65" s="401"/>
      <c r="AL65" s="289"/>
      <c r="AM65" s="289"/>
      <c r="AN65" s="289"/>
      <c r="AO65" s="289"/>
      <c r="AP65" s="409"/>
      <c r="AQ65" s="409"/>
      <c r="AR65" s="409"/>
      <c r="AS65" s="409"/>
      <c r="AT65" s="409"/>
      <c r="AU65" s="409"/>
      <c r="AV65" s="418" t="str">
        <f t="shared" si="21"/>
        <v/>
      </c>
      <c r="AW65" s="409"/>
      <c r="AX65" s="418" t="str">
        <f t="shared" si="17"/>
        <v>1</v>
      </c>
      <c r="AY65" s="409"/>
      <c r="AZ65" s="418" t="str">
        <f t="shared" si="14"/>
        <v>1</v>
      </c>
      <c r="BA65" s="409"/>
      <c r="BB65" s="418" t="str">
        <f t="shared" si="19"/>
        <v>1</v>
      </c>
      <c r="BC65" s="409"/>
      <c r="BD65" s="418" t="str">
        <f t="shared" si="15"/>
        <v>1</v>
      </c>
      <c r="BE65" s="409"/>
      <c r="BF65" s="418" t="str">
        <f t="shared" si="12"/>
        <v>1</v>
      </c>
      <c r="BG65" s="409"/>
      <c r="BH65" s="418" t="str">
        <f t="shared" si="8"/>
        <v>1</v>
      </c>
      <c r="BI65" s="266"/>
      <c r="BJ65" s="265"/>
    </row>
    <row r="66" spans="1:62" ht="6" customHeight="1">
      <c r="A66" s="265"/>
      <c r="B66" s="289"/>
      <c r="C66" s="289"/>
      <c r="D66" s="418" t="str">
        <f t="shared" si="2"/>
        <v>1</v>
      </c>
      <c r="E66" s="418"/>
      <c r="F66" s="418" t="str">
        <f t="shared" si="11"/>
        <v>1</v>
      </c>
      <c r="G66" s="418"/>
      <c r="H66" s="419" t="str">
        <f t="shared" si="5"/>
        <v>1</v>
      </c>
      <c r="I66" s="418"/>
      <c r="J66" s="419" t="str">
        <f t="shared" si="18"/>
        <v>1</v>
      </c>
      <c r="K66" s="418"/>
      <c r="L66" s="419" t="str">
        <f t="shared" si="13"/>
        <v>1</v>
      </c>
      <c r="M66" s="418"/>
      <c r="N66" s="419" t="str">
        <f t="shared" si="16"/>
        <v>1</v>
      </c>
      <c r="O66" s="418"/>
      <c r="P66" s="418" t="str">
        <f t="shared" si="22"/>
        <v>1</v>
      </c>
      <c r="Q66" s="418"/>
      <c r="R66" s="418"/>
      <c r="S66" s="418"/>
      <c r="T66" s="418"/>
      <c r="U66" s="418"/>
      <c r="V66" s="418"/>
      <c r="W66" s="289"/>
      <c r="X66" s="289"/>
      <c r="Y66" s="289"/>
      <c r="Z66" s="397"/>
      <c r="AA66" s="397"/>
      <c r="AB66" s="397"/>
      <c r="AC66" s="397"/>
      <c r="AD66" s="397"/>
      <c r="AE66" s="289"/>
      <c r="AF66" s="395"/>
      <c r="AG66" s="395"/>
      <c r="AH66" s="395"/>
      <c r="AI66" s="395"/>
      <c r="AJ66" s="395"/>
      <c r="AK66" s="289"/>
      <c r="AL66" s="289"/>
      <c r="AM66" s="289"/>
      <c r="AN66" s="289"/>
      <c r="AO66" s="289"/>
      <c r="AP66" s="409"/>
      <c r="AQ66" s="409"/>
      <c r="AR66" s="409"/>
      <c r="AS66" s="409"/>
      <c r="AT66" s="409"/>
      <c r="AU66" s="409"/>
      <c r="AV66" s="418" t="str">
        <f t="shared" si="21"/>
        <v/>
      </c>
      <c r="AW66" s="409"/>
      <c r="AX66" s="418" t="str">
        <f t="shared" si="17"/>
        <v>1</v>
      </c>
      <c r="AY66" s="409"/>
      <c r="AZ66" s="418" t="str">
        <f t="shared" ref="AZ66:AZ87" si="23">$AL$48</f>
        <v>1</v>
      </c>
      <c r="BA66" s="409"/>
      <c r="BB66" s="418" t="str">
        <f t="shared" si="19"/>
        <v>1</v>
      </c>
      <c r="BC66" s="409"/>
      <c r="BD66" s="418" t="str">
        <f t="shared" si="15"/>
        <v>1</v>
      </c>
      <c r="BE66" s="409"/>
      <c r="BF66" s="418" t="str">
        <f t="shared" si="12"/>
        <v>1</v>
      </c>
      <c r="BG66" s="409"/>
      <c r="BH66" s="418" t="str">
        <f t="shared" si="8"/>
        <v>1</v>
      </c>
      <c r="BI66" s="266"/>
      <c r="BJ66" s="265"/>
    </row>
    <row r="67" spans="1:62">
      <c r="A67" s="265"/>
      <c r="B67" s="289"/>
      <c r="C67" s="289"/>
      <c r="D67" s="418" t="str">
        <f t="shared" si="2"/>
        <v>1</v>
      </c>
      <c r="E67" s="418"/>
      <c r="F67" s="418" t="str">
        <f t="shared" si="11"/>
        <v>1</v>
      </c>
      <c r="G67" s="418"/>
      <c r="H67" s="419" t="str">
        <f t="shared" si="5"/>
        <v>1</v>
      </c>
      <c r="I67" s="418"/>
      <c r="J67" s="419" t="str">
        <f t="shared" si="18"/>
        <v>1</v>
      </c>
      <c r="K67" s="418"/>
      <c r="L67" s="419" t="str">
        <f t="shared" si="13"/>
        <v>1</v>
      </c>
      <c r="M67" s="418"/>
      <c r="N67" s="419" t="str">
        <f t="shared" si="16"/>
        <v>1</v>
      </c>
      <c r="O67" s="418"/>
      <c r="P67" s="418" t="str">
        <f t="shared" si="22"/>
        <v>1</v>
      </c>
      <c r="Q67" s="418"/>
      <c r="R67" s="418"/>
      <c r="S67" s="418"/>
      <c r="T67" s="418"/>
      <c r="U67" s="418"/>
      <c r="V67" s="418"/>
      <c r="W67" s="289"/>
      <c r="X67" s="289"/>
      <c r="Y67" s="289"/>
      <c r="Z67" s="289"/>
      <c r="AA67" s="289"/>
      <c r="AB67" s="289"/>
      <c r="AC67" s="289"/>
      <c r="AD67" s="289"/>
      <c r="AE67" s="289"/>
      <c r="AF67" s="289"/>
      <c r="AG67" s="289"/>
      <c r="AH67" s="289"/>
      <c r="AI67" s="289"/>
      <c r="AJ67" s="289"/>
      <c r="AK67" s="289"/>
      <c r="AL67" s="289"/>
      <c r="AM67" s="289"/>
      <c r="AN67" s="289"/>
      <c r="AO67" s="289"/>
      <c r="AP67" s="409"/>
      <c r="AQ67" s="409"/>
      <c r="AR67" s="409"/>
      <c r="AS67" s="409"/>
      <c r="AT67" s="409"/>
      <c r="AU67" s="409"/>
      <c r="AV67" s="418" t="str">
        <f t="shared" si="21"/>
        <v/>
      </c>
      <c r="AW67" s="409"/>
      <c r="AX67" s="418" t="str">
        <f t="shared" si="17"/>
        <v>1</v>
      </c>
      <c r="AY67" s="409"/>
      <c r="AZ67" s="418" t="str">
        <f t="shared" si="23"/>
        <v>1</v>
      </c>
      <c r="BA67" s="409"/>
      <c r="BB67" s="418" t="str">
        <f t="shared" si="19"/>
        <v>1</v>
      </c>
      <c r="BC67" s="409"/>
      <c r="BD67" s="418" t="str">
        <f t="shared" si="15"/>
        <v>1</v>
      </c>
      <c r="BE67" s="409"/>
      <c r="BF67" s="418" t="str">
        <f t="shared" si="12"/>
        <v>1</v>
      </c>
      <c r="BG67" s="409"/>
      <c r="BH67" s="418" t="str">
        <f t="shared" si="8"/>
        <v>1</v>
      </c>
      <c r="BI67" s="266"/>
      <c r="BJ67" s="265"/>
    </row>
    <row r="68" spans="1:62" ht="6" customHeight="1">
      <c r="A68" s="265"/>
      <c r="B68" s="289"/>
      <c r="C68" s="289"/>
      <c r="D68" s="418" t="str">
        <f t="shared" si="2"/>
        <v>1</v>
      </c>
      <c r="E68" s="418"/>
      <c r="F68" s="418" t="str">
        <f t="shared" si="11"/>
        <v>1</v>
      </c>
      <c r="G68" s="418"/>
      <c r="H68" s="419" t="str">
        <f t="shared" si="5"/>
        <v>1</v>
      </c>
      <c r="I68" s="418"/>
      <c r="J68" s="419" t="str">
        <f t="shared" si="18"/>
        <v>1</v>
      </c>
      <c r="K68" s="418"/>
      <c r="L68" s="419" t="str">
        <f t="shared" si="13"/>
        <v>1</v>
      </c>
      <c r="M68" s="418"/>
      <c r="N68" s="419" t="str">
        <f t="shared" si="16"/>
        <v>1</v>
      </c>
      <c r="O68" s="418"/>
      <c r="P68" s="418" t="str">
        <f t="shared" si="22"/>
        <v>1</v>
      </c>
      <c r="Q68" s="418"/>
      <c r="R68" s="418"/>
      <c r="S68" s="418"/>
      <c r="T68" s="418"/>
      <c r="U68" s="418"/>
      <c r="V68" s="418"/>
      <c r="W68" s="289"/>
      <c r="X68" s="289"/>
      <c r="Y68" s="789" t="str">
        <f>IF(Obliczenia!E68="10","",Obliczenia!E68)</f>
        <v>0.10</v>
      </c>
      <c r="Z68" s="397"/>
      <c r="AA68" s="397"/>
      <c r="AB68" s="397"/>
      <c r="AC68" s="397"/>
      <c r="AD68" s="397"/>
      <c r="AE68" s="289"/>
      <c r="AF68" s="395"/>
      <c r="AG68" s="395"/>
      <c r="AH68" s="395"/>
      <c r="AI68" s="395"/>
      <c r="AJ68" s="395"/>
      <c r="AK68" s="789" t="str">
        <f>IF(Obliczenia!E44="10","",Obliczenia!E44)</f>
        <v/>
      </c>
      <c r="AL68" s="289"/>
      <c r="AM68" s="289"/>
      <c r="AN68" s="289"/>
      <c r="AO68" s="289"/>
      <c r="AP68" s="409"/>
      <c r="AQ68" s="409"/>
      <c r="AR68" s="409"/>
      <c r="AS68" s="409"/>
      <c r="AT68" s="409"/>
      <c r="AU68" s="409"/>
      <c r="AV68" s="418" t="str">
        <f t="shared" si="21"/>
        <v/>
      </c>
      <c r="AW68" s="409"/>
      <c r="AX68" s="418" t="str">
        <f t="shared" si="17"/>
        <v>1</v>
      </c>
      <c r="AY68" s="409"/>
      <c r="AZ68" s="418" t="str">
        <f t="shared" si="23"/>
        <v>1</v>
      </c>
      <c r="BA68" s="409"/>
      <c r="BB68" s="418" t="str">
        <f t="shared" si="19"/>
        <v>1</v>
      </c>
      <c r="BC68" s="409"/>
      <c r="BD68" s="418" t="str">
        <f t="shared" si="15"/>
        <v>1</v>
      </c>
      <c r="BE68" s="409"/>
      <c r="BF68" s="418" t="str">
        <f t="shared" si="12"/>
        <v>1</v>
      </c>
      <c r="BG68" s="409"/>
      <c r="BH68" s="418" t="str">
        <f t="shared" si="8"/>
        <v>1</v>
      </c>
      <c r="BI68" s="266"/>
      <c r="BJ68" s="265"/>
    </row>
    <row r="69" spans="1:62" ht="14.4" customHeight="1">
      <c r="A69" s="265"/>
      <c r="B69" s="289"/>
      <c r="C69" s="289"/>
      <c r="D69" s="418" t="str">
        <f t="shared" si="2"/>
        <v>1</v>
      </c>
      <c r="E69" s="418"/>
      <c r="F69" s="418" t="str">
        <f t="shared" si="11"/>
        <v>1</v>
      </c>
      <c r="G69" s="418"/>
      <c r="H69" s="419" t="str">
        <f t="shared" si="5"/>
        <v>1</v>
      </c>
      <c r="I69" s="418"/>
      <c r="J69" s="419" t="str">
        <f t="shared" si="18"/>
        <v>1</v>
      </c>
      <c r="K69" s="418"/>
      <c r="L69" s="419" t="str">
        <f t="shared" si="13"/>
        <v>1</v>
      </c>
      <c r="M69" s="418"/>
      <c r="N69" s="419" t="str">
        <f t="shared" si="16"/>
        <v>1</v>
      </c>
      <c r="O69" s="418"/>
      <c r="P69" s="418" t="str">
        <f t="shared" si="22"/>
        <v>1</v>
      </c>
      <c r="Q69" s="418"/>
      <c r="R69" s="418"/>
      <c r="S69" s="418"/>
      <c r="T69" s="418"/>
      <c r="U69" s="418"/>
      <c r="V69" s="418"/>
      <c r="W69" s="289"/>
      <c r="X69" s="4" t="str">
        <f>IF(Y68&lt;&gt;"","1","")</f>
        <v>1</v>
      </c>
      <c r="Y69" s="789"/>
      <c r="Z69" s="397"/>
      <c r="AA69" s="772" t="str">
        <f>IF(Y68="","",VLOOKUP(Y68,big_tabela,3,0))</f>
        <v>Garderoba</v>
      </c>
      <c r="AB69" s="772"/>
      <c r="AC69" s="773">
        <f>IF(Y68="","",VLOOKUP(Y68,big_tabela,12,0))</f>
        <v>30</v>
      </c>
      <c r="AD69" s="774" t="s">
        <v>373</v>
      </c>
      <c r="AE69" s="289"/>
      <c r="AF69" s="395"/>
      <c r="AG69" s="783" t="str">
        <f>IF(AK68="","",VLOOKUP(AK68,big_tabela,3,0))</f>
        <v/>
      </c>
      <c r="AH69" s="783"/>
      <c r="AI69" s="784" t="str">
        <f>IF(AK68="","",VLOOKUP(AK68,big_tabela,12,0))</f>
        <v/>
      </c>
      <c r="AJ69" s="767" t="s">
        <v>373</v>
      </c>
      <c r="AK69" s="789"/>
      <c r="AL69" s="4" t="str">
        <f>IF(AK68&lt;&gt;"","1","")</f>
        <v/>
      </c>
      <c r="AM69" s="289"/>
      <c r="AN69" s="289"/>
      <c r="AO69" s="289"/>
      <c r="AP69" s="409"/>
      <c r="AQ69" s="409"/>
      <c r="AR69" s="409"/>
      <c r="AS69" s="409"/>
      <c r="AT69" s="409"/>
      <c r="AU69" s="409"/>
      <c r="AV69" s="418" t="str">
        <f t="shared" si="21"/>
        <v/>
      </c>
      <c r="AW69" s="409"/>
      <c r="AX69" s="418" t="str">
        <f t="shared" si="17"/>
        <v>1</v>
      </c>
      <c r="AY69" s="409"/>
      <c r="AZ69" s="418" t="str">
        <f t="shared" si="23"/>
        <v>1</v>
      </c>
      <c r="BA69" s="409"/>
      <c r="BB69" s="418" t="str">
        <f t="shared" si="19"/>
        <v>1</v>
      </c>
      <c r="BC69" s="409"/>
      <c r="BD69" s="418" t="str">
        <f t="shared" si="15"/>
        <v>1</v>
      </c>
      <c r="BE69" s="409"/>
      <c r="BF69" s="418" t="str">
        <f t="shared" si="12"/>
        <v>1</v>
      </c>
      <c r="BG69" s="409"/>
      <c r="BH69" s="418" t="str">
        <f t="shared" si="8"/>
        <v>1</v>
      </c>
      <c r="BI69" s="266"/>
      <c r="BJ69" s="265"/>
    </row>
    <row r="70" spans="1:62" ht="14.4" customHeight="1">
      <c r="A70" s="265"/>
      <c r="B70" s="289"/>
      <c r="C70" s="289"/>
      <c r="D70" s="418" t="str">
        <f t="shared" si="2"/>
        <v>1</v>
      </c>
      <c r="E70" s="418"/>
      <c r="F70" s="418" t="str">
        <f t="shared" si="11"/>
        <v>1</v>
      </c>
      <c r="G70" s="418"/>
      <c r="H70" s="419" t="str">
        <f t="shared" si="5"/>
        <v>1</v>
      </c>
      <c r="I70" s="418"/>
      <c r="J70" s="419" t="str">
        <f t="shared" si="18"/>
        <v>1</v>
      </c>
      <c r="K70" s="418"/>
      <c r="L70" s="419" t="str">
        <f t="shared" si="13"/>
        <v>1</v>
      </c>
      <c r="M70" s="418"/>
      <c r="N70" s="419" t="str">
        <f t="shared" si="16"/>
        <v>1</v>
      </c>
      <c r="O70" s="418"/>
      <c r="P70" s="418" t="str">
        <f t="shared" si="22"/>
        <v>1</v>
      </c>
      <c r="Q70" s="418"/>
      <c r="R70" s="418"/>
      <c r="S70" s="418"/>
      <c r="T70" s="418"/>
      <c r="U70" s="418"/>
      <c r="V70" s="418"/>
      <c r="W70" s="494" t="str">
        <f>IF(Y68="","","Φ90")</f>
        <v>Φ90</v>
      </c>
      <c r="X70" s="495" t="str">
        <f>IF(Y68="","","x"&amp;VLOOKUP(Y68,big_tabela,53,0))</f>
        <v>x1</v>
      </c>
      <c r="Y70" s="403" t="str">
        <f>IF(Y68="","","◄")</f>
        <v>◄</v>
      </c>
      <c r="Z70" s="397"/>
      <c r="AA70" s="772"/>
      <c r="AB70" s="772"/>
      <c r="AC70" s="773"/>
      <c r="AD70" s="774"/>
      <c r="AE70" s="289"/>
      <c r="AF70" s="395"/>
      <c r="AG70" s="783"/>
      <c r="AH70" s="783"/>
      <c r="AI70" s="784"/>
      <c r="AJ70" s="767"/>
      <c r="AK70" s="402" t="str">
        <f>IF(AK68="","","◄")</f>
        <v/>
      </c>
      <c r="AL70" s="494" t="str">
        <f>IF(AK68="","","Φ90")</f>
        <v/>
      </c>
      <c r="AM70" s="495" t="str">
        <f>IF(AK68="","","x"&amp;VLOOKUP(AK68,big_tabela,52,0))</f>
        <v/>
      </c>
      <c r="AN70" s="289"/>
      <c r="AO70" s="289"/>
      <c r="AP70" s="409"/>
      <c r="AQ70" s="409"/>
      <c r="AR70" s="409"/>
      <c r="AS70" s="409"/>
      <c r="AT70" s="409"/>
      <c r="AU70" s="409"/>
      <c r="AV70" s="418" t="str">
        <f t="shared" si="21"/>
        <v/>
      </c>
      <c r="AW70" s="409"/>
      <c r="AX70" s="418" t="str">
        <f t="shared" si="17"/>
        <v>1</v>
      </c>
      <c r="AY70" s="409"/>
      <c r="AZ70" s="418" t="str">
        <f t="shared" si="23"/>
        <v>1</v>
      </c>
      <c r="BA70" s="409"/>
      <c r="BB70" s="418" t="str">
        <f t="shared" si="19"/>
        <v>1</v>
      </c>
      <c r="BC70" s="409"/>
      <c r="BD70" s="418" t="str">
        <f t="shared" si="15"/>
        <v>1</v>
      </c>
      <c r="BE70" s="409"/>
      <c r="BF70" s="418" t="str">
        <f t="shared" si="12"/>
        <v>1</v>
      </c>
      <c r="BG70" s="409"/>
      <c r="BH70" s="418" t="str">
        <f t="shared" si="8"/>
        <v>1</v>
      </c>
      <c r="BI70" s="266"/>
      <c r="BJ70" s="265"/>
    </row>
    <row r="71" spans="1:62" ht="3" customHeight="1">
      <c r="A71" s="265"/>
      <c r="B71" s="289"/>
      <c r="C71" s="404"/>
      <c r="D71" s="418" t="str">
        <f t="shared" si="2"/>
        <v>1</v>
      </c>
      <c r="E71" s="418"/>
      <c r="F71" s="418" t="str">
        <f t="shared" si="11"/>
        <v>1</v>
      </c>
      <c r="G71" s="418"/>
      <c r="H71" s="419" t="str">
        <f t="shared" si="5"/>
        <v>1</v>
      </c>
      <c r="I71" s="418"/>
      <c r="J71" s="419" t="str">
        <f t="shared" si="18"/>
        <v>1</v>
      </c>
      <c r="K71" s="418"/>
      <c r="L71" s="419" t="str">
        <f t="shared" si="13"/>
        <v>1</v>
      </c>
      <c r="M71" s="418"/>
      <c r="N71" s="419" t="str">
        <f t="shared" si="16"/>
        <v>1</v>
      </c>
      <c r="O71" s="418"/>
      <c r="P71" s="418" t="str">
        <f t="shared" si="22"/>
        <v>1</v>
      </c>
      <c r="Q71" s="418"/>
      <c r="R71" s="418" t="str">
        <f t="shared" ref="R71:X87" si="24">$X$69</f>
        <v>1</v>
      </c>
      <c r="S71" s="418" t="str">
        <f t="shared" si="24"/>
        <v>1</v>
      </c>
      <c r="T71" s="418" t="str">
        <f t="shared" si="24"/>
        <v>1</v>
      </c>
      <c r="U71" s="418" t="str">
        <f t="shared" si="24"/>
        <v>1</v>
      </c>
      <c r="V71" s="418" t="str">
        <f t="shared" si="24"/>
        <v>1</v>
      </c>
      <c r="W71" s="418" t="str">
        <f t="shared" si="24"/>
        <v>1</v>
      </c>
      <c r="X71" s="418" t="str">
        <f t="shared" si="24"/>
        <v>1</v>
      </c>
      <c r="Y71" s="418" t="str">
        <f>$X$69</f>
        <v>1</v>
      </c>
      <c r="Z71" s="397"/>
      <c r="AA71" s="412"/>
      <c r="AB71" s="412"/>
      <c r="AC71" s="415"/>
      <c r="AD71" s="416"/>
      <c r="AE71" s="289"/>
      <c r="AF71" s="395"/>
      <c r="AG71" s="421"/>
      <c r="AH71" s="421"/>
      <c r="AI71" s="413"/>
      <c r="AJ71" s="414"/>
      <c r="AK71" s="418" t="str">
        <f t="shared" ref="AK71:AT86" si="25">$AL$69</f>
        <v/>
      </c>
      <c r="AL71" s="418" t="str">
        <f t="shared" si="25"/>
        <v/>
      </c>
      <c r="AM71" s="418" t="str">
        <f t="shared" si="25"/>
        <v/>
      </c>
      <c r="AN71" s="418" t="str">
        <f t="shared" si="25"/>
        <v/>
      </c>
      <c r="AO71" s="418" t="str">
        <f t="shared" si="25"/>
        <v/>
      </c>
      <c r="AP71" s="418" t="str">
        <f t="shared" si="25"/>
        <v/>
      </c>
      <c r="AQ71" s="418" t="str">
        <f t="shared" si="25"/>
        <v/>
      </c>
      <c r="AR71" s="418" t="str">
        <f t="shared" si="25"/>
        <v/>
      </c>
      <c r="AS71" s="418" t="str">
        <f t="shared" si="25"/>
        <v/>
      </c>
      <c r="AT71" s="418" t="str">
        <f t="shared" si="25"/>
        <v/>
      </c>
      <c r="AU71" s="409"/>
      <c r="AV71" s="418" t="str">
        <f t="shared" si="21"/>
        <v/>
      </c>
      <c r="AW71" s="409"/>
      <c r="AX71" s="418" t="str">
        <f t="shared" si="17"/>
        <v>1</v>
      </c>
      <c r="AY71" s="409"/>
      <c r="AZ71" s="418" t="str">
        <f t="shared" si="23"/>
        <v>1</v>
      </c>
      <c r="BA71" s="409"/>
      <c r="BB71" s="418" t="str">
        <f t="shared" si="19"/>
        <v>1</v>
      </c>
      <c r="BC71" s="409"/>
      <c r="BD71" s="418" t="str">
        <f t="shared" si="15"/>
        <v>1</v>
      </c>
      <c r="BE71" s="409"/>
      <c r="BF71" s="418" t="str">
        <f t="shared" si="12"/>
        <v>1</v>
      </c>
      <c r="BG71" s="409"/>
      <c r="BH71" s="418" t="str">
        <f t="shared" si="8"/>
        <v>1</v>
      </c>
      <c r="BI71" s="266"/>
      <c r="BJ71" s="265"/>
    </row>
    <row r="72" spans="1:62" ht="14.4" customHeight="1">
      <c r="A72" s="265"/>
      <c r="B72" s="289"/>
      <c r="C72" s="289"/>
      <c r="D72" s="418" t="str">
        <f t="shared" si="2"/>
        <v>1</v>
      </c>
      <c r="E72" s="418"/>
      <c r="F72" s="418" t="str">
        <f t="shared" si="11"/>
        <v>1</v>
      </c>
      <c r="G72" s="418"/>
      <c r="H72" s="419" t="str">
        <f t="shared" si="5"/>
        <v>1</v>
      </c>
      <c r="I72" s="418"/>
      <c r="J72" s="419" t="str">
        <f t="shared" si="18"/>
        <v>1</v>
      </c>
      <c r="K72" s="418"/>
      <c r="L72" s="419" t="str">
        <f t="shared" si="13"/>
        <v>1</v>
      </c>
      <c r="M72" s="418"/>
      <c r="N72" s="419" t="str">
        <f t="shared" si="16"/>
        <v>1</v>
      </c>
      <c r="O72" s="418"/>
      <c r="P72" s="418" t="str">
        <f t="shared" si="22"/>
        <v>1</v>
      </c>
      <c r="Q72" s="418"/>
      <c r="R72" s="418" t="str">
        <f t="shared" si="24"/>
        <v>1</v>
      </c>
      <c r="S72" s="418"/>
      <c r="T72" s="418"/>
      <c r="U72" s="418"/>
      <c r="V72" s="418"/>
      <c r="W72" s="289"/>
      <c r="X72" s="289"/>
      <c r="Y72" s="289"/>
      <c r="Z72" s="397"/>
      <c r="AA72" s="399" t="str">
        <f>IF(Y68="","",VLOOKUP(Y68,big_tabela,4,0))</f>
        <v/>
      </c>
      <c r="AB72" s="400"/>
      <c r="AC72" s="634" t="str">
        <f>IF(Y68="","","anemostat")</f>
        <v>anemostat</v>
      </c>
      <c r="AD72" s="416" t="str">
        <f>IF(Y68="","","x"&amp;VLOOKUP(Y68,big_tabela,56,0))</f>
        <v>x1</v>
      </c>
      <c r="AE72" s="289"/>
      <c r="AF72" s="395"/>
      <c r="AG72" s="398" t="str">
        <f>IF(AK68="","",VLOOKUP(AK68,big_tabela,4,0))</f>
        <v/>
      </c>
      <c r="AH72" s="417"/>
      <c r="AI72" s="635" t="str">
        <f>IF(AK68="","","anemostat")</f>
        <v/>
      </c>
      <c r="AJ72" s="414" t="str">
        <f>IF(AK68="","","x"&amp;VLOOKUP(AK68,big_tabela,55,0))</f>
        <v/>
      </c>
      <c r="AK72" s="401"/>
      <c r="AL72" s="289"/>
      <c r="AM72" s="289"/>
      <c r="AN72" s="289"/>
      <c r="AO72" s="289"/>
      <c r="AP72" s="409"/>
      <c r="AQ72" s="409"/>
      <c r="AR72" s="409"/>
      <c r="AS72" s="409"/>
      <c r="AT72" s="418" t="str">
        <f t="shared" si="25"/>
        <v/>
      </c>
      <c r="AU72" s="409"/>
      <c r="AV72" s="418" t="str">
        <f t="shared" si="21"/>
        <v/>
      </c>
      <c r="AW72" s="409"/>
      <c r="AX72" s="418" t="str">
        <f t="shared" si="17"/>
        <v>1</v>
      </c>
      <c r="AY72" s="409"/>
      <c r="AZ72" s="418" t="str">
        <f t="shared" si="23"/>
        <v>1</v>
      </c>
      <c r="BA72" s="409"/>
      <c r="BB72" s="418" t="str">
        <f t="shared" si="19"/>
        <v>1</v>
      </c>
      <c r="BC72" s="409"/>
      <c r="BD72" s="418" t="str">
        <f t="shared" si="15"/>
        <v>1</v>
      </c>
      <c r="BE72" s="409"/>
      <c r="BF72" s="418" t="str">
        <f t="shared" si="12"/>
        <v>1</v>
      </c>
      <c r="BG72" s="409"/>
      <c r="BH72" s="418" t="str">
        <f t="shared" si="8"/>
        <v>1</v>
      </c>
      <c r="BI72" s="266"/>
      <c r="BJ72" s="265"/>
    </row>
    <row r="73" spans="1:62" ht="6" customHeight="1">
      <c r="A73" s="265"/>
      <c r="B73" s="289"/>
      <c r="C73" s="289"/>
      <c r="D73" s="418" t="str">
        <f t="shared" si="2"/>
        <v>1</v>
      </c>
      <c r="E73" s="418"/>
      <c r="F73" s="418" t="str">
        <f t="shared" si="11"/>
        <v>1</v>
      </c>
      <c r="G73" s="418"/>
      <c r="H73" s="419" t="str">
        <f t="shared" si="5"/>
        <v>1</v>
      </c>
      <c r="I73" s="418"/>
      <c r="J73" s="419" t="str">
        <f t="shared" si="18"/>
        <v>1</v>
      </c>
      <c r="K73" s="418"/>
      <c r="L73" s="419" t="str">
        <f t="shared" si="13"/>
        <v>1</v>
      </c>
      <c r="M73" s="418"/>
      <c r="N73" s="419" t="str">
        <f t="shared" si="16"/>
        <v>1</v>
      </c>
      <c r="O73" s="418"/>
      <c r="P73" s="418" t="str">
        <f t="shared" si="22"/>
        <v>1</v>
      </c>
      <c r="Q73" s="418"/>
      <c r="R73" s="418" t="str">
        <f t="shared" si="24"/>
        <v>1</v>
      </c>
      <c r="S73" s="418"/>
      <c r="T73" s="418"/>
      <c r="U73" s="418"/>
      <c r="V73" s="418"/>
      <c r="W73" s="289"/>
      <c r="X73" s="289"/>
      <c r="Y73" s="289"/>
      <c r="Z73" s="397"/>
      <c r="AA73" s="397"/>
      <c r="AB73" s="397"/>
      <c r="AC73" s="397"/>
      <c r="AD73" s="397"/>
      <c r="AE73" s="289"/>
      <c r="AF73" s="395"/>
      <c r="AG73" s="395"/>
      <c r="AH73" s="395"/>
      <c r="AI73" s="395"/>
      <c r="AJ73" s="395"/>
      <c r="AK73" s="289"/>
      <c r="AL73" s="289"/>
      <c r="AM73" s="289"/>
      <c r="AN73" s="289"/>
      <c r="AO73" s="289"/>
      <c r="AP73" s="409"/>
      <c r="AQ73" s="409"/>
      <c r="AR73" s="409"/>
      <c r="AS73" s="409"/>
      <c r="AT73" s="418" t="str">
        <f t="shared" si="25"/>
        <v/>
      </c>
      <c r="AU73" s="409"/>
      <c r="AV73" s="418" t="str">
        <f t="shared" si="21"/>
        <v/>
      </c>
      <c r="AW73" s="409"/>
      <c r="AX73" s="418" t="str">
        <f t="shared" ref="AX73:AX87" si="26">$AL$55</f>
        <v>1</v>
      </c>
      <c r="AY73" s="409"/>
      <c r="AZ73" s="418" t="str">
        <f t="shared" si="23"/>
        <v>1</v>
      </c>
      <c r="BA73" s="409"/>
      <c r="BB73" s="418" t="str">
        <f t="shared" si="19"/>
        <v>1</v>
      </c>
      <c r="BC73" s="409"/>
      <c r="BD73" s="418" t="str">
        <f t="shared" si="15"/>
        <v>1</v>
      </c>
      <c r="BE73" s="409"/>
      <c r="BF73" s="418" t="str">
        <f t="shared" si="12"/>
        <v>1</v>
      </c>
      <c r="BG73" s="409"/>
      <c r="BH73" s="418" t="str">
        <f t="shared" si="8"/>
        <v>1</v>
      </c>
      <c r="BI73" s="266"/>
      <c r="BJ73" s="265"/>
    </row>
    <row r="74" spans="1:62">
      <c r="A74" s="265"/>
      <c r="B74" s="289"/>
      <c r="C74" s="289"/>
      <c r="D74" s="418" t="str">
        <f t="shared" si="2"/>
        <v>1</v>
      </c>
      <c r="E74" s="418"/>
      <c r="F74" s="418" t="str">
        <f t="shared" si="11"/>
        <v>1</v>
      </c>
      <c r="G74" s="418"/>
      <c r="H74" s="419" t="str">
        <f t="shared" si="5"/>
        <v>1</v>
      </c>
      <c r="I74" s="418"/>
      <c r="J74" s="419" t="str">
        <f t="shared" si="18"/>
        <v>1</v>
      </c>
      <c r="K74" s="418"/>
      <c r="L74" s="419" t="str">
        <f t="shared" si="13"/>
        <v>1</v>
      </c>
      <c r="M74" s="418"/>
      <c r="N74" s="419" t="str">
        <f t="shared" si="16"/>
        <v>1</v>
      </c>
      <c r="O74" s="418"/>
      <c r="P74" s="418" t="str">
        <f t="shared" si="22"/>
        <v>1</v>
      </c>
      <c r="Q74" s="418"/>
      <c r="R74" s="418" t="str">
        <f t="shared" si="24"/>
        <v>1</v>
      </c>
      <c r="S74" s="418"/>
      <c r="T74" s="418"/>
      <c r="U74" s="418"/>
      <c r="V74" s="418"/>
      <c r="W74" s="289"/>
      <c r="X74" s="289"/>
      <c r="Y74" s="289"/>
      <c r="Z74" s="289"/>
      <c r="AA74" s="289"/>
      <c r="AB74" s="289"/>
      <c r="AC74" s="289"/>
      <c r="AD74" s="289"/>
      <c r="AE74" s="289"/>
      <c r="AF74" s="289"/>
      <c r="AG74" s="289"/>
      <c r="AH74" s="289"/>
      <c r="AI74" s="289"/>
      <c r="AJ74" s="289"/>
      <c r="AK74" s="289"/>
      <c r="AL74" s="289"/>
      <c r="AM74" s="289"/>
      <c r="AN74" s="289"/>
      <c r="AO74" s="289"/>
      <c r="AP74" s="409"/>
      <c r="AQ74" s="409"/>
      <c r="AR74" s="409"/>
      <c r="AS74" s="409"/>
      <c r="AT74" s="418" t="str">
        <f t="shared" si="25"/>
        <v/>
      </c>
      <c r="AU74" s="409"/>
      <c r="AV74" s="418" t="str">
        <f t="shared" si="21"/>
        <v/>
      </c>
      <c r="AW74" s="409"/>
      <c r="AX74" s="418" t="str">
        <f t="shared" si="26"/>
        <v>1</v>
      </c>
      <c r="AY74" s="409"/>
      <c r="AZ74" s="418" t="str">
        <f t="shared" si="23"/>
        <v>1</v>
      </c>
      <c r="BA74" s="409"/>
      <c r="BB74" s="418" t="str">
        <f t="shared" si="19"/>
        <v>1</v>
      </c>
      <c r="BC74" s="409"/>
      <c r="BD74" s="418" t="str">
        <f t="shared" si="15"/>
        <v>1</v>
      </c>
      <c r="BE74" s="409"/>
      <c r="BF74" s="418" t="str">
        <f t="shared" si="12"/>
        <v>1</v>
      </c>
      <c r="BG74" s="409"/>
      <c r="BH74" s="418" t="str">
        <f t="shared" si="8"/>
        <v>1</v>
      </c>
      <c r="BI74" s="266"/>
      <c r="BJ74" s="265"/>
    </row>
    <row r="75" spans="1:62" ht="6" customHeight="1">
      <c r="A75" s="265"/>
      <c r="B75" s="289"/>
      <c r="C75" s="289"/>
      <c r="D75" s="418" t="str">
        <f t="shared" si="2"/>
        <v>1</v>
      </c>
      <c r="E75" s="418"/>
      <c r="F75" s="418" t="str">
        <f t="shared" si="11"/>
        <v>1</v>
      </c>
      <c r="G75" s="418"/>
      <c r="H75" s="419" t="str">
        <f t="shared" si="5"/>
        <v>1</v>
      </c>
      <c r="I75" s="418"/>
      <c r="J75" s="419" t="str">
        <f t="shared" si="18"/>
        <v>1</v>
      </c>
      <c r="K75" s="418"/>
      <c r="L75" s="419" t="str">
        <f t="shared" si="13"/>
        <v>1</v>
      </c>
      <c r="M75" s="418"/>
      <c r="N75" s="419" t="str">
        <f t="shared" si="16"/>
        <v>1</v>
      </c>
      <c r="O75" s="418"/>
      <c r="P75" s="418" t="str">
        <f t="shared" si="22"/>
        <v>1</v>
      </c>
      <c r="Q75" s="418"/>
      <c r="R75" s="418" t="str">
        <f t="shared" si="24"/>
        <v>1</v>
      </c>
      <c r="S75" s="418"/>
      <c r="T75" s="418"/>
      <c r="U75" s="418"/>
      <c r="V75" s="418"/>
      <c r="W75" s="289"/>
      <c r="X75" s="289"/>
      <c r="Y75" s="789" t="str">
        <f>IF(Obliczenia!E69="10","",Obliczenia!E69)</f>
        <v/>
      </c>
      <c r="Z75" s="397"/>
      <c r="AA75" s="397"/>
      <c r="AB75" s="397"/>
      <c r="AC75" s="397"/>
      <c r="AD75" s="397"/>
      <c r="AE75" s="289"/>
      <c r="AF75" s="395"/>
      <c r="AG75" s="395"/>
      <c r="AH75" s="395"/>
      <c r="AI75" s="395"/>
      <c r="AJ75" s="395"/>
      <c r="AK75" s="789" t="str">
        <f>IF(Obliczenia!E45="10","",Obliczenia!E45)</f>
        <v/>
      </c>
      <c r="AL75" s="289"/>
      <c r="AM75" s="289"/>
      <c r="AN75" s="289"/>
      <c r="AO75" s="289"/>
      <c r="AP75" s="409"/>
      <c r="AQ75" s="409"/>
      <c r="AR75" s="409"/>
      <c r="AS75" s="409"/>
      <c r="AT75" s="418" t="str">
        <f t="shared" si="25"/>
        <v/>
      </c>
      <c r="AU75" s="409"/>
      <c r="AV75" s="418" t="str">
        <f t="shared" si="21"/>
        <v/>
      </c>
      <c r="AW75" s="409"/>
      <c r="AX75" s="418" t="str">
        <f t="shared" si="26"/>
        <v>1</v>
      </c>
      <c r="AY75" s="409"/>
      <c r="AZ75" s="418" t="str">
        <f t="shared" si="23"/>
        <v>1</v>
      </c>
      <c r="BA75" s="409"/>
      <c r="BB75" s="418" t="str">
        <f t="shared" si="19"/>
        <v>1</v>
      </c>
      <c r="BC75" s="409"/>
      <c r="BD75" s="418" t="str">
        <f t="shared" si="15"/>
        <v>1</v>
      </c>
      <c r="BE75" s="409"/>
      <c r="BF75" s="418" t="str">
        <f t="shared" si="12"/>
        <v>1</v>
      </c>
      <c r="BG75" s="409"/>
      <c r="BH75" s="418" t="str">
        <f t="shared" si="8"/>
        <v>1</v>
      </c>
      <c r="BI75" s="266"/>
      <c r="BJ75" s="265"/>
    </row>
    <row r="76" spans="1:62" ht="14.4" customHeight="1">
      <c r="A76" s="265"/>
      <c r="B76" s="289"/>
      <c r="C76" s="289"/>
      <c r="D76" s="418" t="str">
        <f t="shared" si="2"/>
        <v>1</v>
      </c>
      <c r="E76" s="418"/>
      <c r="F76" s="418" t="str">
        <f t="shared" si="11"/>
        <v>1</v>
      </c>
      <c r="G76" s="418"/>
      <c r="H76" s="419" t="str">
        <f t="shared" si="5"/>
        <v>1</v>
      </c>
      <c r="I76" s="418"/>
      <c r="J76" s="419" t="str">
        <f t="shared" si="18"/>
        <v>1</v>
      </c>
      <c r="K76" s="418"/>
      <c r="L76" s="419" t="str">
        <f t="shared" si="13"/>
        <v>1</v>
      </c>
      <c r="M76" s="418"/>
      <c r="N76" s="419" t="str">
        <f t="shared" si="16"/>
        <v>1</v>
      </c>
      <c r="O76" s="418"/>
      <c r="P76" s="418" t="str">
        <f t="shared" si="22"/>
        <v>1</v>
      </c>
      <c r="Q76" s="418"/>
      <c r="R76" s="418" t="str">
        <f t="shared" si="24"/>
        <v>1</v>
      </c>
      <c r="S76" s="418"/>
      <c r="T76" s="418"/>
      <c r="U76" s="418"/>
      <c r="V76" s="418"/>
      <c r="W76" s="289"/>
      <c r="X76" s="4" t="str">
        <f>IF(Y75&lt;&gt;"","1","")</f>
        <v/>
      </c>
      <c r="Y76" s="789"/>
      <c r="Z76" s="397"/>
      <c r="AA76" s="772" t="str">
        <f>IF(Y75="","",VLOOKUP(Y75,big_tabela,3,0))</f>
        <v/>
      </c>
      <c r="AB76" s="772"/>
      <c r="AC76" s="773" t="str">
        <f>IF(Y75="","",VLOOKUP(Y75,big_tabela,12,0))</f>
        <v/>
      </c>
      <c r="AD76" s="774" t="s">
        <v>373</v>
      </c>
      <c r="AE76" s="289"/>
      <c r="AF76" s="395"/>
      <c r="AG76" s="783" t="str">
        <f>IF(AK75="","",VLOOKUP(AK75,big_tabela,3,0))</f>
        <v/>
      </c>
      <c r="AH76" s="783"/>
      <c r="AI76" s="784" t="str">
        <f>IF(AK75="","",VLOOKUP(AK75,big_tabela,12,0))</f>
        <v/>
      </c>
      <c r="AJ76" s="767" t="s">
        <v>373</v>
      </c>
      <c r="AK76" s="789"/>
      <c r="AL76" s="4" t="str">
        <f>IF(AK75&lt;&gt;"","1","")</f>
        <v/>
      </c>
      <c r="AM76" s="289"/>
      <c r="AN76" s="289"/>
      <c r="AO76" s="289"/>
      <c r="AP76" s="409"/>
      <c r="AQ76" s="409"/>
      <c r="AR76" s="409"/>
      <c r="AS76" s="409"/>
      <c r="AT76" s="418" t="str">
        <f t="shared" si="25"/>
        <v/>
      </c>
      <c r="AU76" s="409"/>
      <c r="AV76" s="418" t="str">
        <f t="shared" si="21"/>
        <v/>
      </c>
      <c r="AW76" s="409"/>
      <c r="AX76" s="418" t="str">
        <f t="shared" si="26"/>
        <v>1</v>
      </c>
      <c r="AY76" s="409"/>
      <c r="AZ76" s="418" t="str">
        <f t="shared" si="23"/>
        <v>1</v>
      </c>
      <c r="BA76" s="409"/>
      <c r="BB76" s="418" t="str">
        <f t="shared" si="19"/>
        <v>1</v>
      </c>
      <c r="BC76" s="409"/>
      <c r="BD76" s="418" t="str">
        <f t="shared" si="15"/>
        <v>1</v>
      </c>
      <c r="BE76" s="409"/>
      <c r="BF76" s="418" t="str">
        <f t="shared" si="12"/>
        <v>1</v>
      </c>
      <c r="BG76" s="409"/>
      <c r="BH76" s="418" t="str">
        <f t="shared" si="8"/>
        <v>1</v>
      </c>
      <c r="BI76" s="266"/>
      <c r="BJ76" s="265"/>
    </row>
    <row r="77" spans="1:62" ht="14.4" customHeight="1">
      <c r="A77" s="265"/>
      <c r="B77" s="289"/>
      <c r="C77" s="289"/>
      <c r="D77" s="418" t="str">
        <f t="shared" si="2"/>
        <v>1</v>
      </c>
      <c r="E77" s="418"/>
      <c r="F77" s="418" t="str">
        <f t="shared" si="11"/>
        <v>1</v>
      </c>
      <c r="G77" s="418"/>
      <c r="H77" s="419" t="str">
        <f t="shared" si="5"/>
        <v>1</v>
      </c>
      <c r="I77" s="418"/>
      <c r="J77" s="419" t="str">
        <f t="shared" si="18"/>
        <v>1</v>
      </c>
      <c r="K77" s="418"/>
      <c r="L77" s="419" t="str">
        <f t="shared" si="13"/>
        <v>1</v>
      </c>
      <c r="M77" s="418"/>
      <c r="N77" s="419" t="str">
        <f t="shared" si="16"/>
        <v>1</v>
      </c>
      <c r="O77" s="418"/>
      <c r="P77" s="418" t="str">
        <f t="shared" si="22"/>
        <v>1</v>
      </c>
      <c r="Q77" s="418"/>
      <c r="R77" s="418" t="str">
        <f t="shared" si="24"/>
        <v>1</v>
      </c>
      <c r="S77" s="418"/>
      <c r="T77" s="418"/>
      <c r="U77" s="418"/>
      <c r="V77" s="418"/>
      <c r="W77" s="494" t="str">
        <f>IF(Y75="","","Φ90")</f>
        <v/>
      </c>
      <c r="X77" s="495" t="str">
        <f>IF(Y75="","","x"&amp;VLOOKUP(Y75,big_tabela,53,0))</f>
        <v/>
      </c>
      <c r="Y77" s="403" t="str">
        <f>IF(Y75="","","◄")</f>
        <v/>
      </c>
      <c r="Z77" s="397"/>
      <c r="AA77" s="772"/>
      <c r="AB77" s="772"/>
      <c r="AC77" s="773"/>
      <c r="AD77" s="774"/>
      <c r="AE77" s="289"/>
      <c r="AF77" s="395"/>
      <c r="AG77" s="783"/>
      <c r="AH77" s="783"/>
      <c r="AI77" s="784"/>
      <c r="AJ77" s="767"/>
      <c r="AK77" s="402" t="str">
        <f>IF(AK75="","","◄")</f>
        <v/>
      </c>
      <c r="AL77" s="494" t="str">
        <f>IF(AK75="","","Φ90")</f>
        <v/>
      </c>
      <c r="AM77" s="495" t="str">
        <f>IF(AK75="","","x"&amp;VLOOKUP(AK75,big_tabela,52,0))</f>
        <v/>
      </c>
      <c r="AN77" s="289"/>
      <c r="AO77" s="289"/>
      <c r="AP77" s="409"/>
      <c r="AQ77" s="409"/>
      <c r="AR77" s="409"/>
      <c r="AS77" s="409"/>
      <c r="AT77" s="418" t="str">
        <f t="shared" si="25"/>
        <v/>
      </c>
      <c r="AU77" s="409"/>
      <c r="AV77" s="418" t="str">
        <f t="shared" si="21"/>
        <v/>
      </c>
      <c r="AW77" s="409"/>
      <c r="AX77" s="418" t="str">
        <f t="shared" si="26"/>
        <v>1</v>
      </c>
      <c r="AY77" s="409"/>
      <c r="AZ77" s="418" t="str">
        <f t="shared" si="23"/>
        <v>1</v>
      </c>
      <c r="BA77" s="409"/>
      <c r="BB77" s="418" t="str">
        <f t="shared" si="19"/>
        <v>1</v>
      </c>
      <c r="BC77" s="409"/>
      <c r="BD77" s="418" t="str">
        <f t="shared" si="15"/>
        <v>1</v>
      </c>
      <c r="BE77" s="409"/>
      <c r="BF77" s="418" t="str">
        <f t="shared" si="12"/>
        <v>1</v>
      </c>
      <c r="BG77" s="409"/>
      <c r="BH77" s="418" t="str">
        <f t="shared" si="8"/>
        <v>1</v>
      </c>
      <c r="BI77" s="266"/>
      <c r="BJ77" s="265"/>
    </row>
    <row r="78" spans="1:62" ht="3" customHeight="1">
      <c r="A78" s="265"/>
      <c r="B78" s="289"/>
      <c r="C78" s="404"/>
      <c r="D78" s="418" t="str">
        <f t="shared" si="2"/>
        <v>1</v>
      </c>
      <c r="E78" s="418"/>
      <c r="F78" s="418" t="str">
        <f t="shared" si="11"/>
        <v>1</v>
      </c>
      <c r="G78" s="418"/>
      <c r="H78" s="419" t="str">
        <f t="shared" si="5"/>
        <v>1</v>
      </c>
      <c r="I78" s="418"/>
      <c r="J78" s="419" t="str">
        <f t="shared" si="18"/>
        <v>1</v>
      </c>
      <c r="K78" s="418"/>
      <c r="L78" s="419" t="str">
        <f t="shared" si="13"/>
        <v>1</v>
      </c>
      <c r="M78" s="418"/>
      <c r="N78" s="419" t="str">
        <f t="shared" si="16"/>
        <v>1</v>
      </c>
      <c r="O78" s="418"/>
      <c r="P78" s="418" t="str">
        <f t="shared" si="22"/>
        <v>1</v>
      </c>
      <c r="Q78" s="418"/>
      <c r="R78" s="418" t="str">
        <f t="shared" si="24"/>
        <v>1</v>
      </c>
      <c r="S78" s="418"/>
      <c r="T78" s="418" t="str">
        <f t="shared" ref="T78:X87" si="27">$X$76</f>
        <v/>
      </c>
      <c r="U78" s="418" t="str">
        <f t="shared" si="27"/>
        <v/>
      </c>
      <c r="V78" s="418" t="str">
        <f t="shared" si="27"/>
        <v/>
      </c>
      <c r="W78" s="418" t="str">
        <f t="shared" si="27"/>
        <v/>
      </c>
      <c r="X78" s="418" t="str">
        <f t="shared" si="27"/>
        <v/>
      </c>
      <c r="Y78" s="418" t="str">
        <f>$X$76</f>
        <v/>
      </c>
      <c r="Z78" s="397"/>
      <c r="AA78" s="412"/>
      <c r="AB78" s="412"/>
      <c r="AC78" s="415"/>
      <c r="AD78" s="416"/>
      <c r="AE78" s="289"/>
      <c r="AF78" s="395"/>
      <c r="AG78" s="421"/>
      <c r="AH78" s="421"/>
      <c r="AI78" s="413"/>
      <c r="AJ78" s="414"/>
      <c r="AK78" s="418" t="str">
        <f>$AL$76</f>
        <v/>
      </c>
      <c r="AL78" s="418" t="str">
        <f t="shared" ref="AL78:AR87" si="28">$AL$76</f>
        <v/>
      </c>
      <c r="AM78" s="418" t="str">
        <f t="shared" si="28"/>
        <v/>
      </c>
      <c r="AN78" s="418" t="str">
        <f t="shared" si="28"/>
        <v/>
      </c>
      <c r="AO78" s="418" t="str">
        <f t="shared" si="28"/>
        <v/>
      </c>
      <c r="AP78" s="418" t="str">
        <f t="shared" si="28"/>
        <v/>
      </c>
      <c r="AQ78" s="418" t="str">
        <f t="shared" si="28"/>
        <v/>
      </c>
      <c r="AR78" s="418" t="str">
        <f t="shared" si="28"/>
        <v/>
      </c>
      <c r="AS78" s="409"/>
      <c r="AT78" s="418" t="str">
        <f t="shared" si="25"/>
        <v/>
      </c>
      <c r="AU78" s="409"/>
      <c r="AV78" s="418" t="str">
        <f t="shared" si="21"/>
        <v/>
      </c>
      <c r="AW78" s="409"/>
      <c r="AX78" s="418" t="str">
        <f t="shared" si="26"/>
        <v>1</v>
      </c>
      <c r="AY78" s="409"/>
      <c r="AZ78" s="418" t="str">
        <f t="shared" si="23"/>
        <v>1</v>
      </c>
      <c r="BA78" s="409"/>
      <c r="BB78" s="418" t="str">
        <f t="shared" si="19"/>
        <v>1</v>
      </c>
      <c r="BC78" s="409"/>
      <c r="BD78" s="418" t="str">
        <f t="shared" si="15"/>
        <v>1</v>
      </c>
      <c r="BE78" s="409"/>
      <c r="BF78" s="418" t="str">
        <f t="shared" si="12"/>
        <v>1</v>
      </c>
      <c r="BG78" s="409"/>
      <c r="BH78" s="418" t="str">
        <f t="shared" si="8"/>
        <v>1</v>
      </c>
      <c r="BI78" s="266"/>
      <c r="BJ78" s="265"/>
    </row>
    <row r="79" spans="1:62" ht="14.4" customHeight="1">
      <c r="A79" s="265"/>
      <c r="B79" s="289"/>
      <c r="C79" s="289"/>
      <c r="D79" s="418" t="str">
        <f t="shared" si="2"/>
        <v>1</v>
      </c>
      <c r="E79" s="418"/>
      <c r="F79" s="418" t="str">
        <f t="shared" si="11"/>
        <v>1</v>
      </c>
      <c r="G79" s="418"/>
      <c r="H79" s="419" t="str">
        <f t="shared" si="5"/>
        <v>1</v>
      </c>
      <c r="I79" s="418"/>
      <c r="J79" s="419" t="str">
        <f t="shared" si="18"/>
        <v>1</v>
      </c>
      <c r="K79" s="418"/>
      <c r="L79" s="419" t="str">
        <f t="shared" si="13"/>
        <v>1</v>
      </c>
      <c r="M79" s="418"/>
      <c r="N79" s="419" t="str">
        <f t="shared" si="16"/>
        <v>1</v>
      </c>
      <c r="O79" s="418"/>
      <c r="P79" s="418" t="str">
        <f t="shared" si="22"/>
        <v>1</v>
      </c>
      <c r="Q79" s="418"/>
      <c r="R79" s="418" t="str">
        <f t="shared" si="24"/>
        <v>1</v>
      </c>
      <c r="S79" s="418"/>
      <c r="T79" s="418" t="str">
        <f t="shared" si="27"/>
        <v/>
      </c>
      <c r="U79" s="418"/>
      <c r="V79" s="418"/>
      <c r="W79" s="289"/>
      <c r="X79" s="289"/>
      <c r="Y79" s="289"/>
      <c r="Z79" s="397"/>
      <c r="AA79" s="399" t="str">
        <f>IF(Y75="","",VLOOKUP(Y75,big_tabela,4,0))</f>
        <v/>
      </c>
      <c r="AB79" s="400"/>
      <c r="AC79" s="634" t="str">
        <f>IF(Y75="","","anemostat")</f>
        <v/>
      </c>
      <c r="AD79" s="416" t="str">
        <f>IF(Y75="","","x"&amp;VLOOKUP(Y75,big_tabela,56,0))</f>
        <v/>
      </c>
      <c r="AE79" s="289"/>
      <c r="AF79" s="395"/>
      <c r="AG79" s="398" t="str">
        <f>IF(AK75="","",VLOOKUP(AK75,big_tabela,4,0))</f>
        <v/>
      </c>
      <c r="AH79" s="417"/>
      <c r="AI79" s="635" t="str">
        <f>IF(AK75="","","anemostat")</f>
        <v/>
      </c>
      <c r="AJ79" s="414" t="str">
        <f>IF(AK75="","","x"&amp;VLOOKUP(AK75,big_tabela,55,0))</f>
        <v/>
      </c>
      <c r="AK79" s="401"/>
      <c r="AL79" s="289"/>
      <c r="AM79" s="289"/>
      <c r="AN79" s="289"/>
      <c r="AO79" s="289"/>
      <c r="AP79" s="409"/>
      <c r="AQ79" s="409"/>
      <c r="AR79" s="418" t="str">
        <f t="shared" si="28"/>
        <v/>
      </c>
      <c r="AS79" s="409"/>
      <c r="AT79" s="418" t="str">
        <f t="shared" si="25"/>
        <v/>
      </c>
      <c r="AU79" s="409"/>
      <c r="AV79" s="418" t="str">
        <f t="shared" si="21"/>
        <v/>
      </c>
      <c r="AW79" s="409"/>
      <c r="AX79" s="418" t="str">
        <f t="shared" si="26"/>
        <v>1</v>
      </c>
      <c r="AY79" s="409"/>
      <c r="AZ79" s="418" t="str">
        <f t="shared" si="23"/>
        <v>1</v>
      </c>
      <c r="BA79" s="409"/>
      <c r="BB79" s="418" t="str">
        <f t="shared" si="19"/>
        <v>1</v>
      </c>
      <c r="BC79" s="409"/>
      <c r="BD79" s="418" t="str">
        <f t="shared" si="15"/>
        <v>1</v>
      </c>
      <c r="BE79" s="409"/>
      <c r="BF79" s="418" t="str">
        <f t="shared" si="12"/>
        <v>1</v>
      </c>
      <c r="BG79" s="409"/>
      <c r="BH79" s="418" t="str">
        <f t="shared" si="8"/>
        <v>1</v>
      </c>
      <c r="BI79" s="266"/>
      <c r="BJ79" s="265"/>
    </row>
    <row r="80" spans="1:62" ht="6" customHeight="1">
      <c r="A80" s="265"/>
      <c r="B80" s="289"/>
      <c r="C80" s="289"/>
      <c r="D80" s="418" t="str">
        <f t="shared" si="2"/>
        <v>1</v>
      </c>
      <c r="E80" s="418"/>
      <c r="F80" s="418" t="str">
        <f t="shared" si="11"/>
        <v>1</v>
      </c>
      <c r="G80" s="418"/>
      <c r="H80" s="419" t="str">
        <f t="shared" si="5"/>
        <v>1</v>
      </c>
      <c r="I80" s="418"/>
      <c r="J80" s="419" t="str">
        <f t="shared" si="18"/>
        <v>1</v>
      </c>
      <c r="K80" s="418"/>
      <c r="L80" s="419" t="str">
        <f t="shared" si="13"/>
        <v>1</v>
      </c>
      <c r="M80" s="418"/>
      <c r="N80" s="419" t="str">
        <f t="shared" si="16"/>
        <v>1</v>
      </c>
      <c r="O80" s="418"/>
      <c r="P80" s="418" t="str">
        <f t="shared" si="22"/>
        <v>1</v>
      </c>
      <c r="Q80" s="418"/>
      <c r="R80" s="418" t="str">
        <f t="shared" si="24"/>
        <v>1</v>
      </c>
      <c r="S80" s="418"/>
      <c r="T80" s="418" t="str">
        <f t="shared" si="27"/>
        <v/>
      </c>
      <c r="U80" s="418"/>
      <c r="V80" s="418"/>
      <c r="W80" s="289"/>
      <c r="X80" s="289"/>
      <c r="Y80" s="289"/>
      <c r="Z80" s="397"/>
      <c r="AA80" s="397"/>
      <c r="AB80" s="397"/>
      <c r="AC80" s="397"/>
      <c r="AD80" s="397"/>
      <c r="AE80" s="289"/>
      <c r="AF80" s="395"/>
      <c r="AG80" s="395"/>
      <c r="AH80" s="395"/>
      <c r="AI80" s="395"/>
      <c r="AJ80" s="395"/>
      <c r="AK80" s="289"/>
      <c r="AL80" s="289"/>
      <c r="AM80" s="289"/>
      <c r="AN80" s="289"/>
      <c r="AO80" s="289"/>
      <c r="AP80" s="409"/>
      <c r="AQ80" s="409"/>
      <c r="AR80" s="418" t="str">
        <f t="shared" si="28"/>
        <v/>
      </c>
      <c r="AS80" s="409"/>
      <c r="AT80" s="418" t="str">
        <f t="shared" si="25"/>
        <v/>
      </c>
      <c r="AU80" s="409"/>
      <c r="AV80" s="418" t="str">
        <f t="shared" ref="AV80:AV87" si="29">$AL$62</f>
        <v/>
      </c>
      <c r="AW80" s="409"/>
      <c r="AX80" s="418" t="str">
        <f t="shared" si="26"/>
        <v>1</v>
      </c>
      <c r="AY80" s="409"/>
      <c r="AZ80" s="418" t="str">
        <f t="shared" si="23"/>
        <v>1</v>
      </c>
      <c r="BA80" s="409"/>
      <c r="BB80" s="418" t="str">
        <f t="shared" si="19"/>
        <v>1</v>
      </c>
      <c r="BC80" s="409"/>
      <c r="BD80" s="418" t="str">
        <f t="shared" si="15"/>
        <v>1</v>
      </c>
      <c r="BE80" s="409"/>
      <c r="BF80" s="418" t="str">
        <f t="shared" si="12"/>
        <v>1</v>
      </c>
      <c r="BG80" s="409"/>
      <c r="BH80" s="418" t="str">
        <f t="shared" si="8"/>
        <v>1</v>
      </c>
      <c r="BI80" s="266"/>
      <c r="BJ80" s="265"/>
    </row>
    <row r="81" spans="1:62">
      <c r="A81" s="265"/>
      <c r="B81" s="289"/>
      <c r="C81" s="289"/>
      <c r="D81" s="418" t="str">
        <f t="shared" si="2"/>
        <v>1</v>
      </c>
      <c r="E81" s="418"/>
      <c r="F81" s="418" t="str">
        <f t="shared" si="11"/>
        <v>1</v>
      </c>
      <c r="G81" s="418"/>
      <c r="H81" s="419" t="str">
        <f t="shared" si="5"/>
        <v>1</v>
      </c>
      <c r="I81" s="418"/>
      <c r="J81" s="419" t="str">
        <f t="shared" si="18"/>
        <v>1</v>
      </c>
      <c r="K81" s="418"/>
      <c r="L81" s="419" t="str">
        <f t="shared" si="13"/>
        <v>1</v>
      </c>
      <c r="M81" s="418"/>
      <c r="N81" s="419" t="str">
        <f t="shared" si="16"/>
        <v>1</v>
      </c>
      <c r="O81" s="418"/>
      <c r="P81" s="418" t="str">
        <f t="shared" si="22"/>
        <v>1</v>
      </c>
      <c r="Q81" s="418"/>
      <c r="R81" s="418" t="str">
        <f t="shared" si="24"/>
        <v>1</v>
      </c>
      <c r="S81" s="418"/>
      <c r="T81" s="418" t="str">
        <f t="shared" si="27"/>
        <v/>
      </c>
      <c r="U81" s="418"/>
      <c r="V81" s="418"/>
      <c r="W81" s="289"/>
      <c r="X81" s="289"/>
      <c r="Y81" s="289"/>
      <c r="Z81" s="289"/>
      <c r="AA81" s="289"/>
      <c r="AB81" s="289"/>
      <c r="AC81" s="289"/>
      <c r="AD81" s="289"/>
      <c r="AE81" s="289"/>
      <c r="AF81" s="289"/>
      <c r="AG81" s="289"/>
      <c r="AH81" s="289"/>
      <c r="AI81" s="289"/>
      <c r="AJ81" s="289"/>
      <c r="AK81" s="289"/>
      <c r="AL81" s="289"/>
      <c r="AM81" s="289"/>
      <c r="AN81" s="289"/>
      <c r="AO81" s="289"/>
      <c r="AP81" s="409"/>
      <c r="AQ81" s="409"/>
      <c r="AR81" s="418" t="str">
        <f t="shared" si="28"/>
        <v/>
      </c>
      <c r="AS81" s="409"/>
      <c r="AT81" s="418" t="str">
        <f t="shared" si="25"/>
        <v/>
      </c>
      <c r="AU81" s="409"/>
      <c r="AV81" s="418" t="str">
        <f t="shared" si="29"/>
        <v/>
      </c>
      <c r="AW81" s="409"/>
      <c r="AX81" s="418" t="str">
        <f t="shared" si="26"/>
        <v>1</v>
      </c>
      <c r="AY81" s="409"/>
      <c r="AZ81" s="418" t="str">
        <f t="shared" si="23"/>
        <v>1</v>
      </c>
      <c r="BA81" s="409"/>
      <c r="BB81" s="418" t="str">
        <f t="shared" si="19"/>
        <v>1</v>
      </c>
      <c r="BC81" s="409"/>
      <c r="BD81" s="418" t="str">
        <f t="shared" si="15"/>
        <v>1</v>
      </c>
      <c r="BE81" s="409"/>
      <c r="BF81" s="418" t="str">
        <f t="shared" si="12"/>
        <v>1</v>
      </c>
      <c r="BG81" s="409"/>
      <c r="BH81" s="418" t="str">
        <f t="shared" si="8"/>
        <v>1</v>
      </c>
      <c r="BI81" s="266"/>
      <c r="BJ81" s="265"/>
    </row>
    <row r="82" spans="1:62" ht="6" customHeight="1">
      <c r="A82" s="265"/>
      <c r="B82" s="289"/>
      <c r="C82" s="289"/>
      <c r="D82" s="418" t="str">
        <f t="shared" si="2"/>
        <v>1</v>
      </c>
      <c r="E82" s="418"/>
      <c r="F82" s="418" t="str">
        <f t="shared" si="11"/>
        <v>1</v>
      </c>
      <c r="G82" s="418"/>
      <c r="H82" s="419" t="str">
        <f t="shared" si="5"/>
        <v>1</v>
      </c>
      <c r="I82" s="418"/>
      <c r="J82" s="419" t="str">
        <f t="shared" si="18"/>
        <v>1</v>
      </c>
      <c r="K82" s="418"/>
      <c r="L82" s="419" t="str">
        <f t="shared" si="13"/>
        <v>1</v>
      </c>
      <c r="M82" s="418"/>
      <c r="N82" s="419" t="str">
        <f t="shared" si="16"/>
        <v>1</v>
      </c>
      <c r="O82" s="418"/>
      <c r="P82" s="418" t="str">
        <f t="shared" si="22"/>
        <v>1</v>
      </c>
      <c r="Q82" s="418"/>
      <c r="R82" s="418" t="str">
        <f t="shared" si="24"/>
        <v>1</v>
      </c>
      <c r="S82" s="418"/>
      <c r="T82" s="418" t="str">
        <f t="shared" si="27"/>
        <v/>
      </c>
      <c r="U82" s="418"/>
      <c r="V82" s="418"/>
      <c r="W82" s="289"/>
      <c r="X82" s="289"/>
      <c r="Y82" s="789" t="str">
        <f>IF(Obliczenia!E70="10","",Obliczenia!E70)</f>
        <v/>
      </c>
      <c r="Z82" s="397"/>
      <c r="AA82" s="397"/>
      <c r="AB82" s="397"/>
      <c r="AC82" s="397"/>
      <c r="AD82" s="397"/>
      <c r="AE82" s="289"/>
      <c r="AF82" s="395"/>
      <c r="AG82" s="395"/>
      <c r="AH82" s="395"/>
      <c r="AI82" s="395"/>
      <c r="AJ82" s="395"/>
      <c r="AK82" s="789" t="str">
        <f>IF(Obliczenia!E46="10","",Obliczenia!E46)</f>
        <v/>
      </c>
      <c r="AL82" s="289"/>
      <c r="AM82" s="289"/>
      <c r="AN82" s="289"/>
      <c r="AO82" s="289"/>
      <c r="AP82" s="409"/>
      <c r="AQ82" s="409"/>
      <c r="AR82" s="418" t="str">
        <f t="shared" si="28"/>
        <v/>
      </c>
      <c r="AS82" s="409"/>
      <c r="AT82" s="418" t="str">
        <f t="shared" si="25"/>
        <v/>
      </c>
      <c r="AU82" s="409"/>
      <c r="AV82" s="418" t="str">
        <f t="shared" si="29"/>
        <v/>
      </c>
      <c r="AW82" s="409"/>
      <c r="AX82" s="418" t="str">
        <f t="shared" si="26"/>
        <v>1</v>
      </c>
      <c r="AY82" s="409"/>
      <c r="AZ82" s="418" t="str">
        <f t="shared" si="23"/>
        <v>1</v>
      </c>
      <c r="BA82" s="409"/>
      <c r="BB82" s="418" t="str">
        <f t="shared" si="19"/>
        <v>1</v>
      </c>
      <c r="BC82" s="409"/>
      <c r="BD82" s="418" t="str">
        <f t="shared" si="15"/>
        <v>1</v>
      </c>
      <c r="BE82" s="409"/>
      <c r="BF82" s="418" t="str">
        <f t="shared" si="12"/>
        <v>1</v>
      </c>
      <c r="BG82" s="409"/>
      <c r="BH82" s="418" t="str">
        <f t="shared" si="8"/>
        <v>1</v>
      </c>
      <c r="BI82" s="266"/>
      <c r="BJ82" s="265"/>
    </row>
    <row r="83" spans="1:62" ht="14.4" customHeight="1">
      <c r="A83" s="265"/>
      <c r="B83" s="289"/>
      <c r="C83" s="289"/>
      <c r="D83" s="418" t="str">
        <f t="shared" si="2"/>
        <v>1</v>
      </c>
      <c r="E83" s="418"/>
      <c r="F83" s="418" t="str">
        <f t="shared" si="11"/>
        <v>1</v>
      </c>
      <c r="G83" s="418"/>
      <c r="H83" s="419" t="str">
        <f t="shared" si="5"/>
        <v>1</v>
      </c>
      <c r="I83" s="418"/>
      <c r="J83" s="419" t="str">
        <f t="shared" si="18"/>
        <v>1</v>
      </c>
      <c r="K83" s="418"/>
      <c r="L83" s="419" t="str">
        <f t="shared" si="13"/>
        <v>1</v>
      </c>
      <c r="M83" s="418"/>
      <c r="N83" s="419" t="str">
        <f t="shared" si="16"/>
        <v>1</v>
      </c>
      <c r="O83" s="418"/>
      <c r="P83" s="418" t="str">
        <f t="shared" si="22"/>
        <v>1</v>
      </c>
      <c r="Q83" s="418"/>
      <c r="R83" s="418" t="str">
        <f t="shared" si="24"/>
        <v>1</v>
      </c>
      <c r="S83" s="418"/>
      <c r="T83" s="418" t="str">
        <f t="shared" si="27"/>
        <v/>
      </c>
      <c r="U83" s="418"/>
      <c r="V83" s="418"/>
      <c r="W83" s="289"/>
      <c r="X83" s="4" t="str">
        <f>IF(Y82&lt;&gt;"","1","")</f>
        <v/>
      </c>
      <c r="Y83" s="789"/>
      <c r="Z83" s="397"/>
      <c r="AA83" s="772" t="str">
        <f>IF(Y82="","",VLOOKUP(Y82,big_tabela,3,0))</f>
        <v/>
      </c>
      <c r="AB83" s="772"/>
      <c r="AC83" s="773" t="str">
        <f>IF(Y82="","",VLOOKUP(Y82,big_tabela,12,0))</f>
        <v/>
      </c>
      <c r="AD83" s="774" t="s">
        <v>373</v>
      </c>
      <c r="AE83" s="289"/>
      <c r="AF83" s="395"/>
      <c r="AG83" s="783" t="str">
        <f>IF(AK82="","",VLOOKUP(AK82,big_tabela,3,0))</f>
        <v/>
      </c>
      <c r="AH83" s="783"/>
      <c r="AI83" s="784" t="str">
        <f>IF(AK82="","",VLOOKUP(AK82,big_tabela,12,0))</f>
        <v/>
      </c>
      <c r="AJ83" s="767" t="s">
        <v>373</v>
      </c>
      <c r="AK83" s="789"/>
      <c r="AL83" s="4" t="str">
        <f>IF(AK82&lt;&gt;"","1","")</f>
        <v/>
      </c>
      <c r="AM83" s="289"/>
      <c r="AN83" s="289"/>
      <c r="AO83" s="289"/>
      <c r="AP83" s="409"/>
      <c r="AQ83" s="409"/>
      <c r="AR83" s="418" t="str">
        <f t="shared" si="28"/>
        <v/>
      </c>
      <c r="AS83" s="409"/>
      <c r="AT83" s="418" t="str">
        <f t="shared" si="25"/>
        <v/>
      </c>
      <c r="AU83" s="409"/>
      <c r="AV83" s="418" t="str">
        <f t="shared" si="29"/>
        <v/>
      </c>
      <c r="AW83" s="409"/>
      <c r="AX83" s="418" t="str">
        <f t="shared" si="26"/>
        <v>1</v>
      </c>
      <c r="AY83" s="409"/>
      <c r="AZ83" s="418" t="str">
        <f t="shared" si="23"/>
        <v>1</v>
      </c>
      <c r="BA83" s="409"/>
      <c r="BB83" s="418" t="str">
        <f t="shared" si="19"/>
        <v>1</v>
      </c>
      <c r="BC83" s="409"/>
      <c r="BD83" s="418" t="str">
        <f t="shared" si="15"/>
        <v>1</v>
      </c>
      <c r="BE83" s="409"/>
      <c r="BF83" s="418" t="str">
        <f t="shared" si="12"/>
        <v>1</v>
      </c>
      <c r="BG83" s="409"/>
      <c r="BH83" s="418" t="str">
        <f t="shared" si="8"/>
        <v>1</v>
      </c>
      <c r="BI83" s="266"/>
      <c r="BJ83" s="265"/>
    </row>
    <row r="84" spans="1:62" ht="14.4" customHeight="1">
      <c r="A84" s="265"/>
      <c r="B84" s="289"/>
      <c r="C84" s="289"/>
      <c r="D84" s="418" t="str">
        <f t="shared" si="2"/>
        <v>1</v>
      </c>
      <c r="E84" s="418"/>
      <c r="F84" s="418" t="str">
        <f t="shared" si="11"/>
        <v>1</v>
      </c>
      <c r="G84" s="418"/>
      <c r="H84" s="419" t="str">
        <f t="shared" si="5"/>
        <v>1</v>
      </c>
      <c r="I84" s="418"/>
      <c r="J84" s="419" t="str">
        <f t="shared" si="18"/>
        <v>1</v>
      </c>
      <c r="K84" s="418"/>
      <c r="L84" s="419" t="str">
        <f t="shared" si="13"/>
        <v>1</v>
      </c>
      <c r="M84" s="418"/>
      <c r="N84" s="419" t="str">
        <f t="shared" si="16"/>
        <v>1</v>
      </c>
      <c r="O84" s="418"/>
      <c r="P84" s="418" t="str">
        <f t="shared" si="22"/>
        <v>1</v>
      </c>
      <c r="Q84" s="418"/>
      <c r="R84" s="418" t="str">
        <f t="shared" si="24"/>
        <v>1</v>
      </c>
      <c r="S84" s="418"/>
      <c r="T84" s="418" t="str">
        <f t="shared" si="27"/>
        <v/>
      </c>
      <c r="U84" s="418"/>
      <c r="V84" s="418"/>
      <c r="W84" s="494" t="str">
        <f>IF(Y82="","","Φ90")</f>
        <v/>
      </c>
      <c r="X84" s="495" t="str">
        <f>IF(Y82="","","x"&amp;VLOOKUP(Y82,big_tabela,53,0))</f>
        <v/>
      </c>
      <c r="Y84" s="403" t="str">
        <f>IF(Y82="","","◄")</f>
        <v/>
      </c>
      <c r="Z84" s="397"/>
      <c r="AA84" s="772"/>
      <c r="AB84" s="772"/>
      <c r="AC84" s="773"/>
      <c r="AD84" s="774"/>
      <c r="AE84" s="289"/>
      <c r="AF84" s="395"/>
      <c r="AG84" s="783"/>
      <c r="AH84" s="783"/>
      <c r="AI84" s="784"/>
      <c r="AJ84" s="767"/>
      <c r="AK84" s="402" t="str">
        <f>IF(AK82="","","◄")</f>
        <v/>
      </c>
      <c r="AL84" s="494" t="str">
        <f>IF(AK82="","","Φ90")</f>
        <v/>
      </c>
      <c r="AM84" s="495" t="str">
        <f>IF(AK82="","","x"&amp;VLOOKUP(AK82,big_tabela,52,0))</f>
        <v/>
      </c>
      <c r="AN84" s="289"/>
      <c r="AO84" s="289"/>
      <c r="AP84" s="409"/>
      <c r="AQ84" s="409"/>
      <c r="AR84" s="418" t="str">
        <f t="shared" si="28"/>
        <v/>
      </c>
      <c r="AS84" s="409"/>
      <c r="AT84" s="418" t="str">
        <f t="shared" si="25"/>
        <v/>
      </c>
      <c r="AU84" s="409"/>
      <c r="AV84" s="418" t="str">
        <f t="shared" si="29"/>
        <v/>
      </c>
      <c r="AW84" s="409"/>
      <c r="AX84" s="418" t="str">
        <f t="shared" si="26"/>
        <v>1</v>
      </c>
      <c r="AY84" s="409"/>
      <c r="AZ84" s="418" t="str">
        <f t="shared" si="23"/>
        <v>1</v>
      </c>
      <c r="BA84" s="409"/>
      <c r="BB84" s="418" t="str">
        <f t="shared" si="19"/>
        <v>1</v>
      </c>
      <c r="BC84" s="409"/>
      <c r="BD84" s="418" t="str">
        <f t="shared" si="15"/>
        <v>1</v>
      </c>
      <c r="BE84" s="409"/>
      <c r="BF84" s="418" t="str">
        <f t="shared" si="12"/>
        <v>1</v>
      </c>
      <c r="BG84" s="409"/>
      <c r="BH84" s="418" t="str">
        <f t="shared" si="8"/>
        <v>1</v>
      </c>
      <c r="BI84" s="266"/>
      <c r="BJ84" s="265"/>
    </row>
    <row r="85" spans="1:62" ht="3" customHeight="1">
      <c r="A85" s="265"/>
      <c r="B85" s="289"/>
      <c r="C85" s="404"/>
      <c r="D85" s="418" t="str">
        <f t="shared" si="2"/>
        <v>1</v>
      </c>
      <c r="E85" s="418"/>
      <c r="F85" s="418" t="str">
        <f t="shared" si="11"/>
        <v>1</v>
      </c>
      <c r="G85" s="418"/>
      <c r="H85" s="419" t="str">
        <f t="shared" si="5"/>
        <v>1</v>
      </c>
      <c r="I85" s="418"/>
      <c r="J85" s="419" t="str">
        <f t="shared" si="18"/>
        <v>1</v>
      </c>
      <c r="K85" s="418"/>
      <c r="L85" s="419" t="str">
        <f t="shared" si="13"/>
        <v>1</v>
      </c>
      <c r="M85" s="418"/>
      <c r="N85" s="419" t="str">
        <f t="shared" si="16"/>
        <v>1</v>
      </c>
      <c r="O85" s="418"/>
      <c r="P85" s="418" t="str">
        <f t="shared" si="22"/>
        <v>1</v>
      </c>
      <c r="Q85" s="418"/>
      <c r="R85" s="418" t="str">
        <f t="shared" si="24"/>
        <v>1</v>
      </c>
      <c r="S85" s="418"/>
      <c r="T85" s="418" t="str">
        <f t="shared" si="27"/>
        <v/>
      </c>
      <c r="U85" s="418"/>
      <c r="V85" s="418" t="str">
        <f t="shared" ref="V85:X87" si="30">$X$83</f>
        <v/>
      </c>
      <c r="W85" s="418" t="str">
        <f t="shared" si="30"/>
        <v/>
      </c>
      <c r="X85" s="418" t="str">
        <f t="shared" si="30"/>
        <v/>
      </c>
      <c r="Y85" s="418" t="str">
        <f>$X$83</f>
        <v/>
      </c>
      <c r="Z85" s="397"/>
      <c r="AA85" s="412"/>
      <c r="AB85" s="412"/>
      <c r="AC85" s="415"/>
      <c r="AD85" s="416"/>
      <c r="AE85" s="289"/>
      <c r="AF85" s="395"/>
      <c r="AG85" s="421"/>
      <c r="AH85" s="421"/>
      <c r="AI85" s="413"/>
      <c r="AJ85" s="414"/>
      <c r="AK85" s="418" t="str">
        <f t="shared" ref="AK85:AP85" si="31">$AL$83</f>
        <v/>
      </c>
      <c r="AL85" s="418" t="str">
        <f t="shared" si="31"/>
        <v/>
      </c>
      <c r="AM85" s="418" t="str">
        <f t="shared" si="31"/>
        <v/>
      </c>
      <c r="AN85" s="418" t="str">
        <f t="shared" si="31"/>
        <v/>
      </c>
      <c r="AO85" s="418" t="str">
        <f t="shared" si="31"/>
        <v/>
      </c>
      <c r="AP85" s="418" t="str">
        <f t="shared" si="31"/>
        <v/>
      </c>
      <c r="AQ85" s="409"/>
      <c r="AR85" s="418" t="str">
        <f t="shared" si="28"/>
        <v/>
      </c>
      <c r="AS85" s="409"/>
      <c r="AT85" s="418" t="str">
        <f t="shared" si="25"/>
        <v/>
      </c>
      <c r="AU85" s="409"/>
      <c r="AV85" s="418" t="str">
        <f t="shared" si="29"/>
        <v/>
      </c>
      <c r="AW85" s="409"/>
      <c r="AX85" s="418" t="str">
        <f t="shared" si="26"/>
        <v>1</v>
      </c>
      <c r="AY85" s="409"/>
      <c r="AZ85" s="418" t="str">
        <f t="shared" si="23"/>
        <v>1</v>
      </c>
      <c r="BA85" s="409"/>
      <c r="BB85" s="418" t="str">
        <f t="shared" si="19"/>
        <v>1</v>
      </c>
      <c r="BC85" s="409"/>
      <c r="BD85" s="418" t="str">
        <f t="shared" si="15"/>
        <v>1</v>
      </c>
      <c r="BE85" s="409"/>
      <c r="BF85" s="418" t="str">
        <f t="shared" si="12"/>
        <v>1</v>
      </c>
      <c r="BG85" s="409"/>
      <c r="BH85" s="418" t="str">
        <f t="shared" si="8"/>
        <v>1</v>
      </c>
      <c r="BI85" s="266"/>
      <c r="BJ85" s="265"/>
    </row>
    <row r="86" spans="1:62" ht="14.4" customHeight="1">
      <c r="A86" s="265"/>
      <c r="B86" s="289"/>
      <c r="C86" s="289"/>
      <c r="D86" s="418" t="str">
        <f t="shared" si="2"/>
        <v>1</v>
      </c>
      <c r="E86" s="418"/>
      <c r="F86" s="418" t="str">
        <f t="shared" si="11"/>
        <v>1</v>
      </c>
      <c r="G86" s="418"/>
      <c r="H86" s="419" t="str">
        <f t="shared" si="5"/>
        <v>1</v>
      </c>
      <c r="I86" s="418"/>
      <c r="J86" s="419" t="str">
        <f t="shared" si="18"/>
        <v>1</v>
      </c>
      <c r="K86" s="418"/>
      <c r="L86" s="419" t="str">
        <f t="shared" si="13"/>
        <v>1</v>
      </c>
      <c r="M86" s="418"/>
      <c r="N86" s="419" t="str">
        <f t="shared" si="16"/>
        <v>1</v>
      </c>
      <c r="O86" s="418"/>
      <c r="P86" s="418" t="str">
        <f t="shared" si="22"/>
        <v>1</v>
      </c>
      <c r="Q86" s="418"/>
      <c r="R86" s="418" t="str">
        <f t="shared" si="24"/>
        <v>1</v>
      </c>
      <c r="S86" s="418"/>
      <c r="T86" s="418" t="str">
        <f t="shared" si="27"/>
        <v/>
      </c>
      <c r="U86" s="418"/>
      <c r="V86" s="418" t="str">
        <f t="shared" si="30"/>
        <v/>
      </c>
      <c r="W86" s="289"/>
      <c r="X86" s="289"/>
      <c r="Y86" s="289"/>
      <c r="Z86" s="397"/>
      <c r="AA86" s="399" t="str">
        <f>IF(Y82="","",VLOOKUP(Y82,big_tabela,4,0))</f>
        <v/>
      </c>
      <c r="AB86" s="400"/>
      <c r="AC86" s="634" t="str">
        <f>IF(Y82="","","anemostat")</f>
        <v/>
      </c>
      <c r="AD86" s="416" t="str">
        <f>IF(Y82="","","x"&amp;VLOOKUP(Y82,big_tabela,56,0))</f>
        <v/>
      </c>
      <c r="AE86" s="289"/>
      <c r="AF86" s="395"/>
      <c r="AG86" s="398" t="str">
        <f>IF(AK82="","",VLOOKUP(AK82,big_tabela,4,0))</f>
        <v/>
      </c>
      <c r="AH86" s="417"/>
      <c r="AI86" s="635" t="str">
        <f>IF(AK82="","","anemostat")</f>
        <v/>
      </c>
      <c r="AJ86" s="414" t="str">
        <f>IF(AK82="","","x"&amp;VLOOKUP(AK82,big_tabela,55,0))</f>
        <v/>
      </c>
      <c r="AK86" s="401"/>
      <c r="AL86" s="289"/>
      <c r="AM86" s="289"/>
      <c r="AN86" s="289"/>
      <c r="AO86" s="289"/>
      <c r="AP86" s="418" t="str">
        <f>$AL$83</f>
        <v/>
      </c>
      <c r="AQ86" s="409"/>
      <c r="AR86" s="418" t="str">
        <f t="shared" si="28"/>
        <v/>
      </c>
      <c r="AS86" s="409"/>
      <c r="AT86" s="418" t="str">
        <f t="shared" si="25"/>
        <v/>
      </c>
      <c r="AU86" s="409"/>
      <c r="AV86" s="418" t="str">
        <f t="shared" si="29"/>
        <v/>
      </c>
      <c r="AW86" s="409"/>
      <c r="AX86" s="418" t="str">
        <f t="shared" si="26"/>
        <v>1</v>
      </c>
      <c r="AY86" s="409"/>
      <c r="AZ86" s="418" t="str">
        <f t="shared" si="23"/>
        <v>1</v>
      </c>
      <c r="BA86" s="409"/>
      <c r="BB86" s="418" t="str">
        <f t="shared" si="19"/>
        <v>1</v>
      </c>
      <c r="BC86" s="409"/>
      <c r="BD86" s="418" t="str">
        <f t="shared" si="15"/>
        <v>1</v>
      </c>
      <c r="BE86" s="409"/>
      <c r="BF86" s="418" t="str">
        <f t="shared" si="12"/>
        <v>1</v>
      </c>
      <c r="BG86" s="409"/>
      <c r="BH86" s="418" t="str">
        <f t="shared" si="8"/>
        <v>1</v>
      </c>
      <c r="BI86" s="266"/>
      <c r="BJ86" s="265"/>
    </row>
    <row r="87" spans="1:62" ht="6" customHeight="1">
      <c r="A87" s="265"/>
      <c r="B87" s="289"/>
      <c r="C87" s="289"/>
      <c r="D87" s="418" t="str">
        <f t="shared" ref="D87" si="32">$X$20</f>
        <v>1</v>
      </c>
      <c r="E87" s="418"/>
      <c r="F87" s="418" t="str">
        <f t="shared" si="11"/>
        <v>1</v>
      </c>
      <c r="G87" s="418"/>
      <c r="H87" s="419" t="str">
        <f t="shared" si="5"/>
        <v>1</v>
      </c>
      <c r="I87" s="418"/>
      <c r="J87" s="419" t="str">
        <f t="shared" si="18"/>
        <v>1</v>
      </c>
      <c r="K87" s="418"/>
      <c r="L87" s="419" t="str">
        <f t="shared" si="13"/>
        <v>1</v>
      </c>
      <c r="M87" s="418"/>
      <c r="N87" s="419" t="str">
        <f t="shared" si="16"/>
        <v>1</v>
      </c>
      <c r="O87" s="418"/>
      <c r="P87" s="418" t="str">
        <f t="shared" si="22"/>
        <v>1</v>
      </c>
      <c r="Q87" s="418"/>
      <c r="R87" s="418" t="str">
        <f t="shared" si="24"/>
        <v>1</v>
      </c>
      <c r="S87" s="418"/>
      <c r="T87" s="418" t="str">
        <f t="shared" si="27"/>
        <v/>
      </c>
      <c r="U87" s="418"/>
      <c r="V87" s="418" t="str">
        <f t="shared" si="30"/>
        <v/>
      </c>
      <c r="W87" s="289"/>
      <c r="X87" s="289"/>
      <c r="Y87" s="289"/>
      <c r="Z87" s="397"/>
      <c r="AA87" s="397"/>
      <c r="AB87" s="397"/>
      <c r="AC87" s="397"/>
      <c r="AD87" s="397"/>
      <c r="AE87" s="289"/>
      <c r="AF87" s="395"/>
      <c r="AG87" s="395"/>
      <c r="AH87" s="395"/>
      <c r="AI87" s="395"/>
      <c r="AJ87" s="395"/>
      <c r="AK87" s="289"/>
      <c r="AL87" s="289"/>
      <c r="AM87" s="289"/>
      <c r="AN87" s="289"/>
      <c r="AO87" s="289"/>
      <c r="AP87" s="418" t="str">
        <f>$AL$83</f>
        <v/>
      </c>
      <c r="AQ87" s="409"/>
      <c r="AR87" s="418" t="str">
        <f t="shared" si="28"/>
        <v/>
      </c>
      <c r="AS87" s="409"/>
      <c r="AT87" s="418" t="str">
        <f t="shared" ref="AT87" si="33">$AL$69</f>
        <v/>
      </c>
      <c r="AU87" s="409"/>
      <c r="AV87" s="418" t="str">
        <f t="shared" si="29"/>
        <v/>
      </c>
      <c r="AW87" s="409"/>
      <c r="AX87" s="418" t="str">
        <f t="shared" si="26"/>
        <v>1</v>
      </c>
      <c r="AY87" s="409"/>
      <c r="AZ87" s="418" t="str">
        <f t="shared" si="23"/>
        <v>1</v>
      </c>
      <c r="BA87" s="409"/>
      <c r="BB87" s="418" t="str">
        <f t="shared" si="19"/>
        <v>1</v>
      </c>
      <c r="BC87" s="409"/>
      <c r="BD87" s="418" t="str">
        <f t="shared" si="15"/>
        <v>1</v>
      </c>
      <c r="BE87" s="409"/>
      <c r="BF87" s="418" t="str">
        <f t="shared" si="12"/>
        <v>1</v>
      </c>
      <c r="BG87" s="409"/>
      <c r="BH87" s="418" t="str">
        <f t="shared" si="8"/>
        <v>1</v>
      </c>
      <c r="BI87" s="266"/>
      <c r="BJ87" s="265"/>
    </row>
    <row r="88" spans="1:62">
      <c r="A88" s="265"/>
      <c r="B88" s="289"/>
      <c r="C88" s="289"/>
      <c r="D88" s="461"/>
      <c r="E88" s="808" t="str">
        <f>Obliczenia!BI31</f>
        <v>12x75</v>
      </c>
      <c r="F88" s="808"/>
      <c r="G88" s="808"/>
      <c r="H88" s="808"/>
      <c r="I88" s="808"/>
      <c r="J88" s="808"/>
      <c r="K88" s="808"/>
      <c r="L88" s="808"/>
      <c r="M88" s="808"/>
      <c r="N88" s="808"/>
      <c r="O88" s="808"/>
      <c r="P88" s="808"/>
      <c r="Q88" s="808"/>
      <c r="R88" s="808"/>
      <c r="S88" s="808"/>
      <c r="T88" s="808"/>
      <c r="U88" s="808"/>
      <c r="V88" s="463"/>
      <c r="W88" s="13"/>
      <c r="X88" s="289"/>
      <c r="Y88" s="289"/>
      <c r="Z88" s="289"/>
      <c r="AA88" s="289"/>
      <c r="AB88" s="289"/>
      <c r="AC88" s="289"/>
      <c r="AD88" s="289"/>
      <c r="AE88" s="289"/>
      <c r="AF88" s="289"/>
      <c r="AG88" s="289"/>
      <c r="AH88" s="289"/>
      <c r="AI88" s="289"/>
      <c r="AJ88" s="289"/>
      <c r="AK88" s="289"/>
      <c r="AL88" s="289"/>
      <c r="AM88" s="13"/>
      <c r="AN88" s="13"/>
      <c r="AO88" s="13"/>
      <c r="AP88" s="458"/>
      <c r="AQ88" s="810" t="str">
        <f>Obliczenia!BG31</f>
        <v>8x75</v>
      </c>
      <c r="AR88" s="810"/>
      <c r="AS88" s="810"/>
      <c r="AT88" s="810"/>
      <c r="AU88" s="810"/>
      <c r="AV88" s="810"/>
      <c r="AW88" s="810"/>
      <c r="AX88" s="810"/>
      <c r="AY88" s="810"/>
      <c r="AZ88" s="810"/>
      <c r="BA88" s="810"/>
      <c r="BB88" s="810"/>
      <c r="BC88" s="810"/>
      <c r="BD88" s="810"/>
      <c r="BE88" s="810"/>
      <c r="BF88" s="810"/>
      <c r="BG88" s="810"/>
      <c r="BH88" s="459"/>
      <c r="BI88" s="266"/>
      <c r="BJ88" s="265"/>
    </row>
    <row r="89" spans="1:62">
      <c r="A89" s="265"/>
      <c r="B89" s="289"/>
      <c r="C89" s="289"/>
      <c r="D89" s="464"/>
      <c r="E89" s="812" t="str">
        <f>IF(E90&lt;&gt;"","+","")</f>
        <v/>
      </c>
      <c r="F89" s="812"/>
      <c r="G89" s="812"/>
      <c r="H89" s="812"/>
      <c r="I89" s="812"/>
      <c r="J89" s="812"/>
      <c r="K89" s="812"/>
      <c r="L89" s="812"/>
      <c r="M89" s="812"/>
      <c r="N89" s="812"/>
      <c r="O89" s="812"/>
      <c r="P89" s="812"/>
      <c r="Q89" s="812"/>
      <c r="R89" s="812"/>
      <c r="S89" s="812"/>
      <c r="T89" s="812"/>
      <c r="U89" s="812"/>
      <c r="V89" s="466"/>
      <c r="W89" s="515" t="str">
        <f>"  "&amp;Obliczenia!BB30&amp;"x kanał DN90"</f>
        <v xml:space="preserve">  9x kanał DN90</v>
      </c>
      <c r="X89" s="289"/>
      <c r="Y89" s="289"/>
      <c r="Z89" s="289"/>
      <c r="AA89" s="289"/>
      <c r="AB89" s="289"/>
      <c r="AC89" s="289"/>
      <c r="AD89" s="289"/>
      <c r="AE89" s="289"/>
      <c r="AF89" s="289"/>
      <c r="AG89" s="289"/>
      <c r="AH89" s="289"/>
      <c r="AI89" s="289"/>
      <c r="AJ89" s="289"/>
      <c r="AK89" s="289"/>
      <c r="AL89" s="515"/>
      <c r="AM89" s="814" t="str">
        <f>Obliczenia!BA30&amp;"x kanał DN90"</f>
        <v>8x kanał DN90</v>
      </c>
      <c r="AN89" s="814"/>
      <c r="AO89" s="815"/>
      <c r="AP89" s="455"/>
      <c r="AQ89" s="813" t="str">
        <f>IF(AQ90&lt;&gt;"","+","")</f>
        <v/>
      </c>
      <c r="AR89" s="813"/>
      <c r="AS89" s="813"/>
      <c r="AT89" s="813"/>
      <c r="AU89" s="813"/>
      <c r="AV89" s="813"/>
      <c r="AW89" s="813"/>
      <c r="AX89" s="813"/>
      <c r="AY89" s="813"/>
      <c r="AZ89" s="813"/>
      <c r="BA89" s="813"/>
      <c r="BB89" s="813"/>
      <c r="BC89" s="813"/>
      <c r="BD89" s="813"/>
      <c r="BE89" s="813"/>
      <c r="BF89" s="813"/>
      <c r="BG89" s="813"/>
      <c r="BH89" s="456"/>
      <c r="BI89" s="266"/>
      <c r="BJ89" s="265"/>
    </row>
    <row r="90" spans="1:62">
      <c r="A90" s="265"/>
      <c r="B90" s="289"/>
      <c r="C90" s="289"/>
      <c r="D90" s="467"/>
      <c r="E90" s="809" t="str">
        <f>Obliczenia!BI34</f>
        <v/>
      </c>
      <c r="F90" s="809"/>
      <c r="G90" s="809"/>
      <c r="H90" s="809"/>
      <c r="I90" s="809"/>
      <c r="J90" s="809"/>
      <c r="K90" s="809"/>
      <c r="L90" s="809"/>
      <c r="M90" s="809"/>
      <c r="N90" s="809"/>
      <c r="O90" s="809"/>
      <c r="P90" s="809"/>
      <c r="Q90" s="809"/>
      <c r="R90" s="809"/>
      <c r="S90" s="809"/>
      <c r="T90" s="809"/>
      <c r="U90" s="809"/>
      <c r="V90" s="469"/>
      <c r="W90" s="651"/>
      <c r="X90" s="289"/>
      <c r="Y90" s="289"/>
      <c r="Z90" s="289"/>
      <c r="AA90" s="289"/>
      <c r="AB90" s="289"/>
      <c r="AC90" s="289"/>
      <c r="AD90" s="289"/>
      <c r="AE90" s="289"/>
      <c r="AF90" s="289"/>
      <c r="AG90" s="289"/>
      <c r="AH90" s="289"/>
      <c r="AI90" s="765"/>
      <c r="AJ90" s="765"/>
      <c r="AK90" s="765"/>
      <c r="AL90" s="765"/>
      <c r="AM90" s="765"/>
      <c r="AN90" s="765"/>
      <c r="AO90" s="766"/>
      <c r="AP90" s="460"/>
      <c r="AQ90" s="811" t="str">
        <f>Obliczenia!BG34</f>
        <v/>
      </c>
      <c r="AR90" s="811"/>
      <c r="AS90" s="811"/>
      <c r="AT90" s="811"/>
      <c r="AU90" s="811"/>
      <c r="AV90" s="811"/>
      <c r="AW90" s="811"/>
      <c r="AX90" s="811"/>
      <c r="AY90" s="811"/>
      <c r="AZ90" s="811"/>
      <c r="BA90" s="811"/>
      <c r="BB90" s="811"/>
      <c r="BC90" s="811"/>
      <c r="BD90" s="811"/>
      <c r="BE90" s="811"/>
      <c r="BF90" s="811"/>
      <c r="BG90" s="811"/>
      <c r="BH90" s="457"/>
      <c r="BI90" s="266"/>
      <c r="BJ90" s="265"/>
    </row>
    <row r="91" spans="1:62" ht="6" customHeight="1">
      <c r="A91" s="265"/>
      <c r="B91" s="289"/>
      <c r="C91" s="289"/>
      <c r="D91" s="409"/>
      <c r="E91" s="409"/>
      <c r="F91" s="409"/>
      <c r="G91" s="461"/>
      <c r="H91" s="462"/>
      <c r="I91" s="462"/>
      <c r="J91" s="462"/>
      <c r="K91" s="463"/>
      <c r="L91" s="409"/>
      <c r="M91" s="409"/>
      <c r="N91" s="409"/>
      <c r="O91" s="409"/>
      <c r="P91" s="418" t="str">
        <f t="shared" ref="P91:X115" si="34">$X$113</f>
        <v/>
      </c>
      <c r="Q91" s="409"/>
      <c r="R91" s="418" t="str">
        <f t="shared" ref="R91:X108" si="35">$X$106</f>
        <v/>
      </c>
      <c r="S91" s="409"/>
      <c r="T91" s="418" t="str">
        <f t="shared" ref="T91:X101" si="36">$X$99</f>
        <v/>
      </c>
      <c r="U91" s="409"/>
      <c r="V91" s="418" t="str">
        <f t="shared" ref="V91:X94" si="37">$X$92</f>
        <v/>
      </c>
      <c r="W91" s="289"/>
      <c r="X91" s="420"/>
      <c r="Y91" s="789" t="str">
        <f>IF(Obliczenia!E71="10","",Obliczenia!E71)</f>
        <v/>
      </c>
      <c r="Z91" s="397"/>
      <c r="AA91" s="397"/>
      <c r="AB91" s="397"/>
      <c r="AC91" s="397"/>
      <c r="AD91" s="397"/>
      <c r="AE91" s="289"/>
      <c r="AF91" s="395"/>
      <c r="AG91" s="395"/>
      <c r="AH91" s="395"/>
      <c r="AI91" s="395"/>
      <c r="AJ91" s="395"/>
      <c r="AK91" s="789" t="str">
        <f>IF(Obliczenia!E47="10","",Obliczenia!E47)</f>
        <v/>
      </c>
      <c r="AL91" s="289"/>
      <c r="AM91" s="289"/>
      <c r="AN91" s="289"/>
      <c r="AO91" s="289"/>
      <c r="AP91" s="418" t="str">
        <f t="shared" ref="AP91:AP94" si="38">$AL$92</f>
        <v/>
      </c>
      <c r="AQ91" s="409"/>
      <c r="AR91" s="418" t="str">
        <f t="shared" ref="AR91:AR101" si="39">$AL$99</f>
        <v/>
      </c>
      <c r="AS91" s="409"/>
      <c r="AT91" s="418" t="str">
        <f t="shared" ref="AT91:AT108" si="40">$AL$106</f>
        <v/>
      </c>
      <c r="AU91" s="409"/>
      <c r="AV91" s="418" t="str">
        <f t="shared" ref="AV91:AV115" si="41">$AL$113</f>
        <v/>
      </c>
      <c r="AW91" s="409"/>
      <c r="AX91" s="409"/>
      <c r="AY91" s="409"/>
      <c r="AZ91" s="409"/>
      <c r="BA91" s="455"/>
      <c r="BB91" s="411"/>
      <c r="BC91" s="411"/>
      <c r="BD91" s="411"/>
      <c r="BE91" s="456"/>
      <c r="BF91" s="409"/>
      <c r="BG91" s="409"/>
      <c r="BH91" s="409"/>
      <c r="BI91" s="266"/>
      <c r="BJ91" s="265"/>
    </row>
    <row r="92" spans="1:62" ht="14.4" customHeight="1">
      <c r="A92" s="265"/>
      <c r="B92" s="289"/>
      <c r="C92" s="289"/>
      <c r="D92" s="409"/>
      <c r="E92" s="409"/>
      <c r="F92" s="409"/>
      <c r="G92" s="464"/>
      <c r="H92" s="465"/>
      <c r="I92" s="465"/>
      <c r="J92" s="465"/>
      <c r="K92" s="466"/>
      <c r="L92" s="409"/>
      <c r="M92" s="409"/>
      <c r="N92" s="409"/>
      <c r="O92" s="409"/>
      <c r="P92" s="418" t="str">
        <f t="shared" si="34"/>
        <v/>
      </c>
      <c r="Q92" s="409"/>
      <c r="R92" s="418" t="str">
        <f t="shared" si="35"/>
        <v/>
      </c>
      <c r="S92" s="409"/>
      <c r="T92" s="418" t="str">
        <f t="shared" si="36"/>
        <v/>
      </c>
      <c r="U92" s="409"/>
      <c r="V92" s="418" t="str">
        <f t="shared" si="37"/>
        <v/>
      </c>
      <c r="W92" s="289"/>
      <c r="X92" s="4" t="str">
        <f>IF(Y91&lt;&gt;"","1","")</f>
        <v/>
      </c>
      <c r="Y92" s="789"/>
      <c r="Z92" s="397"/>
      <c r="AA92" s="772" t="str">
        <f>IF(Y91="","",VLOOKUP(Y91,big_tabela,3,0))</f>
        <v/>
      </c>
      <c r="AB92" s="772"/>
      <c r="AC92" s="773" t="str">
        <f>IF(Y91="","",VLOOKUP(Y91,big_tabela,12,0))</f>
        <v/>
      </c>
      <c r="AD92" s="774" t="s">
        <v>373</v>
      </c>
      <c r="AE92" s="289"/>
      <c r="AF92" s="395"/>
      <c r="AG92" s="783" t="str">
        <f>IF(AK91="","",VLOOKUP(AK91,big_tabela,3,0))</f>
        <v/>
      </c>
      <c r="AH92" s="783"/>
      <c r="AI92" s="784" t="str">
        <f>IF(AK91="","",VLOOKUP(AK91,big_tabela,12,0))</f>
        <v/>
      </c>
      <c r="AJ92" s="767" t="s">
        <v>373</v>
      </c>
      <c r="AK92" s="789"/>
      <c r="AL92" t="str">
        <f>IF(AK91&lt;&gt;"","1","")</f>
        <v/>
      </c>
      <c r="AM92" s="289"/>
      <c r="AN92" s="289"/>
      <c r="AO92" s="289"/>
      <c r="AP92" s="418" t="str">
        <f t="shared" si="38"/>
        <v/>
      </c>
      <c r="AQ92" s="409"/>
      <c r="AR92" s="418" t="str">
        <f t="shared" si="39"/>
        <v/>
      </c>
      <c r="AS92" s="409"/>
      <c r="AT92" s="418" t="str">
        <f t="shared" si="40"/>
        <v/>
      </c>
      <c r="AU92" s="409"/>
      <c r="AV92" s="418" t="str">
        <f t="shared" si="41"/>
        <v/>
      </c>
      <c r="AW92" s="409"/>
      <c r="AX92" s="409"/>
      <c r="AY92" s="409"/>
      <c r="AZ92" s="409"/>
      <c r="BA92" s="455"/>
      <c r="BB92" s="411"/>
      <c r="BC92" s="411"/>
      <c r="BD92" s="411"/>
      <c r="BE92" s="456"/>
      <c r="BF92" s="409"/>
      <c r="BG92" s="409"/>
      <c r="BH92" s="409"/>
      <c r="BI92" s="266"/>
      <c r="BJ92" s="265"/>
    </row>
    <row r="93" spans="1:62" ht="14.4" customHeight="1">
      <c r="A93" s="265"/>
      <c r="B93" s="289"/>
      <c r="C93" s="289"/>
      <c r="D93" s="409"/>
      <c r="E93" s="409"/>
      <c r="F93" s="409"/>
      <c r="G93" s="464"/>
      <c r="H93" s="465"/>
      <c r="I93" s="465"/>
      <c r="J93" s="465"/>
      <c r="K93" s="466"/>
      <c r="L93" s="409"/>
      <c r="M93" s="409"/>
      <c r="N93" s="409"/>
      <c r="O93" s="409"/>
      <c r="P93" s="418" t="str">
        <f t="shared" si="34"/>
        <v/>
      </c>
      <c r="Q93" s="409"/>
      <c r="R93" s="418" t="str">
        <f t="shared" si="35"/>
        <v/>
      </c>
      <c r="S93" s="409"/>
      <c r="T93" s="418" t="str">
        <f t="shared" si="36"/>
        <v/>
      </c>
      <c r="U93" s="409"/>
      <c r="V93" s="418" t="str">
        <f t="shared" si="37"/>
        <v/>
      </c>
      <c r="W93" s="494" t="str">
        <f>IF(Y91="","","Φ90")</f>
        <v/>
      </c>
      <c r="X93" s="495" t="str">
        <f>IF(Y91="","","x"&amp;VLOOKUP(Y91,big_tabela,53,0))</f>
        <v/>
      </c>
      <c r="Y93" s="403" t="str">
        <f>IF(Y91="","","◄")</f>
        <v/>
      </c>
      <c r="Z93" s="397"/>
      <c r="AA93" s="772"/>
      <c r="AB93" s="772"/>
      <c r="AC93" s="773"/>
      <c r="AD93" s="774"/>
      <c r="AE93" s="289"/>
      <c r="AF93" s="395"/>
      <c r="AG93" s="783"/>
      <c r="AH93" s="783"/>
      <c r="AI93" s="784"/>
      <c r="AJ93" s="767"/>
      <c r="AK93" s="402" t="str">
        <f>IF(AK91="","","◄")</f>
        <v/>
      </c>
      <c r="AL93" s="494" t="str">
        <f>IF(AK91="","","Φ90")</f>
        <v/>
      </c>
      <c r="AM93" s="495" t="str">
        <f>IF(AK91="","","x"&amp;VLOOKUP(AK91,big_tabela,52,0))</f>
        <v/>
      </c>
      <c r="AN93" s="289"/>
      <c r="AO93" s="289"/>
      <c r="AP93" s="418" t="str">
        <f t="shared" si="38"/>
        <v/>
      </c>
      <c r="AQ93" s="409"/>
      <c r="AR93" s="418" t="str">
        <f t="shared" si="39"/>
        <v/>
      </c>
      <c r="AS93" s="409"/>
      <c r="AT93" s="418" t="str">
        <f t="shared" si="40"/>
        <v/>
      </c>
      <c r="AU93" s="409"/>
      <c r="AV93" s="418" t="str">
        <f t="shared" si="41"/>
        <v/>
      </c>
      <c r="AW93" s="409"/>
      <c r="AX93" s="409"/>
      <c r="AY93" s="409"/>
      <c r="AZ93" s="409"/>
      <c r="BA93" s="455"/>
      <c r="BB93" s="411"/>
      <c r="BC93" s="411"/>
      <c r="BD93" s="411"/>
      <c r="BE93" s="456"/>
      <c r="BF93" s="409"/>
      <c r="BG93" s="409"/>
      <c r="BH93" s="409"/>
      <c r="BI93" s="266"/>
      <c r="BJ93" s="265"/>
    </row>
    <row r="94" spans="1:62" ht="3" customHeight="1">
      <c r="A94" s="265"/>
      <c r="B94" s="289"/>
      <c r="C94" s="404"/>
      <c r="D94" s="409"/>
      <c r="E94" s="409"/>
      <c r="F94" s="409"/>
      <c r="G94" s="464"/>
      <c r="H94" s="465"/>
      <c r="I94" s="465"/>
      <c r="J94" s="465"/>
      <c r="K94" s="466"/>
      <c r="L94" s="409"/>
      <c r="M94" s="409"/>
      <c r="N94" s="409"/>
      <c r="O94" s="409"/>
      <c r="P94" s="418" t="str">
        <f t="shared" si="34"/>
        <v/>
      </c>
      <c r="Q94" s="409"/>
      <c r="R94" s="418" t="str">
        <f t="shared" si="35"/>
        <v/>
      </c>
      <c r="S94" s="409"/>
      <c r="T94" s="418" t="str">
        <f t="shared" si="36"/>
        <v/>
      </c>
      <c r="U94" s="409"/>
      <c r="V94" s="418" t="str">
        <f t="shared" si="37"/>
        <v/>
      </c>
      <c r="W94" s="418" t="str">
        <f t="shared" si="37"/>
        <v/>
      </c>
      <c r="X94" s="418" t="str">
        <f t="shared" si="37"/>
        <v/>
      </c>
      <c r="Y94" s="418" t="str">
        <f>$X$92</f>
        <v/>
      </c>
      <c r="Z94" s="397"/>
      <c r="AA94" s="412"/>
      <c r="AB94" s="412"/>
      <c r="AC94" s="415"/>
      <c r="AD94" s="416"/>
      <c r="AE94" s="289"/>
      <c r="AF94" s="395"/>
      <c r="AG94" s="421"/>
      <c r="AH94" s="421"/>
      <c r="AI94" s="413"/>
      <c r="AJ94" s="414"/>
      <c r="AK94" s="418" t="str">
        <f>$AL$92</f>
        <v/>
      </c>
      <c r="AL94" s="418" t="str">
        <f>$AL$92</f>
        <v/>
      </c>
      <c r="AM94" s="418" t="str">
        <f>$AL$92</f>
        <v/>
      </c>
      <c r="AN94" s="418" t="str">
        <f>$AL$92</f>
        <v/>
      </c>
      <c r="AO94" s="418" t="str">
        <f>$AL$92</f>
        <v/>
      </c>
      <c r="AP94" s="418" t="str">
        <f t="shared" si="38"/>
        <v/>
      </c>
      <c r="AQ94" s="409"/>
      <c r="AR94" s="418" t="str">
        <f t="shared" si="39"/>
        <v/>
      </c>
      <c r="AS94" s="409"/>
      <c r="AT94" s="418" t="str">
        <f t="shared" si="40"/>
        <v/>
      </c>
      <c r="AU94" s="409"/>
      <c r="AV94" s="418" t="str">
        <f t="shared" si="41"/>
        <v/>
      </c>
      <c r="AW94" s="409"/>
      <c r="AX94" s="409"/>
      <c r="AY94" s="409"/>
      <c r="AZ94" s="409"/>
      <c r="BA94" s="455"/>
      <c r="BB94" s="411"/>
      <c r="BC94" s="411"/>
      <c r="BD94" s="411"/>
      <c r="BE94" s="456"/>
      <c r="BF94" s="409"/>
      <c r="BG94" s="409"/>
      <c r="BH94" s="409"/>
      <c r="BI94" s="266"/>
      <c r="BJ94" s="265"/>
    </row>
    <row r="95" spans="1:62" ht="14.4" customHeight="1">
      <c r="A95" s="265"/>
      <c r="B95" s="289"/>
      <c r="C95" s="289"/>
      <c r="D95" s="409"/>
      <c r="E95" s="409"/>
      <c r="F95" s="409"/>
      <c r="G95" s="464"/>
      <c r="H95" s="465"/>
      <c r="I95" s="465"/>
      <c r="J95" s="465"/>
      <c r="K95" s="466"/>
      <c r="L95" s="409"/>
      <c r="M95" s="409"/>
      <c r="N95" s="409"/>
      <c r="O95" s="409"/>
      <c r="P95" s="418" t="str">
        <f t="shared" si="34"/>
        <v/>
      </c>
      <c r="Q95" s="409"/>
      <c r="R95" s="418" t="str">
        <f t="shared" si="35"/>
        <v/>
      </c>
      <c r="S95" s="409"/>
      <c r="T95" s="418" t="str">
        <f t="shared" si="36"/>
        <v/>
      </c>
      <c r="U95" s="409"/>
      <c r="V95" s="409"/>
      <c r="W95" s="289"/>
      <c r="X95" s="289"/>
      <c r="Y95" s="289"/>
      <c r="Z95" s="397"/>
      <c r="AA95" s="399" t="str">
        <f>IF(Y91="","",VLOOKUP(Y91,big_tabela,4,0))</f>
        <v/>
      </c>
      <c r="AB95" s="400"/>
      <c r="AC95" s="634" t="str">
        <f>IF(Y91="","","anemostat")</f>
        <v/>
      </c>
      <c r="AD95" s="416" t="str">
        <f>IF(Y91="","","x"&amp;VLOOKUP(Y91,big_tabela,56,0))</f>
        <v/>
      </c>
      <c r="AE95" s="289"/>
      <c r="AF95" s="395"/>
      <c r="AG95" s="398" t="str">
        <f>IF(AK91="","",VLOOKUP(AK91,big_tabela,4,0))</f>
        <v/>
      </c>
      <c r="AH95" s="417"/>
      <c r="AI95" s="635" t="str">
        <f>IF(AK91="","","anemostat")</f>
        <v/>
      </c>
      <c r="AJ95" s="414" t="str">
        <f>IF(AK91="","","x"&amp;VLOOKUP(AK91,big_tabela,55,0))</f>
        <v/>
      </c>
      <c r="AK95" s="401"/>
      <c r="AL95" s="289"/>
      <c r="AM95" s="289"/>
      <c r="AN95" s="289"/>
      <c r="AO95" s="289"/>
      <c r="AP95" s="409"/>
      <c r="AQ95" s="409"/>
      <c r="AR95" s="418" t="str">
        <f t="shared" si="39"/>
        <v/>
      </c>
      <c r="AS95" s="409"/>
      <c r="AT95" s="418" t="str">
        <f t="shared" si="40"/>
        <v/>
      </c>
      <c r="AU95" s="409"/>
      <c r="AV95" s="418" t="str">
        <f t="shared" si="41"/>
        <v/>
      </c>
      <c r="AW95" s="409"/>
      <c r="AX95" s="409"/>
      <c r="AY95" s="409"/>
      <c r="AZ95" s="409"/>
      <c r="BA95" s="455"/>
      <c r="BB95" s="411"/>
      <c r="BC95" s="411"/>
      <c r="BD95" s="411"/>
      <c r="BE95" s="456"/>
      <c r="BF95" s="409"/>
      <c r="BG95" s="409"/>
      <c r="BH95" s="409"/>
      <c r="BI95" s="266"/>
      <c r="BJ95" s="265"/>
    </row>
    <row r="96" spans="1:62" ht="6" customHeight="1">
      <c r="A96" s="265"/>
      <c r="B96" s="289"/>
      <c r="C96" s="289"/>
      <c r="D96" s="409"/>
      <c r="E96" s="409"/>
      <c r="F96" s="409"/>
      <c r="G96" s="464"/>
      <c r="H96" s="465"/>
      <c r="I96" s="465"/>
      <c r="J96" s="465"/>
      <c r="K96" s="466"/>
      <c r="L96" s="409"/>
      <c r="M96" s="409"/>
      <c r="N96" s="409"/>
      <c r="O96" s="409"/>
      <c r="P96" s="418" t="str">
        <f t="shared" si="34"/>
        <v/>
      </c>
      <c r="Q96" s="409"/>
      <c r="R96" s="418" t="str">
        <f t="shared" si="35"/>
        <v/>
      </c>
      <c r="S96" s="409"/>
      <c r="T96" s="418" t="str">
        <f t="shared" si="36"/>
        <v/>
      </c>
      <c r="U96" s="409"/>
      <c r="V96" s="409"/>
      <c r="W96" s="289"/>
      <c r="X96" s="289"/>
      <c r="Y96" s="289"/>
      <c r="Z96" s="397"/>
      <c r="AA96" s="397"/>
      <c r="AB96" s="397"/>
      <c r="AC96" s="397"/>
      <c r="AD96" s="397"/>
      <c r="AE96" s="289"/>
      <c r="AF96" s="395"/>
      <c r="AG96" s="395"/>
      <c r="AH96" s="395"/>
      <c r="AI96" s="395"/>
      <c r="AJ96" s="395"/>
      <c r="AK96" s="289"/>
      <c r="AL96" s="289"/>
      <c r="AM96" s="289"/>
      <c r="AN96" s="289"/>
      <c r="AO96" s="289"/>
      <c r="AP96" s="409"/>
      <c r="AQ96" s="409"/>
      <c r="AR96" s="418" t="str">
        <f t="shared" si="39"/>
        <v/>
      </c>
      <c r="AS96" s="409"/>
      <c r="AT96" s="418" t="str">
        <f t="shared" si="40"/>
        <v/>
      </c>
      <c r="AU96" s="409"/>
      <c r="AV96" s="418" t="str">
        <f t="shared" si="41"/>
        <v/>
      </c>
      <c r="AW96" s="409"/>
      <c r="AX96" s="409"/>
      <c r="AY96" s="409"/>
      <c r="AZ96" s="409"/>
      <c r="BA96" s="455"/>
      <c r="BB96" s="411"/>
      <c r="BC96" s="411"/>
      <c r="BD96" s="411"/>
      <c r="BE96" s="456"/>
      <c r="BF96" s="409"/>
      <c r="BG96" s="409"/>
      <c r="BH96" s="409"/>
      <c r="BI96" s="266"/>
      <c r="BJ96" s="265"/>
    </row>
    <row r="97" spans="1:62">
      <c r="A97" s="265"/>
      <c r="B97" s="289"/>
      <c r="C97" s="289"/>
      <c r="D97" s="409"/>
      <c r="E97" s="409"/>
      <c r="F97" s="409"/>
      <c r="G97" s="464"/>
      <c r="H97" s="465"/>
      <c r="I97" s="465"/>
      <c r="J97" s="465"/>
      <c r="K97" s="466"/>
      <c r="L97" s="409"/>
      <c r="M97" s="409"/>
      <c r="N97" s="409"/>
      <c r="O97" s="409"/>
      <c r="P97" s="418" t="str">
        <f t="shared" si="34"/>
        <v/>
      </c>
      <c r="Q97" s="409"/>
      <c r="R97" s="418" t="str">
        <f t="shared" si="35"/>
        <v/>
      </c>
      <c r="S97" s="409"/>
      <c r="T97" s="418" t="str">
        <f t="shared" si="36"/>
        <v/>
      </c>
      <c r="U97" s="409"/>
      <c r="V97" s="409"/>
      <c r="W97" s="289"/>
      <c r="X97" s="289"/>
      <c r="Y97" s="289"/>
      <c r="Z97" s="289"/>
      <c r="AA97" s="289"/>
      <c r="AB97" s="289"/>
      <c r="AC97" s="289"/>
      <c r="AD97" s="289"/>
      <c r="AE97" s="289"/>
      <c r="AF97" s="289"/>
      <c r="AG97" s="289"/>
      <c r="AH97" s="289"/>
      <c r="AI97" s="289"/>
      <c r="AJ97" s="289"/>
      <c r="AK97" s="289"/>
      <c r="AL97" s="289"/>
      <c r="AM97" s="289"/>
      <c r="AN97" s="289"/>
      <c r="AO97" s="289"/>
      <c r="AP97" s="409"/>
      <c r="AQ97" s="409"/>
      <c r="AR97" s="418" t="str">
        <f t="shared" si="39"/>
        <v/>
      </c>
      <c r="AS97" s="409"/>
      <c r="AT97" s="418" t="str">
        <f t="shared" si="40"/>
        <v/>
      </c>
      <c r="AU97" s="409"/>
      <c r="AV97" s="418" t="str">
        <f t="shared" si="41"/>
        <v/>
      </c>
      <c r="AW97" s="409"/>
      <c r="AX97" s="409"/>
      <c r="AY97" s="409"/>
      <c r="AZ97" s="409"/>
      <c r="BA97" s="455"/>
      <c r="BB97" s="411"/>
      <c r="BC97" s="411"/>
      <c r="BD97" s="411"/>
      <c r="BE97" s="456"/>
      <c r="BF97" s="409"/>
      <c r="BG97" s="409"/>
      <c r="BH97" s="409"/>
      <c r="BI97" s="266"/>
      <c r="BJ97" s="265"/>
    </row>
    <row r="98" spans="1:62" ht="6" customHeight="1">
      <c r="A98" s="265"/>
      <c r="B98" s="289"/>
      <c r="C98" s="289"/>
      <c r="D98" s="409"/>
      <c r="E98" s="409"/>
      <c r="F98" s="409"/>
      <c r="G98" s="464"/>
      <c r="H98" s="465"/>
      <c r="I98" s="465"/>
      <c r="J98" s="465"/>
      <c r="K98" s="466"/>
      <c r="L98" s="409"/>
      <c r="M98" s="409"/>
      <c r="N98" s="409"/>
      <c r="O98" s="409"/>
      <c r="P98" s="418" t="str">
        <f t="shared" si="34"/>
        <v/>
      </c>
      <c r="Q98" s="409"/>
      <c r="R98" s="418" t="str">
        <f t="shared" si="35"/>
        <v/>
      </c>
      <c r="S98" s="409"/>
      <c r="T98" s="418" t="str">
        <f t="shared" si="36"/>
        <v/>
      </c>
      <c r="U98" s="409"/>
      <c r="V98" s="409"/>
      <c r="W98" s="289"/>
      <c r="X98" s="289"/>
      <c r="Y98" s="789" t="str">
        <f>IF(Obliczenia!E72="10","",Obliczenia!E72)</f>
        <v/>
      </c>
      <c r="Z98" s="397"/>
      <c r="AA98" s="397"/>
      <c r="AB98" s="397"/>
      <c r="AC98" s="397"/>
      <c r="AD98" s="397"/>
      <c r="AE98" s="289"/>
      <c r="AF98" s="395"/>
      <c r="AG98" s="395"/>
      <c r="AH98" s="395"/>
      <c r="AI98" s="395"/>
      <c r="AJ98" s="395"/>
      <c r="AK98" s="789" t="str">
        <f>IF(Obliczenia!E48="10","",Obliczenia!E48)</f>
        <v/>
      </c>
      <c r="AL98" s="289"/>
      <c r="AM98" s="289"/>
      <c r="AN98" s="289"/>
      <c r="AO98" s="289"/>
      <c r="AP98" s="409"/>
      <c r="AQ98" s="409"/>
      <c r="AR98" s="418" t="str">
        <f t="shared" si="39"/>
        <v/>
      </c>
      <c r="AS98" s="409"/>
      <c r="AT98" s="418" t="str">
        <f t="shared" si="40"/>
        <v/>
      </c>
      <c r="AU98" s="409"/>
      <c r="AV98" s="418" t="str">
        <f t="shared" si="41"/>
        <v/>
      </c>
      <c r="AW98" s="409"/>
      <c r="AX98" s="409"/>
      <c r="AY98" s="409"/>
      <c r="AZ98" s="409"/>
      <c r="BA98" s="455"/>
      <c r="BB98" s="411"/>
      <c r="BC98" s="411"/>
      <c r="BD98" s="411"/>
      <c r="BE98" s="456"/>
      <c r="BF98" s="409"/>
      <c r="BG98" s="409"/>
      <c r="BH98" s="409"/>
      <c r="BI98" s="266"/>
      <c r="BJ98" s="265"/>
    </row>
    <row r="99" spans="1:62" ht="14.4" customHeight="1">
      <c r="A99" s="265"/>
      <c r="B99" s="289"/>
      <c r="C99" s="289"/>
      <c r="D99" s="409"/>
      <c r="E99" s="409"/>
      <c r="F99" s="409"/>
      <c r="G99" s="464"/>
      <c r="H99" s="465"/>
      <c r="I99" s="465"/>
      <c r="J99" s="465"/>
      <c r="K99" s="466"/>
      <c r="L99" s="409"/>
      <c r="M99" s="409"/>
      <c r="N99" s="409"/>
      <c r="O99" s="409"/>
      <c r="P99" s="418" t="str">
        <f t="shared" si="34"/>
        <v/>
      </c>
      <c r="Q99" s="409"/>
      <c r="R99" s="418" t="str">
        <f t="shared" si="35"/>
        <v/>
      </c>
      <c r="S99" s="409"/>
      <c r="T99" s="418" t="str">
        <f t="shared" si="36"/>
        <v/>
      </c>
      <c r="U99" s="409"/>
      <c r="V99" s="409"/>
      <c r="W99" s="289"/>
      <c r="X99" s="4" t="str">
        <f>IF(Y98&lt;&gt;"","1","")</f>
        <v/>
      </c>
      <c r="Y99" s="789"/>
      <c r="Z99" s="397"/>
      <c r="AA99" s="772" t="str">
        <f>IF(Y98="","",VLOOKUP(Y98,big_tabela,3,0))</f>
        <v/>
      </c>
      <c r="AB99" s="772"/>
      <c r="AC99" s="773" t="str">
        <f>IF(Y98="","",VLOOKUP(Y98,big_tabela,12,0))</f>
        <v/>
      </c>
      <c r="AD99" s="774" t="s">
        <v>373</v>
      </c>
      <c r="AE99" s="289"/>
      <c r="AF99" s="395"/>
      <c r="AG99" s="783" t="str">
        <f>IF(AK98="","",VLOOKUP(AK98,big_tabela,3,0))</f>
        <v/>
      </c>
      <c r="AH99" s="783"/>
      <c r="AI99" s="784" t="str">
        <f>IF(AK98="","",VLOOKUP(AK98,big_tabela,12,0))</f>
        <v/>
      </c>
      <c r="AJ99" s="767" t="s">
        <v>373</v>
      </c>
      <c r="AK99" s="789"/>
      <c r="AL99" t="str">
        <f>IF(AK98&lt;&gt;"","1","")</f>
        <v/>
      </c>
      <c r="AM99" s="289"/>
      <c r="AN99" s="289"/>
      <c r="AO99" s="289"/>
      <c r="AP99" s="409"/>
      <c r="AQ99" s="409"/>
      <c r="AR99" s="418" t="str">
        <f t="shared" si="39"/>
        <v/>
      </c>
      <c r="AS99" s="409"/>
      <c r="AT99" s="418" t="str">
        <f t="shared" si="40"/>
        <v/>
      </c>
      <c r="AU99" s="409"/>
      <c r="AV99" s="418" t="str">
        <f t="shared" si="41"/>
        <v/>
      </c>
      <c r="AW99" s="409"/>
      <c r="AX99" s="409"/>
      <c r="AY99" s="409"/>
      <c r="AZ99" s="409"/>
      <c r="BA99" s="455"/>
      <c r="BB99" s="411"/>
      <c r="BC99" s="411"/>
      <c r="BD99" s="411"/>
      <c r="BE99" s="456"/>
      <c r="BF99" s="409"/>
      <c r="BG99" s="409"/>
      <c r="BH99" s="409"/>
      <c r="BI99" s="266"/>
      <c r="BJ99" s="265"/>
    </row>
    <row r="100" spans="1:62" ht="14.4" customHeight="1">
      <c r="A100" s="265"/>
      <c r="B100" s="289"/>
      <c r="C100" s="289"/>
      <c r="D100" s="409"/>
      <c r="E100" s="409"/>
      <c r="F100" s="409"/>
      <c r="G100" s="464"/>
      <c r="H100" s="465"/>
      <c r="I100" s="465"/>
      <c r="J100" s="465"/>
      <c r="K100" s="466"/>
      <c r="L100" s="409"/>
      <c r="M100" s="409"/>
      <c r="N100" s="409"/>
      <c r="O100" s="409"/>
      <c r="P100" s="418" t="str">
        <f t="shared" si="34"/>
        <v/>
      </c>
      <c r="Q100" s="409"/>
      <c r="R100" s="418" t="str">
        <f t="shared" si="35"/>
        <v/>
      </c>
      <c r="S100" s="409"/>
      <c r="T100" s="418" t="str">
        <f t="shared" si="36"/>
        <v/>
      </c>
      <c r="U100" s="409"/>
      <c r="V100" s="409"/>
      <c r="W100" s="494" t="str">
        <f>IF(Y98="","","Φ90")</f>
        <v/>
      </c>
      <c r="X100" s="495" t="str">
        <f>IF(Y98="","","x"&amp;VLOOKUP(Y98,big_tabela,53,0))</f>
        <v/>
      </c>
      <c r="Y100" s="403" t="str">
        <f>IF(Y98="","","◄")</f>
        <v/>
      </c>
      <c r="Z100" s="397"/>
      <c r="AA100" s="772"/>
      <c r="AB100" s="772"/>
      <c r="AC100" s="773"/>
      <c r="AD100" s="774"/>
      <c r="AE100" s="289"/>
      <c r="AF100" s="395"/>
      <c r="AG100" s="783"/>
      <c r="AH100" s="783"/>
      <c r="AI100" s="784"/>
      <c r="AJ100" s="767"/>
      <c r="AK100" s="402" t="str">
        <f>IF(AK98="","","◄")</f>
        <v/>
      </c>
      <c r="AL100" s="494" t="str">
        <f>IF(AK98="","","Φ90")</f>
        <v/>
      </c>
      <c r="AM100" s="495" t="str">
        <f>IF(AK98="","","x"&amp;VLOOKUP(AK98,big_tabela,52,0))</f>
        <v/>
      </c>
      <c r="AN100" s="289"/>
      <c r="AO100" s="289"/>
      <c r="AP100" s="409"/>
      <c r="AQ100" s="409"/>
      <c r="AR100" s="418" t="str">
        <f t="shared" si="39"/>
        <v/>
      </c>
      <c r="AS100" s="409"/>
      <c r="AT100" s="418" t="str">
        <f t="shared" si="40"/>
        <v/>
      </c>
      <c r="AU100" s="409"/>
      <c r="AV100" s="418" t="str">
        <f t="shared" si="41"/>
        <v/>
      </c>
      <c r="AW100" s="409"/>
      <c r="AX100" s="409"/>
      <c r="AY100" s="409"/>
      <c r="AZ100" s="409"/>
      <c r="BA100" s="455"/>
      <c r="BB100" s="411"/>
      <c r="BC100" s="411"/>
      <c r="BD100" s="411"/>
      <c r="BE100" s="456"/>
      <c r="BF100" s="409"/>
      <c r="BG100" s="409"/>
      <c r="BH100" s="409"/>
      <c r="BI100" s="266"/>
      <c r="BJ100" s="265"/>
    </row>
    <row r="101" spans="1:62" ht="3" customHeight="1">
      <c r="A101" s="265"/>
      <c r="B101" s="289"/>
      <c r="C101" s="404"/>
      <c r="D101" s="409"/>
      <c r="E101" s="409"/>
      <c r="F101" s="409"/>
      <c r="G101" s="464"/>
      <c r="H101" s="465"/>
      <c r="I101" s="465"/>
      <c r="J101" s="465"/>
      <c r="K101" s="466"/>
      <c r="L101" s="409"/>
      <c r="M101" s="409"/>
      <c r="N101" s="409"/>
      <c r="O101" s="409"/>
      <c r="P101" s="418" t="str">
        <f t="shared" si="34"/>
        <v/>
      </c>
      <c r="Q101" s="409"/>
      <c r="R101" s="418" t="str">
        <f t="shared" si="35"/>
        <v/>
      </c>
      <c r="S101" s="409"/>
      <c r="T101" s="418" t="str">
        <f t="shared" si="36"/>
        <v/>
      </c>
      <c r="U101" s="418" t="str">
        <f t="shared" si="36"/>
        <v/>
      </c>
      <c r="V101" s="418" t="str">
        <f t="shared" si="36"/>
        <v/>
      </c>
      <c r="W101" s="418" t="str">
        <f t="shared" si="36"/>
        <v/>
      </c>
      <c r="X101" s="418" t="str">
        <f t="shared" si="36"/>
        <v/>
      </c>
      <c r="Y101" s="418" t="str">
        <f>$X$99</f>
        <v/>
      </c>
      <c r="Z101" s="397"/>
      <c r="AA101" s="412"/>
      <c r="AB101" s="412"/>
      <c r="AC101" s="415"/>
      <c r="AD101" s="416"/>
      <c r="AE101" s="289"/>
      <c r="AF101" s="395"/>
      <c r="AG101" s="421"/>
      <c r="AH101" s="421"/>
      <c r="AI101" s="413"/>
      <c r="AJ101" s="414"/>
      <c r="AK101" s="418" t="str">
        <f t="shared" ref="AK101:AQ101" si="42">$AL$99</f>
        <v/>
      </c>
      <c r="AL101" s="418" t="str">
        <f t="shared" si="42"/>
        <v/>
      </c>
      <c r="AM101" s="418" t="str">
        <f t="shared" si="42"/>
        <v/>
      </c>
      <c r="AN101" s="418" t="str">
        <f t="shared" si="42"/>
        <v/>
      </c>
      <c r="AO101" s="418" t="str">
        <f t="shared" si="42"/>
        <v/>
      </c>
      <c r="AP101" s="418" t="str">
        <f t="shared" si="42"/>
        <v/>
      </c>
      <c r="AQ101" s="418" t="str">
        <f t="shared" si="42"/>
        <v/>
      </c>
      <c r="AR101" s="418" t="str">
        <f t="shared" si="39"/>
        <v/>
      </c>
      <c r="AS101" s="409"/>
      <c r="AT101" s="418" t="str">
        <f t="shared" si="40"/>
        <v/>
      </c>
      <c r="AU101" s="409"/>
      <c r="AV101" s="418" t="str">
        <f t="shared" si="41"/>
        <v/>
      </c>
      <c r="AW101" s="409"/>
      <c r="AX101" s="409"/>
      <c r="AY101" s="409"/>
      <c r="AZ101" s="409"/>
      <c r="BA101" s="455"/>
      <c r="BB101" s="411"/>
      <c r="BC101" s="411"/>
      <c r="BD101" s="411"/>
      <c r="BE101" s="456"/>
      <c r="BF101" s="409"/>
      <c r="BG101" s="409"/>
      <c r="BH101" s="409"/>
      <c r="BI101" s="266"/>
      <c r="BJ101" s="265"/>
    </row>
    <row r="102" spans="1:62" ht="14.4" customHeight="1">
      <c r="A102" s="265"/>
      <c r="B102" s="289"/>
      <c r="C102" s="289"/>
      <c r="D102" s="409"/>
      <c r="E102" s="409"/>
      <c r="F102" s="409"/>
      <c r="G102" s="464"/>
      <c r="H102" s="465"/>
      <c r="I102" s="465"/>
      <c r="J102" s="465"/>
      <c r="K102" s="466"/>
      <c r="L102" s="409"/>
      <c r="M102" s="409"/>
      <c r="N102" s="409"/>
      <c r="O102" s="409"/>
      <c r="P102" s="418" t="str">
        <f t="shared" si="34"/>
        <v/>
      </c>
      <c r="Q102" s="409"/>
      <c r="R102" s="418" t="str">
        <f t="shared" si="35"/>
        <v/>
      </c>
      <c r="S102" s="409"/>
      <c r="T102" s="409"/>
      <c r="U102" s="409"/>
      <c r="V102" s="409"/>
      <c r="W102" s="289"/>
      <c r="X102" s="289"/>
      <c r="Y102" s="289"/>
      <c r="Z102" s="397"/>
      <c r="AA102" s="399" t="str">
        <f>IF(Y98="","",VLOOKUP(Y98,big_tabela,4,0))</f>
        <v/>
      </c>
      <c r="AB102" s="400"/>
      <c r="AC102" s="634" t="str">
        <f>IF(Y98="","","anemostat")</f>
        <v/>
      </c>
      <c r="AD102" s="416" t="str">
        <f>IF(Y98="","","x"&amp;VLOOKUP(Y98,big_tabela,56,0))</f>
        <v/>
      </c>
      <c r="AE102" s="289"/>
      <c r="AF102" s="395"/>
      <c r="AG102" s="398" t="str">
        <f>IF(AK98="","",VLOOKUP(AK98,big_tabela,4,0))</f>
        <v/>
      </c>
      <c r="AH102" s="417"/>
      <c r="AI102" s="635" t="str">
        <f>IF(AK98="","","anemostat")</f>
        <v/>
      </c>
      <c r="AJ102" s="414" t="str">
        <f>IF(AK98="","","x"&amp;VLOOKUP(AK98,big_tabela,55,0))</f>
        <v/>
      </c>
      <c r="AK102" s="401"/>
      <c r="AL102" s="289"/>
      <c r="AM102" s="289"/>
      <c r="AN102" s="289"/>
      <c r="AO102" s="289"/>
      <c r="AP102" s="409"/>
      <c r="AQ102" s="409"/>
      <c r="AR102" s="409"/>
      <c r="AS102" s="409"/>
      <c r="AT102" s="418" t="str">
        <f t="shared" si="40"/>
        <v/>
      </c>
      <c r="AU102" s="409"/>
      <c r="AV102" s="418" t="str">
        <f t="shared" si="41"/>
        <v/>
      </c>
      <c r="AW102" s="409"/>
      <c r="AX102" s="409"/>
      <c r="AY102" s="409"/>
      <c r="AZ102" s="409"/>
      <c r="BA102" s="455"/>
      <c r="BB102" s="411"/>
      <c r="BC102" s="411"/>
      <c r="BD102" s="411"/>
      <c r="BE102" s="456"/>
      <c r="BF102" s="409"/>
      <c r="BG102" s="409"/>
      <c r="BH102" s="409"/>
      <c r="BI102" s="266"/>
      <c r="BJ102" s="265"/>
    </row>
    <row r="103" spans="1:62" ht="6" customHeight="1">
      <c r="A103" s="265"/>
      <c r="B103" s="289"/>
      <c r="C103" s="289"/>
      <c r="D103" s="409"/>
      <c r="E103" s="409"/>
      <c r="F103" s="409"/>
      <c r="G103" s="464"/>
      <c r="H103" s="465"/>
      <c r="I103" s="465"/>
      <c r="J103" s="465"/>
      <c r="K103" s="466"/>
      <c r="L103" s="409"/>
      <c r="M103" s="409"/>
      <c r="N103" s="409"/>
      <c r="O103" s="409"/>
      <c r="P103" s="418" t="str">
        <f t="shared" si="34"/>
        <v/>
      </c>
      <c r="Q103" s="409"/>
      <c r="R103" s="418" t="str">
        <f t="shared" si="35"/>
        <v/>
      </c>
      <c r="S103" s="409"/>
      <c r="T103" s="409"/>
      <c r="U103" s="409"/>
      <c r="V103" s="409"/>
      <c r="W103" s="289"/>
      <c r="X103" s="289"/>
      <c r="Y103" s="289"/>
      <c r="Z103" s="397"/>
      <c r="AA103" s="397"/>
      <c r="AB103" s="397"/>
      <c r="AC103" s="397"/>
      <c r="AD103" s="397"/>
      <c r="AE103" s="289"/>
      <c r="AF103" s="395"/>
      <c r="AG103" s="395"/>
      <c r="AH103" s="395"/>
      <c r="AI103" s="395"/>
      <c r="AJ103" s="395"/>
      <c r="AK103" s="289"/>
      <c r="AL103" s="289"/>
      <c r="AM103" s="289"/>
      <c r="AN103" s="289"/>
      <c r="AO103" s="289"/>
      <c r="AP103" s="409"/>
      <c r="AQ103" s="409"/>
      <c r="AR103" s="409"/>
      <c r="AS103" s="409"/>
      <c r="AT103" s="418" t="str">
        <f t="shared" si="40"/>
        <v/>
      </c>
      <c r="AU103" s="409"/>
      <c r="AV103" s="418" t="str">
        <f t="shared" si="41"/>
        <v/>
      </c>
      <c r="AW103" s="409"/>
      <c r="AX103" s="409"/>
      <c r="AY103" s="409"/>
      <c r="AZ103" s="409"/>
      <c r="BA103" s="455"/>
      <c r="BB103" s="411"/>
      <c r="BC103" s="411"/>
      <c r="BD103" s="411"/>
      <c r="BE103" s="456"/>
      <c r="BF103" s="409"/>
      <c r="BG103" s="409"/>
      <c r="BH103" s="409"/>
      <c r="BI103" s="266"/>
      <c r="BJ103" s="265"/>
    </row>
    <row r="104" spans="1:62">
      <c r="A104" s="265"/>
      <c r="B104" s="289"/>
      <c r="C104" s="289"/>
      <c r="D104" s="409"/>
      <c r="E104" s="409"/>
      <c r="F104" s="409"/>
      <c r="G104" s="464"/>
      <c r="H104" s="465"/>
      <c r="I104" s="465"/>
      <c r="J104" s="465"/>
      <c r="K104" s="466"/>
      <c r="L104" s="409"/>
      <c r="M104" s="409"/>
      <c r="N104" s="409"/>
      <c r="O104" s="409"/>
      <c r="P104" s="418" t="str">
        <f t="shared" si="34"/>
        <v/>
      </c>
      <c r="Q104" s="409"/>
      <c r="R104" s="418" t="str">
        <f t="shared" si="35"/>
        <v/>
      </c>
      <c r="S104" s="409"/>
      <c r="T104" s="409"/>
      <c r="U104" s="409"/>
      <c r="V104" s="409"/>
      <c r="W104" s="289"/>
      <c r="X104" s="289"/>
      <c r="Y104" s="289"/>
      <c r="Z104" s="289"/>
      <c r="AA104" s="289"/>
      <c r="AB104" s="289"/>
      <c r="AC104" s="289"/>
      <c r="AD104" s="289"/>
      <c r="AE104" s="289"/>
      <c r="AF104" s="289"/>
      <c r="AG104" s="289"/>
      <c r="AH104" s="289"/>
      <c r="AI104" s="289"/>
      <c r="AJ104" s="289"/>
      <c r="AK104" s="289"/>
      <c r="AL104" s="289"/>
      <c r="AM104" s="289"/>
      <c r="AN104" s="289"/>
      <c r="AO104" s="289"/>
      <c r="AP104" s="409"/>
      <c r="AQ104" s="409"/>
      <c r="AR104" s="409"/>
      <c r="AS104" s="409"/>
      <c r="AT104" s="418" t="str">
        <f t="shared" si="40"/>
        <v/>
      </c>
      <c r="AU104" s="409"/>
      <c r="AV104" s="418" t="str">
        <f t="shared" si="41"/>
        <v/>
      </c>
      <c r="AW104" s="409"/>
      <c r="AX104" s="409"/>
      <c r="AY104" s="409"/>
      <c r="AZ104" s="409"/>
      <c r="BA104" s="455"/>
      <c r="BB104" s="411"/>
      <c r="BC104" s="411"/>
      <c r="BD104" s="411"/>
      <c r="BE104" s="456"/>
      <c r="BF104" s="409"/>
      <c r="BG104" s="409"/>
      <c r="BH104" s="409"/>
      <c r="BI104" s="266"/>
      <c r="BJ104" s="265"/>
    </row>
    <row r="105" spans="1:62" ht="6" customHeight="1">
      <c r="A105" s="265"/>
      <c r="B105" s="289"/>
      <c r="C105" s="289"/>
      <c r="D105" s="409"/>
      <c r="E105" s="409"/>
      <c r="F105" s="409"/>
      <c r="G105" s="464"/>
      <c r="H105" s="465"/>
      <c r="I105" s="465"/>
      <c r="J105" s="465"/>
      <c r="K105" s="466"/>
      <c r="L105" s="409"/>
      <c r="M105" s="409"/>
      <c r="N105" s="409"/>
      <c r="O105" s="409"/>
      <c r="P105" s="418" t="str">
        <f t="shared" si="34"/>
        <v/>
      </c>
      <c r="Q105" s="409"/>
      <c r="R105" s="418" t="str">
        <f t="shared" si="35"/>
        <v/>
      </c>
      <c r="S105" s="409"/>
      <c r="T105" s="409"/>
      <c r="U105" s="409"/>
      <c r="V105" s="409"/>
      <c r="W105" s="289"/>
      <c r="X105" s="289"/>
      <c r="Y105" s="789" t="str">
        <f>IF(Obliczenia!E73="10","",Obliczenia!E73)</f>
        <v/>
      </c>
      <c r="Z105" s="397"/>
      <c r="AA105" s="397"/>
      <c r="AB105" s="397"/>
      <c r="AC105" s="397"/>
      <c r="AD105" s="397"/>
      <c r="AE105" s="289"/>
      <c r="AF105" s="395"/>
      <c r="AG105" s="395"/>
      <c r="AH105" s="395"/>
      <c r="AI105" s="395"/>
      <c r="AJ105" s="395"/>
      <c r="AK105" s="789" t="str">
        <f>IF(Obliczenia!E49="10","",Obliczenia!E49)</f>
        <v/>
      </c>
      <c r="AL105" s="289"/>
      <c r="AM105" s="289"/>
      <c r="AN105" s="289"/>
      <c r="AO105" s="289"/>
      <c r="AP105" s="409"/>
      <c r="AQ105" s="409"/>
      <c r="AR105" s="409"/>
      <c r="AS105" s="409"/>
      <c r="AT105" s="418" t="str">
        <f t="shared" si="40"/>
        <v/>
      </c>
      <c r="AU105" s="409"/>
      <c r="AV105" s="418" t="str">
        <f t="shared" si="41"/>
        <v/>
      </c>
      <c r="AW105" s="409"/>
      <c r="AX105" s="409"/>
      <c r="AY105" s="409"/>
      <c r="AZ105" s="409"/>
      <c r="BA105" s="455"/>
      <c r="BB105" s="411"/>
      <c r="BC105" s="411"/>
      <c r="BD105" s="411"/>
      <c r="BE105" s="456"/>
      <c r="BF105" s="409"/>
      <c r="BG105" s="409"/>
      <c r="BH105" s="409"/>
      <c r="BI105" s="266"/>
      <c r="BJ105" s="265"/>
    </row>
    <row r="106" spans="1:62" ht="14.4" customHeight="1">
      <c r="A106" s="265"/>
      <c r="B106" s="289"/>
      <c r="C106" s="289"/>
      <c r="D106" s="409"/>
      <c r="E106" s="409"/>
      <c r="F106" s="409"/>
      <c r="G106" s="464"/>
      <c r="H106" s="465"/>
      <c r="I106" s="465"/>
      <c r="J106" s="465"/>
      <c r="K106" s="466"/>
      <c r="L106" s="409"/>
      <c r="M106" s="409"/>
      <c r="N106" s="409"/>
      <c r="O106" s="409"/>
      <c r="P106" s="418" t="str">
        <f t="shared" si="34"/>
        <v/>
      </c>
      <c r="Q106" s="409"/>
      <c r="R106" s="418" t="str">
        <f t="shared" si="35"/>
        <v/>
      </c>
      <c r="S106" s="409"/>
      <c r="T106" s="409"/>
      <c r="U106" s="409"/>
      <c r="V106" s="409"/>
      <c r="W106" s="289"/>
      <c r="X106" s="4" t="str">
        <f>IF(Y105&lt;&gt;"","1","")</f>
        <v/>
      </c>
      <c r="Y106" s="789"/>
      <c r="Z106" s="397"/>
      <c r="AA106" s="772" t="str">
        <f>IF(Y105="","",VLOOKUP(Y105,big_tabela,3,0))</f>
        <v/>
      </c>
      <c r="AB106" s="772"/>
      <c r="AC106" s="773" t="str">
        <f>IF(Y105="","",VLOOKUP(Y105,big_tabela,12,0))</f>
        <v/>
      </c>
      <c r="AD106" s="774" t="s">
        <v>373</v>
      </c>
      <c r="AE106" s="289"/>
      <c r="AF106" s="395"/>
      <c r="AG106" s="783" t="str">
        <f>IF(AK105="","",VLOOKUP(AK105,big_tabela,3,0))</f>
        <v/>
      </c>
      <c r="AH106" s="783"/>
      <c r="AI106" s="784" t="str">
        <f>IF(AK105="","",VLOOKUP(AK105,big_tabela,12,0))</f>
        <v/>
      </c>
      <c r="AJ106" s="767" t="s">
        <v>373</v>
      </c>
      <c r="AK106" s="789"/>
      <c r="AL106" t="str">
        <f>IF(AK105&lt;&gt;"","1","")</f>
        <v/>
      </c>
      <c r="AM106" s="289"/>
      <c r="AN106" s="289"/>
      <c r="AO106" s="289"/>
      <c r="AP106" s="409"/>
      <c r="AQ106" s="409"/>
      <c r="AR106" s="409"/>
      <c r="AS106" s="409"/>
      <c r="AT106" s="418" t="str">
        <f t="shared" si="40"/>
        <v/>
      </c>
      <c r="AU106" s="409"/>
      <c r="AV106" s="418" t="str">
        <f t="shared" si="41"/>
        <v/>
      </c>
      <c r="AW106" s="409"/>
      <c r="AX106" s="409"/>
      <c r="AY106" s="409"/>
      <c r="AZ106" s="409"/>
      <c r="BA106" s="455"/>
      <c r="BB106" s="411"/>
      <c r="BC106" s="411"/>
      <c r="BD106" s="411"/>
      <c r="BE106" s="456"/>
      <c r="BF106" s="409"/>
      <c r="BG106" s="409"/>
      <c r="BH106" s="409"/>
      <c r="BI106" s="266"/>
      <c r="BJ106" s="265"/>
    </row>
    <row r="107" spans="1:62" ht="14.4" customHeight="1">
      <c r="A107" s="265"/>
      <c r="B107" s="289"/>
      <c r="C107" s="289"/>
      <c r="D107" s="409"/>
      <c r="E107" s="409"/>
      <c r="F107" s="409"/>
      <c r="G107" s="464"/>
      <c r="H107" s="465"/>
      <c r="I107" s="465"/>
      <c r="J107" s="465"/>
      <c r="K107" s="466"/>
      <c r="L107" s="409"/>
      <c r="M107" s="409"/>
      <c r="N107" s="409"/>
      <c r="O107" s="409"/>
      <c r="P107" s="418" t="str">
        <f t="shared" si="34"/>
        <v/>
      </c>
      <c r="Q107" s="409"/>
      <c r="R107" s="418" t="str">
        <f t="shared" si="35"/>
        <v/>
      </c>
      <c r="S107" s="409"/>
      <c r="T107" s="409"/>
      <c r="U107" s="409"/>
      <c r="V107" s="409"/>
      <c r="W107" s="494" t="str">
        <f>IF(Y105="","","Φ90")</f>
        <v/>
      </c>
      <c r="X107" s="495" t="str">
        <f>IF(Y105="","","x"&amp;VLOOKUP(Y105,big_tabela,53,0))</f>
        <v/>
      </c>
      <c r="Y107" s="403" t="str">
        <f>IF(Y105="","","◄")</f>
        <v/>
      </c>
      <c r="Z107" s="397"/>
      <c r="AA107" s="772"/>
      <c r="AB107" s="772"/>
      <c r="AC107" s="773"/>
      <c r="AD107" s="774"/>
      <c r="AE107" s="289"/>
      <c r="AF107" s="395"/>
      <c r="AG107" s="783"/>
      <c r="AH107" s="783"/>
      <c r="AI107" s="784"/>
      <c r="AJ107" s="767"/>
      <c r="AK107" s="402" t="str">
        <f>IF(AK105="","","◄")</f>
        <v/>
      </c>
      <c r="AL107" s="494" t="str">
        <f>IF(AK105="","","Φ90")</f>
        <v/>
      </c>
      <c r="AM107" s="495" t="str">
        <f>IF(AK105="","","x"&amp;VLOOKUP(AK105,big_tabela,52,0))</f>
        <v/>
      </c>
      <c r="AN107" s="289"/>
      <c r="AO107" s="289"/>
      <c r="AP107" s="409"/>
      <c r="AQ107" s="409"/>
      <c r="AR107" s="409"/>
      <c r="AS107" s="409"/>
      <c r="AT107" s="418" t="str">
        <f t="shared" si="40"/>
        <v/>
      </c>
      <c r="AU107" s="409"/>
      <c r="AV107" s="418" t="str">
        <f t="shared" si="41"/>
        <v/>
      </c>
      <c r="AW107" s="409"/>
      <c r="AX107" s="409"/>
      <c r="AY107" s="409"/>
      <c r="AZ107" s="409"/>
      <c r="BA107" s="455"/>
      <c r="BB107" s="411"/>
      <c r="BC107" s="411"/>
      <c r="BD107" s="411"/>
      <c r="BE107" s="456"/>
      <c r="BF107" s="409"/>
      <c r="BG107" s="409"/>
      <c r="BH107" s="409"/>
      <c r="BI107" s="266"/>
      <c r="BJ107" s="265"/>
    </row>
    <row r="108" spans="1:62" ht="3" customHeight="1">
      <c r="A108" s="265"/>
      <c r="B108" s="289"/>
      <c r="C108" s="404"/>
      <c r="D108" s="409"/>
      <c r="E108" s="409"/>
      <c r="F108" s="409"/>
      <c r="G108" s="464"/>
      <c r="H108" s="465"/>
      <c r="I108" s="465"/>
      <c r="J108" s="465"/>
      <c r="K108" s="466"/>
      <c r="L108" s="409"/>
      <c r="M108" s="409"/>
      <c r="N108" s="409"/>
      <c r="O108" s="409"/>
      <c r="P108" s="418" t="str">
        <f t="shared" si="34"/>
        <v/>
      </c>
      <c r="Q108" s="409"/>
      <c r="R108" s="418" t="str">
        <f t="shared" si="35"/>
        <v/>
      </c>
      <c r="S108" s="418" t="str">
        <f t="shared" si="35"/>
        <v/>
      </c>
      <c r="T108" s="418" t="str">
        <f t="shared" si="35"/>
        <v/>
      </c>
      <c r="U108" s="418" t="str">
        <f t="shared" si="35"/>
        <v/>
      </c>
      <c r="V108" s="418" t="str">
        <f t="shared" si="35"/>
        <v/>
      </c>
      <c r="W108" s="418" t="str">
        <f t="shared" si="35"/>
        <v/>
      </c>
      <c r="X108" s="418" t="str">
        <f t="shared" si="35"/>
        <v/>
      </c>
      <c r="Y108" s="418" t="str">
        <f>$X$106</f>
        <v/>
      </c>
      <c r="Z108" s="397"/>
      <c r="AA108" s="412"/>
      <c r="AB108" s="412"/>
      <c r="AC108" s="415"/>
      <c r="AD108" s="416"/>
      <c r="AE108" s="289"/>
      <c r="AF108" s="395"/>
      <c r="AG108" s="421"/>
      <c r="AH108" s="421"/>
      <c r="AI108" s="413"/>
      <c r="AJ108" s="414"/>
      <c r="AK108" s="418" t="str">
        <f t="shared" ref="AK108:AS108" si="43">$AL$106</f>
        <v/>
      </c>
      <c r="AL108" s="418" t="str">
        <f t="shared" si="43"/>
        <v/>
      </c>
      <c r="AM108" s="418" t="str">
        <f t="shared" si="43"/>
        <v/>
      </c>
      <c r="AN108" s="418" t="str">
        <f t="shared" si="43"/>
        <v/>
      </c>
      <c r="AO108" s="418" t="str">
        <f t="shared" si="43"/>
        <v/>
      </c>
      <c r="AP108" s="418" t="str">
        <f t="shared" si="43"/>
        <v/>
      </c>
      <c r="AQ108" s="418" t="str">
        <f t="shared" si="43"/>
        <v/>
      </c>
      <c r="AR108" s="418" t="str">
        <f t="shared" si="43"/>
        <v/>
      </c>
      <c r="AS108" s="418" t="str">
        <f t="shared" si="43"/>
        <v/>
      </c>
      <c r="AT108" s="418" t="str">
        <f t="shared" si="40"/>
        <v/>
      </c>
      <c r="AU108" s="409"/>
      <c r="AV108" s="418" t="str">
        <f t="shared" si="41"/>
        <v/>
      </c>
      <c r="AW108" s="409"/>
      <c r="AX108" s="409"/>
      <c r="AY108" s="409"/>
      <c r="AZ108" s="409"/>
      <c r="BA108" s="455"/>
      <c r="BB108" s="411"/>
      <c r="BC108" s="411"/>
      <c r="BD108" s="411"/>
      <c r="BE108" s="456"/>
      <c r="BF108" s="409"/>
      <c r="BG108" s="409"/>
      <c r="BH108" s="409"/>
      <c r="BI108" s="266"/>
      <c r="BJ108" s="265"/>
    </row>
    <row r="109" spans="1:62" ht="14.4" customHeight="1">
      <c r="A109" s="265"/>
      <c r="B109" s="289"/>
      <c r="C109" s="289"/>
      <c r="D109" s="409"/>
      <c r="E109" s="409"/>
      <c r="F109" s="409"/>
      <c r="G109" s="464"/>
      <c r="H109" s="465"/>
      <c r="I109" s="465"/>
      <c r="J109" s="465"/>
      <c r="K109" s="466"/>
      <c r="L109" s="409"/>
      <c r="M109" s="409"/>
      <c r="N109" s="409"/>
      <c r="O109" s="409"/>
      <c r="P109" s="418" t="str">
        <f t="shared" si="34"/>
        <v/>
      </c>
      <c r="Q109" s="409"/>
      <c r="R109" s="409"/>
      <c r="S109" s="409"/>
      <c r="T109" s="409"/>
      <c r="U109" s="409"/>
      <c r="V109" s="409"/>
      <c r="W109" s="289"/>
      <c r="X109" s="289"/>
      <c r="Y109" s="289"/>
      <c r="Z109" s="397"/>
      <c r="AA109" s="399" t="str">
        <f>IF(Y105="","",VLOOKUP(Y105,big_tabela,4,0))</f>
        <v/>
      </c>
      <c r="AB109" s="400"/>
      <c r="AC109" s="634" t="str">
        <f>IF(Y105="","","anemostat")</f>
        <v/>
      </c>
      <c r="AD109" s="416" t="str">
        <f>IF(Y105="","","x"&amp;VLOOKUP(Y105,big_tabela,56,0))</f>
        <v/>
      </c>
      <c r="AE109" s="289"/>
      <c r="AF109" s="395"/>
      <c r="AG109" s="398" t="str">
        <f>IF(AK105="","",VLOOKUP(AK105,big_tabela,4,0))</f>
        <v/>
      </c>
      <c r="AH109" s="417"/>
      <c r="AI109" s="635" t="str">
        <f>IF(AK105="","","anemostat")</f>
        <v/>
      </c>
      <c r="AJ109" s="414" t="str">
        <f>IF(AK105="","","x"&amp;VLOOKUP(AK105,big_tabela,55,0))</f>
        <v/>
      </c>
      <c r="AK109" s="401"/>
      <c r="AL109" s="289"/>
      <c r="AM109" s="289"/>
      <c r="AN109" s="289"/>
      <c r="AO109" s="289"/>
      <c r="AP109" s="409"/>
      <c r="AQ109" s="409"/>
      <c r="AR109" s="409"/>
      <c r="AS109" s="409"/>
      <c r="AT109" s="409"/>
      <c r="AU109" s="409"/>
      <c r="AV109" s="418" t="str">
        <f t="shared" si="41"/>
        <v/>
      </c>
      <c r="AW109" s="409"/>
      <c r="AX109" s="409"/>
      <c r="AY109" s="409"/>
      <c r="AZ109" s="409"/>
      <c r="BA109" s="455"/>
      <c r="BB109" s="411"/>
      <c r="BC109" s="411"/>
      <c r="BD109" s="411"/>
      <c r="BE109" s="456"/>
      <c r="BF109" s="409"/>
      <c r="BG109" s="409"/>
      <c r="BH109" s="409"/>
      <c r="BI109" s="266"/>
      <c r="BJ109" s="265"/>
    </row>
    <row r="110" spans="1:62" ht="6" customHeight="1">
      <c r="A110" s="265"/>
      <c r="B110" s="289"/>
      <c r="C110" s="289"/>
      <c r="D110" s="409"/>
      <c r="E110" s="409"/>
      <c r="F110" s="409"/>
      <c r="G110" s="464"/>
      <c r="H110" s="465"/>
      <c r="I110" s="465"/>
      <c r="J110" s="465"/>
      <c r="K110" s="466"/>
      <c r="L110" s="409"/>
      <c r="M110" s="409"/>
      <c r="N110" s="409"/>
      <c r="O110" s="409"/>
      <c r="P110" s="418" t="str">
        <f t="shared" si="34"/>
        <v/>
      </c>
      <c r="Q110" s="409"/>
      <c r="R110" s="409"/>
      <c r="S110" s="409"/>
      <c r="T110" s="409"/>
      <c r="U110" s="409"/>
      <c r="V110" s="409"/>
      <c r="W110" s="289"/>
      <c r="X110" s="289"/>
      <c r="Y110" s="289"/>
      <c r="Z110" s="397"/>
      <c r="AA110" s="397"/>
      <c r="AB110" s="397"/>
      <c r="AC110" s="397"/>
      <c r="AD110" s="397"/>
      <c r="AE110" s="289"/>
      <c r="AF110" s="395"/>
      <c r="AG110" s="395"/>
      <c r="AH110" s="395"/>
      <c r="AI110" s="395"/>
      <c r="AJ110" s="395"/>
      <c r="AK110" s="289"/>
      <c r="AL110" s="289"/>
      <c r="AM110" s="289"/>
      <c r="AN110" s="289"/>
      <c r="AO110" s="289"/>
      <c r="AP110" s="409"/>
      <c r="AQ110" s="409"/>
      <c r="AR110" s="409"/>
      <c r="AS110" s="409"/>
      <c r="AT110" s="409"/>
      <c r="AU110" s="409"/>
      <c r="AV110" s="418" t="str">
        <f t="shared" si="41"/>
        <v/>
      </c>
      <c r="AW110" s="409"/>
      <c r="AX110" s="409"/>
      <c r="AY110" s="409"/>
      <c r="AZ110" s="409"/>
      <c r="BA110" s="455"/>
      <c r="BB110" s="411"/>
      <c r="BC110" s="411"/>
      <c r="BD110" s="411"/>
      <c r="BE110" s="456"/>
      <c r="BF110" s="409"/>
      <c r="BG110" s="409"/>
      <c r="BH110" s="409"/>
      <c r="BI110" s="266"/>
      <c r="BJ110" s="265"/>
    </row>
    <row r="111" spans="1:62">
      <c r="A111" s="265"/>
      <c r="B111" s="289"/>
      <c r="C111" s="289"/>
      <c r="D111" s="409"/>
      <c r="E111" s="409"/>
      <c r="F111" s="409"/>
      <c r="G111" s="464"/>
      <c r="H111" s="465"/>
      <c r="I111" s="465"/>
      <c r="J111" s="465"/>
      <c r="K111" s="466"/>
      <c r="L111" s="409"/>
      <c r="M111" s="409"/>
      <c r="N111" s="409"/>
      <c r="O111" s="409"/>
      <c r="P111" s="418" t="str">
        <f t="shared" si="34"/>
        <v/>
      </c>
      <c r="Q111" s="409"/>
      <c r="R111" s="409"/>
      <c r="S111" s="409"/>
      <c r="T111" s="409"/>
      <c r="U111" s="409"/>
      <c r="V111" s="409"/>
      <c r="W111" s="289"/>
      <c r="X111" s="289"/>
      <c r="Y111" s="289"/>
      <c r="Z111" s="289"/>
      <c r="AA111" s="289"/>
      <c r="AB111" s="289"/>
      <c r="AC111" s="289"/>
      <c r="AD111" s="289"/>
      <c r="AE111" s="289"/>
      <c r="AF111" s="289"/>
      <c r="AG111" s="289"/>
      <c r="AH111" s="289"/>
      <c r="AI111" s="289"/>
      <c r="AJ111" s="289"/>
      <c r="AK111" s="289"/>
      <c r="AL111" s="289"/>
      <c r="AM111" s="289"/>
      <c r="AN111" s="289"/>
      <c r="AO111" s="289"/>
      <c r="AP111" s="409"/>
      <c r="AQ111" s="409"/>
      <c r="AR111" s="409"/>
      <c r="AS111" s="409"/>
      <c r="AT111" s="409"/>
      <c r="AU111" s="409"/>
      <c r="AV111" s="418" t="str">
        <f t="shared" si="41"/>
        <v/>
      </c>
      <c r="AW111" s="409"/>
      <c r="AX111" s="409"/>
      <c r="AY111" s="409"/>
      <c r="AZ111" s="409"/>
      <c r="BA111" s="455"/>
      <c r="BB111" s="411"/>
      <c r="BC111" s="411"/>
      <c r="BD111" s="411"/>
      <c r="BE111" s="456"/>
      <c r="BF111" s="409"/>
      <c r="BG111" s="409"/>
      <c r="BH111" s="409"/>
      <c r="BI111" s="266"/>
      <c r="BJ111" s="265"/>
    </row>
    <row r="112" spans="1:62" ht="6" customHeight="1">
      <c r="A112" s="265"/>
      <c r="B112" s="289"/>
      <c r="C112" s="289"/>
      <c r="D112" s="409"/>
      <c r="E112" s="409"/>
      <c r="F112" s="409"/>
      <c r="G112" s="464"/>
      <c r="H112" s="465"/>
      <c r="I112" s="465"/>
      <c r="J112" s="465"/>
      <c r="K112" s="466"/>
      <c r="L112" s="409"/>
      <c r="M112" s="409"/>
      <c r="N112" s="409"/>
      <c r="O112" s="409"/>
      <c r="P112" s="418" t="str">
        <f t="shared" si="34"/>
        <v/>
      </c>
      <c r="Q112" s="409"/>
      <c r="R112" s="409"/>
      <c r="S112" s="409"/>
      <c r="T112" s="409"/>
      <c r="U112" s="409"/>
      <c r="V112" s="409"/>
      <c r="W112" s="289"/>
      <c r="X112" s="289"/>
      <c r="Y112" s="789" t="str">
        <f>IF(Obliczenia!E74="10","",Obliczenia!E74)</f>
        <v/>
      </c>
      <c r="Z112" s="397"/>
      <c r="AA112" s="397"/>
      <c r="AB112" s="397"/>
      <c r="AC112" s="397"/>
      <c r="AD112" s="397"/>
      <c r="AE112" s="289"/>
      <c r="AF112" s="395"/>
      <c r="AG112" s="395"/>
      <c r="AH112" s="395"/>
      <c r="AI112" s="395"/>
      <c r="AJ112" s="395"/>
      <c r="AK112" s="789" t="str">
        <f>IF(Obliczenia!E50="10","",Obliczenia!E50)</f>
        <v/>
      </c>
      <c r="AL112" s="289"/>
      <c r="AM112" s="289"/>
      <c r="AN112" s="289"/>
      <c r="AO112" s="289"/>
      <c r="AP112" s="409"/>
      <c r="AQ112" s="409"/>
      <c r="AR112" s="409"/>
      <c r="AS112" s="409"/>
      <c r="AT112" s="409"/>
      <c r="AU112" s="409"/>
      <c r="AV112" s="418" t="str">
        <f t="shared" si="41"/>
        <v/>
      </c>
      <c r="AW112" s="409"/>
      <c r="AX112" s="409"/>
      <c r="AY112" s="409"/>
      <c r="AZ112" s="409"/>
      <c r="BA112" s="455"/>
      <c r="BB112" s="411"/>
      <c r="BC112" s="411"/>
      <c r="BD112" s="411"/>
      <c r="BE112" s="456"/>
      <c r="BF112" s="409"/>
      <c r="BG112" s="409"/>
      <c r="BH112" s="409"/>
      <c r="BI112" s="266"/>
      <c r="BJ112" s="265"/>
    </row>
    <row r="113" spans="1:62" ht="14.4" customHeight="1">
      <c r="A113" s="265"/>
      <c r="B113" s="289"/>
      <c r="C113" s="289"/>
      <c r="D113" s="409"/>
      <c r="E113" s="409"/>
      <c r="F113" s="409"/>
      <c r="G113" s="464"/>
      <c r="H113" s="465"/>
      <c r="I113" s="465"/>
      <c r="J113" s="465"/>
      <c r="K113" s="466"/>
      <c r="L113" s="409"/>
      <c r="M113" s="409"/>
      <c r="N113" s="409"/>
      <c r="O113" s="409"/>
      <c r="P113" s="418" t="str">
        <f t="shared" si="34"/>
        <v/>
      </c>
      <c r="Q113" s="409"/>
      <c r="R113" s="409"/>
      <c r="S113" s="409"/>
      <c r="T113" s="409"/>
      <c r="U113" s="409"/>
      <c r="V113" s="409"/>
      <c r="W113" s="289"/>
      <c r="X113" s="4" t="str">
        <f>IF(Y112&lt;&gt;"","1","")</f>
        <v/>
      </c>
      <c r="Y113" s="789"/>
      <c r="Z113" s="397"/>
      <c r="AA113" s="772" t="str">
        <f>IF(Y112="","",VLOOKUP(Y112,big_tabela,3,0))</f>
        <v/>
      </c>
      <c r="AB113" s="772"/>
      <c r="AC113" s="773" t="str">
        <f>IF(Y112="","",VLOOKUP(Y112,big_tabela,12,0))</f>
        <v/>
      </c>
      <c r="AD113" s="774" t="s">
        <v>373</v>
      </c>
      <c r="AE113" s="289"/>
      <c r="AF113" s="395"/>
      <c r="AG113" s="783" t="str">
        <f>IF(AK112="","",VLOOKUP(AK112,big_tabela,3,0))</f>
        <v/>
      </c>
      <c r="AH113" s="783"/>
      <c r="AI113" s="784" t="str">
        <f>IF(AK112="","",VLOOKUP(AK112,big_tabela,12,0))</f>
        <v/>
      </c>
      <c r="AJ113" s="767" t="s">
        <v>373</v>
      </c>
      <c r="AK113" s="789"/>
      <c r="AL113" t="str">
        <f>IF(AK112&lt;&gt;"","1","")</f>
        <v/>
      </c>
      <c r="AM113" s="289"/>
      <c r="AN113" s="289"/>
      <c r="AO113" s="289"/>
      <c r="AP113" s="409"/>
      <c r="AQ113" s="409"/>
      <c r="AR113" s="409"/>
      <c r="AS113" s="409"/>
      <c r="AT113" s="409"/>
      <c r="AU113" s="409"/>
      <c r="AV113" s="418" t="str">
        <f t="shared" si="41"/>
        <v/>
      </c>
      <c r="AW113" s="409"/>
      <c r="AX113" s="409"/>
      <c r="AY113" s="409"/>
      <c r="AZ113" s="409"/>
      <c r="BA113" s="455"/>
      <c r="BB113" s="411"/>
      <c r="BC113" s="411"/>
      <c r="BD113" s="411"/>
      <c r="BE113" s="456"/>
      <c r="BF113" s="409"/>
      <c r="BG113" s="409"/>
      <c r="BH113" s="409"/>
      <c r="BI113" s="266"/>
      <c r="BJ113" s="265"/>
    </row>
    <row r="114" spans="1:62" ht="14.4" customHeight="1">
      <c r="A114" s="265"/>
      <c r="B114" s="289"/>
      <c r="C114" s="289"/>
      <c r="D114" s="409"/>
      <c r="E114" s="409"/>
      <c r="F114" s="409"/>
      <c r="G114" s="464"/>
      <c r="H114" s="465"/>
      <c r="I114" s="465"/>
      <c r="J114" s="465"/>
      <c r="K114" s="466"/>
      <c r="L114" s="409"/>
      <c r="M114" s="409"/>
      <c r="N114" s="409"/>
      <c r="O114" s="409"/>
      <c r="P114" s="418" t="str">
        <f t="shared" si="34"/>
        <v/>
      </c>
      <c r="Q114" s="409"/>
      <c r="R114" s="409"/>
      <c r="S114" s="409"/>
      <c r="T114" s="409"/>
      <c r="U114" s="409"/>
      <c r="V114" s="409"/>
      <c r="W114" s="494" t="str">
        <f>IF(Y112="","","Φ90")</f>
        <v/>
      </c>
      <c r="X114" s="495" t="str">
        <f>IF(Y112="","","x"&amp;VLOOKUP(Y112,big_tabela,53,0))</f>
        <v/>
      </c>
      <c r="Y114" s="403" t="str">
        <f>IF(Y112="","","◄")</f>
        <v/>
      </c>
      <c r="Z114" s="397"/>
      <c r="AA114" s="772"/>
      <c r="AB114" s="772"/>
      <c r="AC114" s="773"/>
      <c r="AD114" s="774"/>
      <c r="AE114" s="289"/>
      <c r="AF114" s="395"/>
      <c r="AG114" s="783"/>
      <c r="AH114" s="783"/>
      <c r="AI114" s="784"/>
      <c r="AJ114" s="767"/>
      <c r="AK114" s="402" t="str">
        <f>IF(AK112="","","◄")</f>
        <v/>
      </c>
      <c r="AL114" s="494" t="str">
        <f>IF(AK112="","","Φ90")</f>
        <v/>
      </c>
      <c r="AM114" s="495" t="str">
        <f>IF(AK112="","","x"&amp;VLOOKUP(AK112,big_tabela,52,0))</f>
        <v/>
      </c>
      <c r="AN114" s="289"/>
      <c r="AO114" s="289"/>
      <c r="AP114" s="409"/>
      <c r="AQ114" s="409"/>
      <c r="AR114" s="409"/>
      <c r="AS114" s="409"/>
      <c r="AT114" s="409"/>
      <c r="AU114" s="409"/>
      <c r="AV114" s="418" t="str">
        <f t="shared" si="41"/>
        <v/>
      </c>
      <c r="AW114" s="409"/>
      <c r="AX114" s="409"/>
      <c r="AY114" s="409"/>
      <c r="AZ114" s="409"/>
      <c r="BA114" s="455"/>
      <c r="BB114" s="411"/>
      <c r="BC114" s="411"/>
      <c r="BD114" s="411"/>
      <c r="BE114" s="456"/>
      <c r="BF114" s="409"/>
      <c r="BG114" s="409"/>
      <c r="BH114" s="409"/>
      <c r="BI114" s="266"/>
      <c r="BJ114" s="265"/>
    </row>
    <row r="115" spans="1:62" ht="3" customHeight="1">
      <c r="A115" s="265"/>
      <c r="B115" s="289"/>
      <c r="C115" s="404"/>
      <c r="D115" s="409"/>
      <c r="E115" s="409"/>
      <c r="F115" s="409"/>
      <c r="G115" s="464"/>
      <c r="H115" s="465"/>
      <c r="I115" s="465"/>
      <c r="J115" s="465"/>
      <c r="K115" s="466"/>
      <c r="L115" s="409"/>
      <c r="M115" s="409"/>
      <c r="N115" s="409"/>
      <c r="O115" s="409"/>
      <c r="P115" s="418" t="str">
        <f t="shared" si="34"/>
        <v/>
      </c>
      <c r="Q115" s="418" t="str">
        <f t="shared" si="34"/>
        <v/>
      </c>
      <c r="R115" s="418" t="str">
        <f t="shared" si="34"/>
        <v/>
      </c>
      <c r="S115" s="418" t="str">
        <f t="shared" si="34"/>
        <v/>
      </c>
      <c r="T115" s="418" t="str">
        <f t="shared" si="34"/>
        <v/>
      </c>
      <c r="U115" s="418" t="str">
        <f t="shared" si="34"/>
        <v/>
      </c>
      <c r="V115" s="418" t="str">
        <f t="shared" si="34"/>
        <v/>
      </c>
      <c r="W115" s="418" t="str">
        <f t="shared" si="34"/>
        <v/>
      </c>
      <c r="X115" s="418" t="str">
        <f t="shared" si="34"/>
        <v/>
      </c>
      <c r="Y115" s="418" t="str">
        <f>$X$113</f>
        <v/>
      </c>
      <c r="Z115" s="397"/>
      <c r="AA115" s="412"/>
      <c r="AB115" s="412"/>
      <c r="AC115" s="415"/>
      <c r="AD115" s="416"/>
      <c r="AE115" s="289"/>
      <c r="AF115" s="395"/>
      <c r="AG115" s="421"/>
      <c r="AH115" s="421"/>
      <c r="AI115" s="413"/>
      <c r="AJ115" s="414"/>
      <c r="AK115" s="418" t="str">
        <f t="shared" ref="AK115:AU115" si="44">$AL$113</f>
        <v/>
      </c>
      <c r="AL115" s="418" t="str">
        <f t="shared" si="44"/>
        <v/>
      </c>
      <c r="AM115" s="418" t="str">
        <f t="shared" si="44"/>
        <v/>
      </c>
      <c r="AN115" s="418" t="str">
        <f t="shared" si="44"/>
        <v/>
      </c>
      <c r="AO115" s="418" t="str">
        <f t="shared" si="44"/>
        <v/>
      </c>
      <c r="AP115" s="418" t="str">
        <f t="shared" si="44"/>
        <v/>
      </c>
      <c r="AQ115" s="418" t="str">
        <f t="shared" si="44"/>
        <v/>
      </c>
      <c r="AR115" s="418" t="str">
        <f t="shared" si="44"/>
        <v/>
      </c>
      <c r="AS115" s="418" t="str">
        <f t="shared" si="44"/>
        <v/>
      </c>
      <c r="AT115" s="418" t="str">
        <f t="shared" si="44"/>
        <v/>
      </c>
      <c r="AU115" s="418" t="str">
        <f t="shared" si="44"/>
        <v/>
      </c>
      <c r="AV115" s="418" t="str">
        <f t="shared" si="41"/>
        <v/>
      </c>
      <c r="AW115" s="409"/>
      <c r="AX115" s="409"/>
      <c r="AY115" s="409"/>
      <c r="AZ115" s="409"/>
      <c r="BA115" s="455"/>
      <c r="BB115" s="411"/>
      <c r="BC115" s="411"/>
      <c r="BD115" s="411"/>
      <c r="BE115" s="456"/>
      <c r="BF115" s="409"/>
      <c r="BG115" s="409"/>
      <c r="BH115" s="409"/>
      <c r="BI115" s="266"/>
      <c r="BJ115" s="265"/>
    </row>
    <row r="116" spans="1:62" ht="14.4" customHeight="1">
      <c r="A116" s="265"/>
      <c r="B116" s="289"/>
      <c r="C116" s="289"/>
      <c r="D116" s="409"/>
      <c r="E116" s="409"/>
      <c r="F116" s="409"/>
      <c r="G116" s="464"/>
      <c r="H116" s="465"/>
      <c r="I116" s="465"/>
      <c r="J116" s="465"/>
      <c r="K116" s="466"/>
      <c r="L116" s="409"/>
      <c r="M116" s="409"/>
      <c r="N116" s="409"/>
      <c r="O116" s="409"/>
      <c r="P116" s="409"/>
      <c r="Q116" s="409"/>
      <c r="R116" s="409"/>
      <c r="S116" s="409"/>
      <c r="T116" s="409"/>
      <c r="U116" s="409"/>
      <c r="V116" s="409"/>
      <c r="W116" s="289"/>
      <c r="X116" s="289"/>
      <c r="Y116" s="289"/>
      <c r="Z116" s="397"/>
      <c r="AA116" s="399" t="str">
        <f>IF(Y112="","",VLOOKUP(Y112,big_tabela,4,0))</f>
        <v/>
      </c>
      <c r="AB116" s="400"/>
      <c r="AC116" s="634" t="str">
        <f>IF(Y112="","","anemostat")</f>
        <v/>
      </c>
      <c r="AD116" s="416" t="str">
        <f>IF(Y112="","","x"&amp;VLOOKUP(Y112,big_tabela,56,0))</f>
        <v/>
      </c>
      <c r="AE116" s="289"/>
      <c r="AF116" s="395"/>
      <c r="AG116" s="398" t="str">
        <f>IF(AK112="","",VLOOKUP(AK112,big_tabela,4,0))</f>
        <v/>
      </c>
      <c r="AH116" s="417"/>
      <c r="AI116" s="635" t="str">
        <f>IF(AK112="","","anemostat")</f>
        <v/>
      </c>
      <c r="AJ116" s="414" t="str">
        <f>IF(AK112="","","x"&amp;VLOOKUP(AK112,big_tabela,55,0))</f>
        <v/>
      </c>
      <c r="AK116" s="401"/>
      <c r="AL116" s="289"/>
      <c r="AM116" s="289"/>
      <c r="AN116" s="289"/>
      <c r="AO116" s="289"/>
      <c r="AP116" s="409"/>
      <c r="AQ116" s="409"/>
      <c r="AR116" s="409"/>
      <c r="AS116" s="409"/>
      <c r="AT116" s="409"/>
      <c r="AU116" s="409"/>
      <c r="AV116" s="409"/>
      <c r="AW116" s="409"/>
      <c r="AX116" s="409"/>
      <c r="AY116" s="409"/>
      <c r="AZ116" s="409"/>
      <c r="BA116" s="455"/>
      <c r="BB116" s="411"/>
      <c r="BC116" s="411"/>
      <c r="BD116" s="411"/>
      <c r="BE116" s="456"/>
      <c r="BF116" s="409"/>
      <c r="BG116" s="409"/>
      <c r="BH116" s="409"/>
      <c r="BI116" s="266"/>
      <c r="BJ116" s="265"/>
    </row>
    <row r="117" spans="1:62" ht="6" customHeight="1">
      <c r="A117" s="265"/>
      <c r="B117" s="289"/>
      <c r="C117" s="289"/>
      <c r="D117" s="409"/>
      <c r="E117" s="409"/>
      <c r="F117" s="409"/>
      <c r="G117" s="464"/>
      <c r="H117" s="465"/>
      <c r="I117" s="465"/>
      <c r="J117" s="465"/>
      <c r="K117" s="466"/>
      <c r="L117" s="409"/>
      <c r="M117" s="409"/>
      <c r="N117" s="409"/>
      <c r="O117" s="409"/>
      <c r="P117" s="409"/>
      <c r="Q117" s="409"/>
      <c r="R117" s="409"/>
      <c r="S117" s="409"/>
      <c r="T117" s="409"/>
      <c r="U117" s="409"/>
      <c r="V117" s="409"/>
      <c r="W117" s="289"/>
      <c r="X117" s="289"/>
      <c r="Y117" s="289"/>
      <c r="Z117" s="397"/>
      <c r="AA117" s="397"/>
      <c r="AB117" s="397"/>
      <c r="AC117" s="397"/>
      <c r="AD117" s="397"/>
      <c r="AE117" s="289"/>
      <c r="AF117" s="395"/>
      <c r="AG117" s="395"/>
      <c r="AH117" s="395"/>
      <c r="AI117" s="395"/>
      <c r="AJ117" s="395"/>
      <c r="AK117" s="289"/>
      <c r="AL117" s="289"/>
      <c r="AM117" s="289"/>
      <c r="AN117" s="289"/>
      <c r="AO117" s="289"/>
      <c r="AP117" s="409"/>
      <c r="AQ117" s="409"/>
      <c r="AR117" s="409"/>
      <c r="AS117" s="409"/>
      <c r="AT117" s="409"/>
      <c r="AU117" s="409"/>
      <c r="AV117" s="409"/>
      <c r="AW117" s="409"/>
      <c r="AX117" s="409"/>
      <c r="AY117" s="409"/>
      <c r="AZ117" s="409"/>
      <c r="BA117" s="455"/>
      <c r="BB117" s="411"/>
      <c r="BC117" s="411"/>
      <c r="BD117" s="411"/>
      <c r="BE117" s="456"/>
      <c r="BF117" s="409"/>
      <c r="BG117" s="409"/>
      <c r="BH117" s="409"/>
      <c r="BI117" s="266"/>
      <c r="BJ117" s="265"/>
    </row>
    <row r="118" spans="1:62">
      <c r="A118" s="265"/>
      <c r="B118" s="289"/>
      <c r="C118" s="289"/>
      <c r="D118" s="409"/>
      <c r="E118" s="409"/>
      <c r="F118" s="409"/>
      <c r="G118" s="464"/>
      <c r="H118" s="465"/>
      <c r="I118" s="465"/>
      <c r="J118" s="465"/>
      <c r="K118" s="466"/>
      <c r="L118" s="409"/>
      <c r="M118" s="409"/>
      <c r="N118" s="409"/>
      <c r="O118" s="409"/>
      <c r="P118" s="409"/>
      <c r="Q118" s="409"/>
      <c r="R118" s="409"/>
      <c r="S118" s="409"/>
      <c r="T118" s="409"/>
      <c r="U118" s="409"/>
      <c r="V118" s="409"/>
      <c r="W118" s="289"/>
      <c r="X118" s="289"/>
      <c r="Y118" s="289"/>
      <c r="Z118" s="289"/>
      <c r="AA118" s="289"/>
      <c r="AB118" s="289"/>
      <c r="AC118" s="289"/>
      <c r="AD118" s="289"/>
      <c r="AE118" s="289"/>
      <c r="AF118" s="289"/>
      <c r="AG118" s="289"/>
      <c r="AH118" s="289"/>
      <c r="AI118" s="289"/>
      <c r="AJ118" s="289"/>
      <c r="AK118" s="289"/>
      <c r="AL118" s="289"/>
      <c r="AM118" s="289"/>
      <c r="AN118" s="289"/>
      <c r="AO118" s="289"/>
      <c r="AP118" s="409"/>
      <c r="AQ118" s="409"/>
      <c r="AR118" s="409"/>
      <c r="AS118" s="409"/>
      <c r="AT118" s="409"/>
      <c r="AU118" s="409"/>
      <c r="AV118" s="409"/>
      <c r="AW118" s="409"/>
      <c r="AX118" s="409"/>
      <c r="AY118" s="409"/>
      <c r="AZ118" s="409"/>
      <c r="BA118" s="455"/>
      <c r="BB118" s="411"/>
      <c r="BC118" s="411"/>
      <c r="BD118" s="411"/>
      <c r="BE118" s="456"/>
      <c r="BF118" s="409"/>
      <c r="BG118" s="409"/>
      <c r="BH118" s="409"/>
      <c r="BI118" s="266"/>
      <c r="BJ118" s="265"/>
    </row>
    <row r="119" spans="1:62">
      <c r="A119" s="265"/>
      <c r="B119" s="289"/>
      <c r="C119" s="289"/>
      <c r="D119" s="409"/>
      <c r="E119" s="409"/>
      <c r="F119" s="409"/>
      <c r="G119" s="464"/>
      <c r="H119" s="465"/>
      <c r="I119" s="465"/>
      <c r="J119" s="465"/>
      <c r="K119" s="466"/>
      <c r="L119" s="409"/>
      <c r="M119" s="409"/>
      <c r="N119" s="409"/>
      <c r="O119" s="409"/>
      <c r="P119" s="409"/>
      <c r="Q119" s="409"/>
      <c r="R119" s="409"/>
      <c r="S119" s="409"/>
      <c r="T119" s="409"/>
      <c r="U119" s="409"/>
      <c r="V119" s="409"/>
      <c r="W119" s="289"/>
      <c r="X119" s="289"/>
      <c r="Y119" s="289"/>
      <c r="Z119" s="289"/>
      <c r="AA119" s="289"/>
      <c r="AB119" s="289"/>
      <c r="AC119" s="792" t="str">
        <f>X137</f>
        <v>Vitovent 300-W 400m3/h lewa</v>
      </c>
      <c r="AD119" s="792"/>
      <c r="AE119" s="792"/>
      <c r="AF119" s="792"/>
      <c r="AG119" s="792"/>
      <c r="AH119" s="792"/>
      <c r="AI119" s="289"/>
      <c r="AJ119" s="289"/>
      <c r="AK119" s="289"/>
      <c r="AL119" s="289"/>
      <c r="AM119" s="289"/>
      <c r="AN119" s="289"/>
      <c r="AO119" s="289"/>
      <c r="AP119" s="409"/>
      <c r="AQ119" s="409"/>
      <c r="AR119" s="409"/>
      <c r="AS119" s="409"/>
      <c r="AT119" s="409"/>
      <c r="AU119" s="409"/>
      <c r="AV119" s="409"/>
      <c r="AW119" s="409"/>
      <c r="AX119" s="409"/>
      <c r="AY119" s="409"/>
      <c r="AZ119" s="409"/>
      <c r="BA119" s="455"/>
      <c r="BB119" s="411"/>
      <c r="BC119" s="411"/>
      <c r="BD119" s="411"/>
      <c r="BE119" s="456"/>
      <c r="BF119" s="409"/>
      <c r="BG119" s="409"/>
      <c r="BH119" s="409"/>
      <c r="BI119" s="266"/>
      <c r="BJ119" s="265"/>
    </row>
    <row r="120" spans="1:62">
      <c r="A120" s="265"/>
      <c r="B120" s="289"/>
      <c r="C120" s="289"/>
      <c r="D120" s="409"/>
      <c r="E120" s="409"/>
      <c r="F120" s="409"/>
      <c r="G120" s="464"/>
      <c r="H120" s="465"/>
      <c r="I120" s="465"/>
      <c r="J120" s="465"/>
      <c r="K120" s="466"/>
      <c r="L120" s="409"/>
      <c r="M120" s="409"/>
      <c r="N120" s="409"/>
      <c r="O120" s="409"/>
      <c r="P120" s="409"/>
      <c r="Q120" s="409"/>
      <c r="R120" s="409"/>
      <c r="S120" s="409"/>
      <c r="T120" s="409"/>
      <c r="U120" s="409"/>
      <c r="V120" s="409"/>
      <c r="W120" s="289"/>
      <c r="X120" s="289"/>
      <c r="Y120" s="289"/>
      <c r="Z120" s="289"/>
      <c r="AA120" s="289"/>
      <c r="AB120" s="289"/>
      <c r="AC120" s="289"/>
      <c r="AD120" s="289"/>
      <c r="AE120" s="289"/>
      <c r="AF120" s="289"/>
      <c r="AG120" s="289"/>
      <c r="AH120" s="289"/>
      <c r="AI120" s="289"/>
      <c r="AJ120" s="289"/>
      <c r="AK120" s="289"/>
      <c r="AL120" s="289"/>
      <c r="AM120" s="289"/>
      <c r="AN120" s="289"/>
      <c r="AO120" s="289"/>
      <c r="AP120" s="409"/>
      <c r="AQ120" s="409"/>
      <c r="AR120" s="409"/>
      <c r="AS120" s="409"/>
      <c r="AT120" s="409"/>
      <c r="AU120" s="409"/>
      <c r="AV120" s="409"/>
      <c r="AW120" s="409"/>
      <c r="AX120" s="409"/>
      <c r="AY120" s="409"/>
      <c r="AZ120" s="409"/>
      <c r="BA120" s="455"/>
      <c r="BB120" s="411"/>
      <c r="BC120" s="411"/>
      <c r="BD120" s="411"/>
      <c r="BE120" s="456"/>
      <c r="BF120" s="409"/>
      <c r="BG120" s="409"/>
      <c r="BH120" s="409"/>
      <c r="BI120" s="266"/>
      <c r="BJ120" s="265"/>
    </row>
    <row r="121" spans="1:62">
      <c r="A121" s="265"/>
      <c r="B121" s="289"/>
      <c r="C121" s="289"/>
      <c r="D121" s="409"/>
      <c r="E121" s="409"/>
      <c r="F121" s="409"/>
      <c r="G121" s="464"/>
      <c r="H121" s="465"/>
      <c r="I121" s="465"/>
      <c r="J121" s="465"/>
      <c r="K121" s="466"/>
      <c r="L121" s="409"/>
      <c r="M121" s="409"/>
      <c r="N121" s="409"/>
      <c r="O121" s="409"/>
      <c r="P121" s="409"/>
      <c r="Q121" s="409"/>
      <c r="R121" s="409"/>
      <c r="S121" s="409"/>
      <c r="T121" s="409"/>
      <c r="U121" s="409"/>
      <c r="V121" s="409"/>
      <c r="W121" s="289"/>
      <c r="X121" s="289"/>
      <c r="Y121" s="289"/>
      <c r="Z121" s="289"/>
      <c r="AA121" s="289"/>
      <c r="AB121" s="289"/>
      <c r="AC121" s="289"/>
      <c r="AD121" s="289"/>
      <c r="AE121" s="289"/>
      <c r="AF121" s="289"/>
      <c r="AG121" s="289"/>
      <c r="AH121" s="289"/>
      <c r="AI121" s="289"/>
      <c r="AJ121" s="289"/>
      <c r="AK121" s="289"/>
      <c r="AL121" s="289"/>
      <c r="AM121" s="289"/>
      <c r="AN121" s="289"/>
      <c r="AO121" s="289"/>
      <c r="AP121" s="409"/>
      <c r="AQ121" s="409"/>
      <c r="AR121" s="409"/>
      <c r="AS121" s="409"/>
      <c r="AT121" s="409"/>
      <c r="AU121" s="409"/>
      <c r="AV121" s="409"/>
      <c r="AW121" s="409"/>
      <c r="AX121" s="409"/>
      <c r="AY121" s="409"/>
      <c r="AZ121" s="409"/>
      <c r="BA121" s="455"/>
      <c r="BB121" s="411"/>
      <c r="BC121" s="411"/>
      <c r="BD121" s="411"/>
      <c r="BE121" s="456"/>
      <c r="BF121" s="409"/>
      <c r="BG121" s="409"/>
      <c r="BH121" s="409"/>
      <c r="BI121" s="266"/>
      <c r="BJ121" s="265"/>
    </row>
    <row r="122" spans="1:62" ht="19.2" customHeight="1">
      <c r="A122" s="265"/>
      <c r="B122" s="289"/>
      <c r="C122" s="289"/>
      <c r="D122" s="409"/>
      <c r="E122" s="409"/>
      <c r="F122" s="409"/>
      <c r="G122" s="467"/>
      <c r="H122" s="468"/>
      <c r="I122" s="468"/>
      <c r="J122" s="468"/>
      <c r="K122" s="468"/>
      <c r="L122" s="470"/>
      <c r="M122" s="470"/>
      <c r="N122" s="470"/>
      <c r="O122" s="470"/>
      <c r="P122" s="470"/>
      <c r="Q122" s="470"/>
      <c r="R122" s="470"/>
      <c r="S122" s="470"/>
      <c r="T122" s="470"/>
      <c r="U122" s="470"/>
      <c r="V122" s="470"/>
      <c r="W122" s="471"/>
      <c r="X122" s="621" t="str">
        <f>"Kanał zbiorczy 200/174, króciec przyłączeniowy Φ "&amp;Obliczenia!AN59</f>
        <v>Kanał zbiorczy 200/174, króciec przyłączeniowy Φ 180</v>
      </c>
      <c r="Y122" s="471"/>
      <c r="Z122" s="471"/>
      <c r="AA122" s="471"/>
      <c r="AB122" s="471"/>
      <c r="AC122" s="599"/>
      <c r="AD122" s="289"/>
      <c r="AE122" s="289"/>
      <c r="AF122" s="289"/>
      <c r="AG122" s="289"/>
      <c r="AH122" s="620" t="str">
        <f>"            Kanał zbiorczy 200/174, króciec przyłączeniowy Φ "&amp;Obliczenia!AN59</f>
        <v xml:space="preserve">            Kanał zbiorczy 200/174, króciec przyłączeniowy Φ 180</v>
      </c>
      <c r="AI122" s="453"/>
      <c r="AJ122" s="453"/>
      <c r="AK122" s="453"/>
      <c r="AL122" s="453"/>
      <c r="AM122" s="453"/>
      <c r="AN122" s="453"/>
      <c r="AO122" s="453"/>
      <c r="AP122" s="454"/>
      <c r="AQ122" s="454"/>
      <c r="AR122" s="454"/>
      <c r="AS122" s="454"/>
      <c r="AT122" s="454"/>
      <c r="AU122" s="454"/>
      <c r="AV122" s="454"/>
      <c r="AW122" s="454"/>
      <c r="AX122" s="454"/>
      <c r="AY122" s="454"/>
      <c r="AZ122" s="454"/>
      <c r="BA122" s="451"/>
      <c r="BB122" s="451"/>
      <c r="BC122" s="451"/>
      <c r="BD122" s="451"/>
      <c r="BE122" s="457"/>
      <c r="BF122" s="409"/>
      <c r="BG122" s="409"/>
      <c r="BH122" s="409"/>
      <c r="BI122" s="266"/>
      <c r="BJ122" s="265"/>
    </row>
    <row r="123" spans="1:62">
      <c r="A123" s="265"/>
      <c r="B123" s="289"/>
      <c r="C123" s="289"/>
      <c r="D123" s="409"/>
      <c r="E123" s="409"/>
      <c r="F123" s="409"/>
      <c r="G123" s="409"/>
      <c r="H123" s="409"/>
      <c r="I123" s="409"/>
      <c r="J123" s="409"/>
      <c r="K123" s="409"/>
      <c r="L123" s="409"/>
      <c r="M123" s="409"/>
      <c r="N123" s="409"/>
      <c r="O123" s="409"/>
      <c r="P123" s="409"/>
      <c r="Q123" s="409"/>
      <c r="R123" s="409"/>
      <c r="S123" s="409"/>
      <c r="T123" s="409"/>
      <c r="U123" s="409"/>
      <c r="V123" s="409"/>
      <c r="W123" s="289"/>
      <c r="X123" s="289"/>
      <c r="Y123" s="289"/>
      <c r="Z123" s="289"/>
      <c r="AA123" s="289"/>
      <c r="AB123" s="289"/>
      <c r="AC123" s="289"/>
      <c r="AD123" s="289"/>
      <c r="AE123" s="289"/>
      <c r="AF123" s="289"/>
      <c r="AG123" s="289"/>
      <c r="AH123" s="289"/>
      <c r="AI123" s="289"/>
      <c r="AJ123" s="289"/>
      <c r="AK123" s="289"/>
      <c r="AL123" s="289"/>
      <c r="AM123" s="289"/>
      <c r="AN123" s="289"/>
      <c r="AO123" s="289"/>
      <c r="AP123" s="409"/>
      <c r="AQ123" s="409"/>
      <c r="AR123" s="409"/>
      <c r="AS123" s="409"/>
      <c r="AT123" s="409"/>
      <c r="AU123" s="409"/>
      <c r="AV123" s="409"/>
      <c r="AW123" s="409"/>
      <c r="AX123" s="409"/>
      <c r="AY123" s="409"/>
      <c r="AZ123" s="409"/>
      <c r="BA123" s="409"/>
      <c r="BB123" s="409"/>
      <c r="BC123" s="409"/>
      <c r="BD123" s="409"/>
      <c r="BE123" s="409"/>
      <c r="BF123" s="409"/>
      <c r="BG123" s="409"/>
      <c r="BH123" s="409"/>
      <c r="BI123" s="266"/>
      <c r="BJ123" s="265"/>
    </row>
    <row r="124" spans="1:62">
      <c r="A124" s="265"/>
      <c r="B124" s="289"/>
      <c r="C124" s="289"/>
      <c r="D124" s="409"/>
      <c r="E124" s="409"/>
      <c r="F124" s="409"/>
      <c r="G124" s="409"/>
      <c r="H124" s="409"/>
      <c r="I124" s="409"/>
      <c r="J124" s="409"/>
      <c r="K124" s="409"/>
      <c r="L124" s="409"/>
      <c r="M124" s="409"/>
      <c r="N124" s="409"/>
      <c r="O124" s="409"/>
      <c r="P124" s="409"/>
      <c r="Q124" s="409"/>
      <c r="R124" s="409"/>
      <c r="S124" s="409"/>
      <c r="T124" s="409"/>
      <c r="U124" s="409"/>
      <c r="V124" s="409"/>
      <c r="W124" s="622"/>
      <c r="X124" s="289"/>
      <c r="Y124" s="289"/>
      <c r="Z124" s="289"/>
      <c r="AA124" s="289"/>
      <c r="AB124" s="289"/>
      <c r="AC124" s="289"/>
      <c r="AD124" s="289"/>
      <c r="AE124" s="289"/>
      <c r="AF124" s="289"/>
      <c r="AG124" s="289"/>
      <c r="AH124" s="289"/>
      <c r="AI124" s="289"/>
      <c r="AJ124" s="289"/>
      <c r="AK124" s="289"/>
      <c r="AL124" s="289"/>
      <c r="AM124" s="538"/>
      <c r="AN124" s="289"/>
      <c r="AO124" s="289"/>
      <c r="AP124" s="409"/>
      <c r="AQ124" s="409"/>
      <c r="AR124" s="409"/>
      <c r="AS124" s="409"/>
      <c r="AT124" s="409"/>
      <c r="AU124" s="409"/>
      <c r="AV124" s="409"/>
      <c r="AW124" s="409"/>
      <c r="AX124" s="409"/>
      <c r="AY124" s="409"/>
      <c r="AZ124" s="409"/>
      <c r="BA124" s="409"/>
      <c r="BB124" s="409"/>
      <c r="BC124" s="409"/>
      <c r="BD124" s="409"/>
      <c r="BE124" s="409"/>
      <c r="BF124" s="409"/>
      <c r="BG124" s="409"/>
      <c r="BH124" s="409"/>
      <c r="BI124" s="266"/>
      <c r="BJ124" s="265"/>
    </row>
    <row r="125" spans="1:62" ht="19.2" customHeight="1">
      <c r="A125" s="265"/>
      <c r="B125" s="289"/>
      <c r="C125" s="289"/>
      <c r="D125" s="409"/>
      <c r="E125" s="409"/>
      <c r="F125" s="409"/>
      <c r="G125" s="409"/>
      <c r="H125" s="409"/>
      <c r="I125" s="409"/>
      <c r="J125" s="409"/>
      <c r="K125" s="409"/>
      <c r="L125" s="409"/>
      <c r="M125" s="409"/>
      <c r="N125" s="409"/>
      <c r="O125" s="409"/>
      <c r="P125" s="409"/>
      <c r="Q125" s="409"/>
      <c r="R125" s="409"/>
      <c r="S125" s="409"/>
      <c r="T125" s="409"/>
      <c r="U125" s="409"/>
      <c r="V125" s="409"/>
      <c r="W125" s="623"/>
      <c r="X125" s="620" t="str">
        <f>"Kanał zbiorczy 200/174, króciec przyłączeniowy Φ "&amp;Obliczenia!AN59</f>
        <v>Kanał zbiorczy 200/174, króciec przyłączeniowy Φ 180</v>
      </c>
      <c r="Y125" s="453"/>
      <c r="Z125" s="453"/>
      <c r="AA125" s="452"/>
      <c r="AB125" s="453"/>
      <c r="AC125" s="493"/>
      <c r="AD125" s="289"/>
      <c r="AE125" s="289"/>
      <c r="AF125" s="289"/>
      <c r="AG125" s="289"/>
      <c r="AH125" s="621" t="str">
        <f>"            Kanał zbiorczy 200/174, króciec przyłączeniowy Φ "&amp;Obliczenia!AN59</f>
        <v xml:space="preserve">            Kanał zbiorczy 200/174, króciec przyłączeniowy Φ 180</v>
      </c>
      <c r="AI125" s="471"/>
      <c r="AJ125" s="471"/>
      <c r="AK125" s="471"/>
      <c r="AL125" s="471"/>
      <c r="AM125" s="624"/>
      <c r="AN125" s="289"/>
      <c r="AO125" s="289"/>
      <c r="AP125" s="409"/>
      <c r="AQ125" s="409"/>
      <c r="AR125" s="409"/>
      <c r="AS125" s="409"/>
      <c r="AT125" s="409"/>
      <c r="AU125" s="409"/>
      <c r="AV125" s="409"/>
      <c r="AW125" s="409"/>
      <c r="AX125" s="409"/>
      <c r="AY125" s="409"/>
      <c r="AZ125" s="409"/>
      <c r="BA125" s="409"/>
      <c r="BB125" s="409"/>
      <c r="BC125" s="409"/>
      <c r="BD125" s="409"/>
      <c r="BE125" s="409"/>
      <c r="BF125" s="409"/>
      <c r="BG125" s="409"/>
      <c r="BH125" s="409"/>
      <c r="BI125" s="266"/>
      <c r="BJ125" s="265"/>
    </row>
    <row r="126" spans="1:62">
      <c r="A126" s="265"/>
      <c r="B126" s="289"/>
      <c r="C126" s="289"/>
      <c r="D126" s="409"/>
      <c r="E126" s="409"/>
      <c r="F126" s="409"/>
      <c r="G126" s="409"/>
      <c r="H126" s="409"/>
      <c r="I126" s="409"/>
      <c r="J126" s="409"/>
      <c r="K126" s="409"/>
      <c r="L126" s="409"/>
      <c r="M126" s="409"/>
      <c r="N126" s="409"/>
      <c r="O126" s="409"/>
      <c r="P126" s="409"/>
      <c r="Q126" s="409"/>
      <c r="R126" s="409"/>
      <c r="S126" s="409"/>
      <c r="T126" s="409"/>
      <c r="U126" s="409"/>
      <c r="V126" s="409"/>
      <c r="W126" s="622"/>
      <c r="X126" s="289"/>
      <c r="Y126" s="289"/>
      <c r="Z126" s="289"/>
      <c r="AA126" s="289"/>
      <c r="AB126" s="289"/>
      <c r="AC126" s="289"/>
      <c r="AD126" s="289"/>
      <c r="AE126" s="289"/>
      <c r="AF126" s="289"/>
      <c r="AG126" s="289"/>
      <c r="AH126" s="289"/>
      <c r="AI126" s="289"/>
      <c r="AJ126" s="289"/>
      <c r="AK126" s="289"/>
      <c r="AL126" s="289"/>
      <c r="AM126" s="538"/>
      <c r="AN126" s="289"/>
      <c r="AO126" s="289"/>
      <c r="AP126" s="409"/>
      <c r="AQ126" s="409"/>
      <c r="AR126" s="409"/>
      <c r="AS126" s="409"/>
      <c r="AT126" s="409"/>
      <c r="AU126" s="409"/>
      <c r="AV126" s="409"/>
      <c r="AW126" s="409"/>
      <c r="AX126" s="409"/>
      <c r="AY126" s="409"/>
      <c r="AZ126" s="409"/>
      <c r="BA126" s="409"/>
      <c r="BB126" s="409"/>
      <c r="BC126" s="409"/>
      <c r="BD126" s="409"/>
      <c r="BE126" s="409"/>
      <c r="BF126" s="409"/>
      <c r="BG126" s="409"/>
      <c r="BH126" s="409"/>
      <c r="BI126" s="266"/>
      <c r="BJ126" s="265"/>
    </row>
    <row r="127" spans="1:62" ht="10.95" customHeight="1">
      <c r="A127" s="265"/>
      <c r="B127" s="289"/>
      <c r="C127" s="289"/>
      <c r="D127" s="409"/>
      <c r="E127" s="409"/>
      <c r="F127" s="409"/>
      <c r="G127" s="409"/>
      <c r="H127" s="409"/>
      <c r="I127" s="409"/>
      <c r="J127" s="409"/>
      <c r="K127" s="409"/>
      <c r="L127" s="409"/>
      <c r="M127" s="409"/>
      <c r="N127" s="409"/>
      <c r="O127" s="409"/>
      <c r="P127" s="409"/>
      <c r="Q127" s="409"/>
      <c r="R127" s="409"/>
      <c r="S127" s="409"/>
      <c r="T127" s="409"/>
      <c r="U127" s="409"/>
      <c r="V127" s="409"/>
      <c r="W127" s="289"/>
      <c r="X127" s="289"/>
      <c r="Y127" s="289"/>
      <c r="Z127" s="289"/>
      <c r="AA127" s="289"/>
      <c r="AB127" s="289"/>
      <c r="AC127" s="289"/>
      <c r="AD127" s="289"/>
      <c r="AE127" s="289"/>
      <c r="AF127" s="289"/>
      <c r="AG127" s="289"/>
      <c r="AH127" s="289"/>
      <c r="AI127" s="289"/>
      <c r="AJ127" s="289"/>
      <c r="AK127" s="289"/>
      <c r="AL127" s="289"/>
      <c r="AM127" s="289"/>
      <c r="AN127" s="289"/>
      <c r="AO127" s="289"/>
      <c r="AP127" s="409"/>
      <c r="AQ127" s="409"/>
      <c r="AR127" s="409"/>
      <c r="AS127" s="409"/>
      <c r="AT127" s="409"/>
      <c r="AU127" s="409"/>
      <c r="AV127" s="409"/>
      <c r="AW127" s="409"/>
      <c r="AX127" s="409"/>
      <c r="AY127" s="409"/>
      <c r="AZ127" s="409"/>
      <c r="BA127" s="409"/>
      <c r="BB127" s="409"/>
      <c r="BC127" s="409"/>
      <c r="BD127" s="409"/>
      <c r="BE127" s="409"/>
      <c r="BF127" s="409"/>
      <c r="BG127" s="409"/>
      <c r="BH127" s="409"/>
      <c r="BI127" s="266"/>
      <c r="BJ127" s="265"/>
    </row>
    <row r="128" spans="1:62">
      <c r="A128" s="261"/>
      <c r="B128" s="263"/>
      <c r="C128" s="777" t="s">
        <v>399</v>
      </c>
      <c r="D128" s="777"/>
      <c r="E128" s="777"/>
      <c r="F128" s="777"/>
      <c r="G128" s="777"/>
      <c r="H128" s="777"/>
      <c r="I128" s="777"/>
      <c r="J128" s="777"/>
      <c r="K128" s="777"/>
      <c r="L128" s="777"/>
      <c r="M128" s="777"/>
      <c r="N128" s="777"/>
      <c r="O128" s="777"/>
      <c r="P128" s="777"/>
      <c r="Q128" s="777"/>
      <c r="R128" s="777"/>
      <c r="S128" s="777"/>
      <c r="T128" s="777"/>
      <c r="U128" s="777"/>
      <c r="V128" s="777"/>
      <c r="W128" s="777"/>
      <c r="X128" s="777"/>
      <c r="Y128" s="777"/>
      <c r="Z128" s="777"/>
      <c r="AA128" s="777"/>
      <c r="AB128" s="777"/>
      <c r="AC128" s="777"/>
      <c r="AD128" s="777"/>
      <c r="AE128" s="777"/>
      <c r="AF128" s="777"/>
      <c r="AG128" s="777"/>
      <c r="AH128" s="777"/>
      <c r="AI128" s="777"/>
      <c r="AJ128" s="777"/>
      <c r="AK128" s="777"/>
      <c r="AL128" s="777"/>
      <c r="AM128" s="777"/>
      <c r="AN128" s="777"/>
      <c r="AO128" s="263"/>
      <c r="AP128" s="263"/>
      <c r="AQ128" s="263"/>
      <c r="AR128" s="263"/>
      <c r="AS128" s="263"/>
      <c r="AT128" s="263"/>
      <c r="AU128" s="263"/>
      <c r="AV128" s="263"/>
      <c r="AW128" s="263"/>
      <c r="AX128" s="263"/>
      <c r="AY128" s="263"/>
      <c r="AZ128" s="263"/>
      <c r="BA128" s="263"/>
      <c r="BB128" s="263"/>
      <c r="BC128" s="263"/>
      <c r="BD128" s="263"/>
      <c r="BE128" s="263"/>
      <c r="BF128" s="263"/>
      <c r="BG128" s="263"/>
      <c r="BH128" s="263"/>
      <c r="BI128" s="263"/>
      <c r="BJ128" s="265"/>
    </row>
    <row r="129" spans="1:64" ht="21" customHeight="1">
      <c r="A129" s="261"/>
      <c r="B129" s="263"/>
      <c r="C129" s="777"/>
      <c r="D129" s="777"/>
      <c r="E129" s="777"/>
      <c r="F129" s="777"/>
      <c r="G129" s="777"/>
      <c r="H129" s="777"/>
      <c r="I129" s="777"/>
      <c r="J129" s="777"/>
      <c r="K129" s="777"/>
      <c r="L129" s="777"/>
      <c r="M129" s="777"/>
      <c r="N129" s="777"/>
      <c r="O129" s="777"/>
      <c r="P129" s="777"/>
      <c r="Q129" s="777"/>
      <c r="R129" s="777"/>
      <c r="S129" s="777"/>
      <c r="T129" s="777"/>
      <c r="U129" s="777"/>
      <c r="V129" s="777"/>
      <c r="W129" s="777"/>
      <c r="X129" s="777"/>
      <c r="Y129" s="777"/>
      <c r="Z129" s="777"/>
      <c r="AA129" s="777"/>
      <c r="AB129" s="777"/>
      <c r="AC129" s="777"/>
      <c r="AD129" s="777"/>
      <c r="AE129" s="777"/>
      <c r="AF129" s="777"/>
      <c r="AG129" s="777"/>
      <c r="AH129" s="777"/>
      <c r="AI129" s="777"/>
      <c r="AJ129" s="777"/>
      <c r="AK129" s="777"/>
      <c r="AL129" s="777"/>
      <c r="AM129" s="777"/>
      <c r="AN129" s="777"/>
      <c r="AO129" s="263"/>
      <c r="AP129" s="263"/>
      <c r="AQ129" s="263"/>
      <c r="AR129" s="263"/>
      <c r="AS129" s="263"/>
      <c r="AT129" s="263"/>
      <c r="AU129" s="263"/>
      <c r="AV129" s="263"/>
      <c r="AW129" s="263"/>
      <c r="AX129" s="263"/>
      <c r="AY129" s="263"/>
      <c r="AZ129" s="263"/>
      <c r="BA129" s="263"/>
      <c r="BB129" s="263"/>
      <c r="BC129" s="263"/>
      <c r="BD129" s="263"/>
      <c r="BE129" s="263"/>
      <c r="BF129" s="263"/>
      <c r="BG129" s="263"/>
      <c r="BH129" s="263"/>
      <c r="BI129" s="263"/>
      <c r="BJ129" s="265"/>
    </row>
    <row r="130" spans="1:64" ht="9.6" customHeight="1">
      <c r="A130" s="265"/>
      <c r="B130" s="289"/>
      <c r="C130" s="289"/>
      <c r="D130" s="409"/>
      <c r="E130" s="409"/>
      <c r="F130" s="409"/>
      <c r="G130" s="409"/>
      <c r="H130" s="409"/>
      <c r="I130" s="409"/>
      <c r="J130" s="409"/>
      <c r="K130" s="409"/>
      <c r="L130" s="409"/>
      <c r="M130" s="409"/>
      <c r="N130" s="409"/>
      <c r="O130" s="409"/>
      <c r="P130" s="409"/>
      <c r="Q130" s="409"/>
      <c r="R130" s="409"/>
      <c r="S130" s="409"/>
      <c r="T130" s="409"/>
      <c r="U130" s="409"/>
      <c r="V130" s="409"/>
      <c r="W130" s="289"/>
      <c r="X130" s="289"/>
      <c r="Y130" s="289"/>
      <c r="Z130" s="289"/>
      <c r="AA130" s="289"/>
      <c r="AB130" s="289"/>
      <c r="AC130" s="289"/>
      <c r="AD130" s="289"/>
      <c r="AE130" s="289"/>
      <c r="AF130" s="289"/>
      <c r="AG130" s="289"/>
      <c r="AH130" s="289"/>
      <c r="AI130" s="289"/>
      <c r="AJ130" s="289"/>
      <c r="AK130" s="289"/>
      <c r="AL130" s="289"/>
      <c r="AM130" s="289"/>
      <c r="AN130" s="289"/>
      <c r="AO130" s="289"/>
      <c r="AP130" s="409"/>
      <c r="AQ130" s="409"/>
      <c r="AR130" s="409"/>
      <c r="AS130" s="409"/>
      <c r="AT130" s="409"/>
      <c r="AU130" s="409"/>
      <c r="AV130" s="409"/>
      <c r="AW130" s="409"/>
      <c r="AX130" s="409"/>
      <c r="AY130" s="409"/>
      <c r="AZ130" s="409"/>
      <c r="BA130" s="409"/>
      <c r="BB130" s="409"/>
      <c r="BC130" s="409"/>
      <c r="BD130" s="409"/>
      <c r="BE130" s="409"/>
      <c r="BF130" s="409"/>
      <c r="BG130" s="409"/>
      <c r="BH130" s="409"/>
      <c r="BI130" s="266"/>
      <c r="BJ130" s="265"/>
    </row>
    <row r="131" spans="1:64" ht="9.6" hidden="1" customHeight="1">
      <c r="A131" s="265"/>
      <c r="B131" s="289"/>
      <c r="C131" s="289"/>
      <c r="D131" s="409"/>
      <c r="E131" s="409"/>
      <c r="F131" s="409"/>
      <c r="G131" s="409"/>
      <c r="H131" s="409"/>
      <c r="I131" s="409"/>
      <c r="J131" s="409"/>
      <c r="K131" s="409"/>
      <c r="L131" s="409"/>
      <c r="M131" s="409"/>
      <c r="N131" s="409"/>
      <c r="O131" s="409"/>
      <c r="P131" s="409"/>
      <c r="Q131" s="409"/>
      <c r="R131" s="409"/>
      <c r="S131" s="409"/>
      <c r="T131" s="409"/>
      <c r="U131" s="409"/>
      <c r="V131" s="409"/>
      <c r="W131" s="289"/>
      <c r="X131" s="289"/>
      <c r="Y131" s="289"/>
      <c r="Z131" s="289"/>
      <c r="AA131" s="289"/>
      <c r="AB131" s="289"/>
      <c r="AC131" s="289"/>
      <c r="AD131" s="289"/>
      <c r="AE131" s="289"/>
      <c r="AF131" s="289"/>
      <c r="AG131" s="289"/>
      <c r="AH131" s="289"/>
      <c r="AI131" s="289"/>
      <c r="AJ131" s="289"/>
      <c r="AK131" s="289"/>
      <c r="AL131" s="289"/>
      <c r="AM131" s="289"/>
      <c r="AN131" s="289"/>
      <c r="AO131" s="289"/>
      <c r="AP131" s="409"/>
      <c r="AQ131" s="409"/>
      <c r="AR131" s="409"/>
      <c r="AS131" s="409"/>
      <c r="AT131" s="409"/>
      <c r="AU131" s="409"/>
      <c r="AV131" s="409"/>
      <c r="AW131" s="409"/>
      <c r="AX131" s="409"/>
      <c r="AY131" s="409"/>
      <c r="AZ131" s="409"/>
      <c r="BA131" s="409"/>
      <c r="BB131" s="409"/>
      <c r="BC131" s="409"/>
      <c r="BD131" s="409"/>
      <c r="BE131" s="409"/>
      <c r="BF131" s="409"/>
      <c r="BG131" s="409"/>
      <c r="BH131" s="409"/>
      <c r="BI131" s="266"/>
      <c r="BJ131" s="265"/>
    </row>
    <row r="132" spans="1:64" hidden="1">
      <c r="A132" s="265"/>
      <c r="B132" s="289"/>
      <c r="C132" s="289"/>
      <c r="D132" s="409"/>
      <c r="E132" s="409"/>
      <c r="F132" s="409"/>
      <c r="G132" s="409"/>
      <c r="H132" s="409"/>
      <c r="I132" s="409"/>
      <c r="J132" s="409"/>
      <c r="K132" s="409"/>
      <c r="L132" s="409"/>
      <c r="M132" s="409"/>
      <c r="N132" s="409"/>
      <c r="O132" s="409"/>
      <c r="P132" s="409"/>
      <c r="Q132" s="409"/>
      <c r="R132" s="409"/>
      <c r="S132" s="409"/>
      <c r="T132" s="409"/>
      <c r="U132" s="409"/>
      <c r="V132" s="409"/>
      <c r="AD132" s="289"/>
      <c r="AE132" s="289"/>
      <c r="AF132" s="289"/>
      <c r="AG132" s="289"/>
      <c r="AH132" s="289"/>
      <c r="AI132" s="289"/>
      <c r="AJ132" s="289"/>
      <c r="AK132" s="289"/>
      <c r="AL132" s="289"/>
      <c r="AM132" s="289"/>
      <c r="AN132" s="289"/>
      <c r="AO132" s="289"/>
      <c r="AP132" s="409"/>
      <c r="AQ132" s="409"/>
      <c r="AR132" s="409"/>
      <c r="AS132" s="409"/>
      <c r="AT132" s="409"/>
      <c r="AU132" s="409"/>
      <c r="AV132" s="409"/>
      <c r="AW132" s="409"/>
      <c r="AX132" s="409"/>
      <c r="AY132" s="409"/>
      <c r="AZ132" s="409"/>
      <c r="BA132" s="409"/>
      <c r="BB132" s="409"/>
      <c r="BC132" s="409"/>
      <c r="BD132" s="409"/>
      <c r="BE132" s="409"/>
      <c r="BF132" s="409"/>
      <c r="BG132" s="409"/>
      <c r="BH132" s="409"/>
      <c r="BI132" s="266"/>
      <c r="BJ132" s="265"/>
    </row>
    <row r="133" spans="1:64" ht="14.4" customHeight="1">
      <c r="A133" s="265"/>
      <c r="B133" s="289"/>
      <c r="C133" s="289"/>
      <c r="D133" s="409"/>
      <c r="E133" s="409"/>
      <c r="F133" s="409"/>
      <c r="G133" s="409"/>
      <c r="H133" s="409"/>
      <c r="I133" s="409"/>
      <c r="J133" s="409"/>
      <c r="K133" s="409"/>
      <c r="L133" s="409"/>
      <c r="M133" s="409"/>
      <c r="N133" s="409"/>
      <c r="O133" s="409"/>
      <c r="P133" s="409"/>
      <c r="Q133" s="409"/>
      <c r="R133" s="409"/>
      <c r="S133" s="409"/>
      <c r="T133" s="409"/>
      <c r="U133" s="409"/>
      <c r="V133" s="409"/>
      <c r="W133" s="746" t="s">
        <v>401</v>
      </c>
      <c r="X133" s="746"/>
      <c r="Y133" s="746"/>
      <c r="Z133" s="746"/>
      <c r="AA133" s="427"/>
      <c r="AB133" s="426"/>
      <c r="AC133" s="426"/>
      <c r="AD133" s="289"/>
      <c r="AE133" s="289"/>
      <c r="AF133" s="289"/>
      <c r="AG133" s="289"/>
      <c r="AH133" s="289"/>
      <c r="AI133" s="13"/>
      <c r="AJ133" s="13"/>
      <c r="AK133" s="13"/>
      <c r="AL133" s="13"/>
      <c r="AM133" s="13"/>
      <c r="AN133" s="13"/>
      <c r="AO133" s="13"/>
      <c r="AP133" s="595"/>
      <c r="AQ133" s="595"/>
      <c r="AR133" s="595"/>
      <c r="AS133" s="595"/>
      <c r="AT133" s="595"/>
      <c r="AU133" s="595"/>
      <c r="AV133" s="409"/>
      <c r="AW133" s="409"/>
      <c r="AX133" s="409"/>
      <c r="AY133" s="409"/>
      <c r="AZ133" s="409"/>
      <c r="BA133" s="409"/>
      <c r="BB133" s="409"/>
      <c r="BC133" s="409"/>
      <c r="BD133" s="409"/>
      <c r="BE133" s="409"/>
      <c r="BF133" s="409"/>
      <c r="BG133" s="409"/>
      <c r="BH133" s="409"/>
      <c r="BI133" s="266"/>
      <c r="BJ133" s="265"/>
    </row>
    <row r="134" spans="1:64" ht="14.4" customHeight="1">
      <c r="A134" s="265"/>
      <c r="B134" s="289"/>
      <c r="C134" s="289"/>
      <c r="D134" s="409"/>
      <c r="E134" s="409"/>
      <c r="F134" s="409"/>
      <c r="G134" s="409"/>
      <c r="H134" s="409"/>
      <c r="I134" s="409"/>
      <c r="J134" s="409"/>
      <c r="K134" s="409"/>
      <c r="L134" s="409"/>
      <c r="M134" s="409"/>
      <c r="N134" s="409"/>
      <c r="O134" s="409"/>
      <c r="P134" s="409"/>
      <c r="Q134" s="409"/>
      <c r="R134" s="409"/>
      <c r="S134" s="409"/>
      <c r="T134" s="409"/>
      <c r="U134" s="409"/>
      <c r="V134" s="409"/>
      <c r="W134" s="771"/>
      <c r="X134" s="771"/>
      <c r="Y134" s="771"/>
      <c r="Z134" s="771"/>
      <c r="AA134" s="498"/>
      <c r="AB134" s="499"/>
      <c r="AC134" s="500"/>
      <c r="AD134" s="296"/>
      <c r="AE134" s="296"/>
      <c r="AF134" s="296"/>
      <c r="AG134" s="296"/>
      <c r="AH134" s="296"/>
      <c r="AI134" s="338"/>
      <c r="AJ134" s="338"/>
      <c r="AK134" s="338"/>
      <c r="AL134" s="338"/>
      <c r="AM134" s="338"/>
      <c r="AN134" s="338"/>
      <c r="AO134" s="338"/>
      <c r="AP134" s="596"/>
      <c r="AQ134" s="596"/>
      <c r="AR134" s="596"/>
      <c r="AS134" s="596"/>
      <c r="AT134" s="596"/>
      <c r="AU134" s="596"/>
      <c r="AV134" s="510"/>
      <c r="AW134" s="510"/>
      <c r="AX134" s="510"/>
      <c r="AY134" s="510"/>
      <c r="AZ134" s="510"/>
      <c r="BA134" s="510"/>
      <c r="BB134" s="510"/>
      <c r="BC134" s="510"/>
      <c r="BD134" s="510"/>
      <c r="BE134" s="409"/>
      <c r="BF134" s="409"/>
      <c r="BG134" s="409"/>
      <c r="BH134" s="409"/>
      <c r="BI134" s="266"/>
      <c r="BJ134" s="265"/>
    </row>
    <row r="135" spans="1:64" ht="14.4" customHeight="1">
      <c r="A135" s="265"/>
      <c r="B135" s="289"/>
      <c r="C135" s="289"/>
      <c r="D135" s="409"/>
      <c r="E135" s="409"/>
      <c r="F135" s="409"/>
      <c r="G135" s="409"/>
      <c r="H135" s="409"/>
      <c r="I135" s="409"/>
      <c r="J135" s="409"/>
      <c r="K135" s="409"/>
      <c r="L135" s="409"/>
      <c r="M135" s="409"/>
      <c r="N135" s="409"/>
      <c r="O135" s="409"/>
      <c r="P135" s="409"/>
      <c r="Q135" s="409"/>
      <c r="R135" s="409"/>
      <c r="S135" s="409"/>
      <c r="T135" s="409"/>
      <c r="U135" s="409"/>
      <c r="V135" s="409"/>
      <c r="W135" s="425"/>
      <c r="X135" s="425"/>
      <c r="Y135" s="425"/>
      <c r="Z135" s="425"/>
      <c r="AA135" s="427"/>
      <c r="AB135" s="277"/>
      <c r="AC135" s="426"/>
      <c r="AD135" s="289"/>
      <c r="AE135" s="289"/>
      <c r="AF135" s="289"/>
      <c r="AG135" s="289"/>
      <c r="AH135" s="289"/>
      <c r="AI135" s="13"/>
      <c r="AJ135" s="13"/>
      <c r="AK135" s="13"/>
      <c r="AL135" s="13"/>
      <c r="AM135" s="13"/>
      <c r="AN135" s="13"/>
      <c r="AO135" s="13"/>
      <c r="AP135" s="595"/>
      <c r="AQ135" s="595"/>
      <c r="AR135" s="595"/>
      <c r="AS135" s="595"/>
      <c r="AT135" s="595"/>
      <c r="AU135" s="595"/>
      <c r="AV135" s="409"/>
      <c r="AW135" s="409"/>
      <c r="AX135" s="409"/>
      <c r="AY135" s="409"/>
      <c r="AZ135" s="409"/>
      <c r="BA135" s="409"/>
      <c r="BB135" s="409"/>
      <c r="BC135" s="409"/>
      <c r="BD135" s="409"/>
      <c r="BE135" s="409"/>
      <c r="BF135" s="409"/>
      <c r="BG135" s="409"/>
      <c r="BH135" s="409"/>
      <c r="BI135" s="266"/>
      <c r="BJ135" s="265"/>
    </row>
    <row r="136" spans="1:64" ht="14.4" customHeight="1">
      <c r="A136" s="265"/>
      <c r="B136" s="289"/>
      <c r="C136" s="289"/>
      <c r="D136" s="409"/>
      <c r="E136" s="409"/>
      <c r="F136" s="409"/>
      <c r="G136" s="409"/>
      <c r="H136" s="409"/>
      <c r="I136" s="409"/>
      <c r="J136" s="409"/>
      <c r="K136" s="409"/>
      <c r="L136" s="409"/>
      <c r="M136" s="409"/>
      <c r="N136" s="409"/>
      <c r="O136" s="409"/>
      <c r="P136" s="409"/>
      <c r="Q136" s="409"/>
      <c r="R136" s="409"/>
      <c r="S136" s="409"/>
      <c r="T136" s="409"/>
      <c r="U136" s="409"/>
      <c r="V136" s="409"/>
      <c r="W136" s="425"/>
      <c r="X136" s="425"/>
      <c r="Y136" s="425"/>
      <c r="Z136" s="425"/>
      <c r="AA136" s="427"/>
      <c r="AB136" s="277"/>
      <c r="AC136" s="426"/>
      <c r="AD136" s="289"/>
      <c r="AE136" s="289"/>
      <c r="AF136" s="289"/>
      <c r="AG136" s="289"/>
      <c r="AI136" s="13"/>
      <c r="AJ136" s="13"/>
      <c r="AK136" s="289"/>
      <c r="AL136" s="13"/>
      <c r="AM136" s="369"/>
      <c r="AN136" s="13"/>
      <c r="AO136" s="369"/>
      <c r="AP136" s="369"/>
      <c r="AQ136" s="369"/>
      <c r="AR136" s="369"/>
      <c r="AS136" s="369"/>
      <c r="AT136" s="369"/>
      <c r="AU136" s="369"/>
      <c r="AV136" s="409"/>
      <c r="AW136" s="409"/>
      <c r="AX136" s="409"/>
      <c r="AY136" s="409"/>
      <c r="AZ136" s="409"/>
      <c r="BA136" s="409"/>
      <c r="BB136" s="409"/>
      <c r="BC136" s="409"/>
      <c r="BD136" s="409"/>
      <c r="BE136" s="409"/>
      <c r="BF136" s="409"/>
      <c r="BG136" s="409"/>
      <c r="BH136" s="409"/>
      <c r="BI136" s="266"/>
      <c r="BJ136" s="265"/>
    </row>
    <row r="137" spans="1:64">
      <c r="A137" s="265"/>
      <c r="B137" s="289"/>
      <c r="C137" s="289"/>
      <c r="D137" s="289"/>
      <c r="E137" s="289"/>
      <c r="F137" s="289"/>
      <c r="H137" s="518"/>
      <c r="I137" s="518"/>
      <c r="J137" s="518"/>
      <c r="K137" s="770" t="str">
        <f>Obliczenia!AK84</f>
        <v/>
      </c>
      <c r="L137" s="770"/>
      <c r="M137" s="770"/>
      <c r="N137" s="770"/>
      <c r="O137" s="770"/>
      <c r="P137" s="770"/>
      <c r="Q137" s="770"/>
      <c r="R137" s="770"/>
      <c r="S137" s="770"/>
      <c r="T137" s="770"/>
      <c r="U137" s="770"/>
      <c r="V137" s="770"/>
      <c r="W137" s="770"/>
      <c r="X137" s="781" t="s">
        <v>287</v>
      </c>
      <c r="Y137" s="781"/>
      <c r="Z137" s="781"/>
      <c r="AA137" s="781"/>
      <c r="AB137" s="781"/>
      <c r="AC137" s="564" t="str">
        <f>"R "&amp;AC138&amp;" %"</f>
        <v>R 0 %</v>
      </c>
      <c r="AD137" s="769">
        <f>VLOOKUP(X137,rozdzial,4,0)-VLOOKUP(X137,rozdzial,4,0)*(AC138/100)</f>
        <v>13685</v>
      </c>
      <c r="AE137" s="769"/>
      <c r="AF137" s="289"/>
      <c r="AG137" s="515" t="s">
        <v>452</v>
      </c>
      <c r="AH137" s="597"/>
      <c r="AI137" s="515"/>
      <c r="AJ137" s="515"/>
      <c r="AK137" s="515"/>
      <c r="AL137" s="517">
        <f>VLOOKUP($X$137,Obliczenia!J37:W45,8,0)</f>
        <v>92</v>
      </c>
      <c r="AM137" s="369" t="s">
        <v>454</v>
      </c>
      <c r="AN137" s="13"/>
      <c r="AO137" s="369"/>
      <c r="AP137" s="369"/>
      <c r="AQ137" s="369"/>
      <c r="AR137" s="369"/>
      <c r="AS137" s="369"/>
      <c r="AT137" s="369"/>
      <c r="AU137" s="369"/>
      <c r="AV137" s="409"/>
      <c r="AW137" s="409"/>
      <c r="AX137" s="409"/>
      <c r="AY137" s="409"/>
      <c r="AZ137" s="409"/>
      <c r="BA137" s="409"/>
      <c r="BB137" s="409"/>
      <c r="BC137" s="409"/>
      <c r="BD137" s="409"/>
      <c r="BE137" s="409"/>
      <c r="BF137" s="409"/>
      <c r="BG137" s="409"/>
      <c r="BH137" s="409"/>
      <c r="BI137" s="266"/>
      <c r="BJ137" s="265"/>
    </row>
    <row r="138" spans="1:64">
      <c r="A138" s="265"/>
      <c r="B138" s="289"/>
      <c r="C138" s="289"/>
      <c r="D138" s="289"/>
      <c r="E138" s="289"/>
      <c r="F138" s="289"/>
      <c r="G138" s="289"/>
      <c r="H138" s="289"/>
      <c r="I138" s="289"/>
      <c r="J138" s="289"/>
      <c r="K138" s="770"/>
      <c r="L138" s="770"/>
      <c r="M138" s="770"/>
      <c r="N138" s="770"/>
      <c r="O138" s="770"/>
      <c r="P138" s="770"/>
      <c r="Q138" s="770"/>
      <c r="R138" s="770"/>
      <c r="S138" s="770"/>
      <c r="T138" s="770"/>
      <c r="U138" s="770"/>
      <c r="V138" s="770"/>
      <c r="W138" s="770"/>
      <c r="X138" s="490" t="str">
        <f>IF(X137="Vitoair FS 300E MA 300m3/h","Centrala wentylacji mechanicznej z odzyskiem ciepła i wilgoci","Centrala wentylacji mechanicznej z odzyskiem ciepła")</f>
        <v>Centrala wentylacji mechanicznej z odzyskiem ciepła</v>
      </c>
      <c r="Y138" s="488"/>
      <c r="Z138" s="488"/>
      <c r="AA138" s="488"/>
      <c r="AB138" s="488"/>
      <c r="AC138" s="568">
        <v>0</v>
      </c>
      <c r="AE138" s="506"/>
      <c r="AF138" s="289"/>
      <c r="AG138" s="515" t="s">
        <v>453</v>
      </c>
      <c r="AH138" s="516"/>
      <c r="AI138" s="515"/>
      <c r="AJ138" s="515"/>
      <c r="AK138" s="515"/>
      <c r="AL138" s="517" t="str">
        <f>VLOOKUP($X$137,Obliczenia!J37:W45,9,0)</f>
        <v>n.d.</v>
      </c>
      <c r="AM138" s="369" t="s">
        <v>454</v>
      </c>
      <c r="AN138" s="13"/>
      <c r="AO138" s="369"/>
      <c r="AP138" s="369"/>
      <c r="AQ138" s="369"/>
      <c r="AR138" s="369"/>
      <c r="AS138" s="369"/>
      <c r="AT138" s="369"/>
      <c r="AU138" s="369"/>
      <c r="AV138" s="409"/>
      <c r="AW138" s="409"/>
      <c r="AX138" s="409"/>
      <c r="AY138" s="409"/>
      <c r="AZ138" s="409"/>
      <c r="BA138" s="409"/>
      <c r="BB138" s="409"/>
      <c r="BC138" s="409"/>
      <c r="BD138" s="409"/>
      <c r="BE138" s="409"/>
      <c r="BF138" s="409"/>
      <c r="BG138" s="409"/>
      <c r="BH138" s="409"/>
      <c r="BI138" s="266"/>
      <c r="BJ138" s="265"/>
    </row>
    <row r="139" spans="1:64">
      <c r="A139" s="265"/>
      <c r="B139" s="289"/>
      <c r="C139" s="289"/>
      <c r="D139" s="289"/>
      <c r="E139" s="289"/>
      <c r="F139" s="289"/>
      <c r="G139" s="289"/>
      <c r="H139" s="289"/>
      <c r="I139" s="289"/>
      <c r="J139" s="289"/>
      <c r="K139" s="770"/>
      <c r="L139" s="770"/>
      <c r="M139" s="770"/>
      <c r="N139" s="770"/>
      <c r="O139" s="770"/>
      <c r="P139" s="770"/>
      <c r="Q139" s="770"/>
      <c r="R139" s="770"/>
      <c r="S139" s="770"/>
      <c r="T139" s="770"/>
      <c r="U139" s="770"/>
      <c r="V139" s="770"/>
      <c r="W139" s="770"/>
      <c r="X139" s="334" t="str">
        <f>VLOOKUP(X137,rozdzial,3,0)</f>
        <v>Z029134</v>
      </c>
      <c r="Z139" s="13"/>
      <c r="AA139" s="514"/>
      <c r="AB139" s="487"/>
      <c r="AC139" s="13"/>
      <c r="AD139" s="507"/>
      <c r="AE139" s="506"/>
      <c r="AF139" s="289"/>
      <c r="AG139" s="515" t="s">
        <v>448</v>
      </c>
      <c r="AH139" s="515"/>
      <c r="AI139" s="515"/>
      <c r="AJ139" s="515"/>
      <c r="AK139" s="515"/>
      <c r="AL139" s="517" t="str">
        <f>VLOOKUP($X$137,Obliczenia!J37:W45,11,0)</f>
        <v>Krzyżowy</v>
      </c>
      <c r="AM139" s="13"/>
      <c r="AN139" s="13"/>
      <c r="AO139" s="13"/>
      <c r="AP139" s="595"/>
      <c r="AQ139" s="595"/>
      <c r="AR139" s="595"/>
      <c r="AS139" s="595"/>
      <c r="AT139" s="595"/>
      <c r="AU139" s="595"/>
      <c r="AV139" s="409"/>
      <c r="AW139" s="409"/>
      <c r="AX139" s="409"/>
      <c r="AY139" s="409"/>
      <c r="AZ139" s="409"/>
      <c r="BA139" s="409"/>
      <c r="BB139" s="409"/>
      <c r="BC139" s="409"/>
      <c r="BD139" s="409"/>
      <c r="BE139" s="409"/>
      <c r="BF139" s="409"/>
      <c r="BG139" s="409"/>
      <c r="BH139" s="409"/>
      <c r="BI139" s="266"/>
      <c r="BJ139" s="265"/>
    </row>
    <row r="140" spans="1:64" ht="14.4" customHeight="1">
      <c r="A140" s="265"/>
      <c r="B140" s="289"/>
      <c r="C140" s="289"/>
      <c r="D140" s="409"/>
      <c r="E140" s="409"/>
      <c r="F140" s="409"/>
      <c r="G140" s="409"/>
      <c r="H140" s="409"/>
      <c r="I140" s="409"/>
      <c r="J140" s="409"/>
      <c r="K140" s="409"/>
      <c r="L140" s="409"/>
      <c r="M140" s="409"/>
      <c r="N140" s="409"/>
      <c r="O140" s="409"/>
      <c r="P140" s="409"/>
      <c r="Q140" s="409"/>
      <c r="R140" s="409"/>
      <c r="S140" s="409"/>
      <c r="T140" s="409"/>
      <c r="U140" s="409"/>
      <c r="V140" s="409"/>
      <c r="W140" s="13"/>
      <c r="X140" s="13"/>
      <c r="Y140" s="13"/>
      <c r="Z140" s="13"/>
      <c r="AA140" s="13"/>
      <c r="AC140" s="267"/>
      <c r="AD140" s="13"/>
      <c r="AE140" s="506"/>
      <c r="AF140" s="289"/>
      <c r="AG140" s="515" t="s">
        <v>449</v>
      </c>
      <c r="AH140" s="515"/>
      <c r="AI140" s="515"/>
      <c r="AJ140" s="515"/>
      <c r="AK140" s="515"/>
      <c r="AL140" s="517" t="str">
        <f>VLOOKUP($X$137,Obliczenia!J37:W45,13,0)</f>
        <v>Tak</v>
      </c>
      <c r="AM140" s="289"/>
      <c r="AN140" s="289"/>
      <c r="AO140" s="289"/>
      <c r="AP140" s="409"/>
      <c r="AQ140" s="409"/>
      <c r="AR140" s="409"/>
      <c r="AS140" s="409"/>
      <c r="AT140" s="409"/>
      <c r="AU140" s="409"/>
      <c r="AV140" s="409"/>
      <c r="AW140" s="409"/>
      <c r="AX140" s="409"/>
      <c r="AY140" s="409"/>
      <c r="AZ140" s="409"/>
      <c r="BA140" s="409"/>
      <c r="BB140" s="409"/>
      <c r="BC140" s="409"/>
      <c r="BD140" s="409"/>
      <c r="BE140" s="409"/>
      <c r="BF140" s="409"/>
      <c r="BG140" s="409"/>
      <c r="BH140" s="409"/>
      <c r="BI140" s="266"/>
      <c r="BJ140" s="265"/>
    </row>
    <row r="141" spans="1:64" ht="14.4" customHeight="1" thickBot="1">
      <c r="A141" s="265"/>
      <c r="B141" s="289"/>
      <c r="C141" s="289"/>
      <c r="D141" s="409"/>
      <c r="E141" s="409"/>
      <c r="F141" s="409"/>
      <c r="G141" s="409"/>
      <c r="H141" s="409"/>
      <c r="I141" s="409"/>
      <c r="J141" s="409"/>
      <c r="K141" s="409"/>
      <c r="L141" s="409"/>
      <c r="M141" s="409"/>
      <c r="N141" s="409"/>
      <c r="O141" s="409"/>
      <c r="P141" s="409"/>
      <c r="Q141" s="409"/>
      <c r="R141" s="409"/>
      <c r="S141" s="409"/>
      <c r="T141" s="409"/>
      <c r="U141" s="409"/>
      <c r="V141" s="409"/>
      <c r="W141" s="13"/>
      <c r="X141" s="519" t="str">
        <f>"    "&amp;VLOOKUP($X$137,Obliczenia!J37:W45,6,0)</f>
        <v xml:space="preserve">    50</v>
      </c>
      <c r="Y141" s="517" t="str">
        <f>VLOOKUP($X$137,Obliczenia!J37:W45,4,0)&amp;" [m3/h]"</f>
        <v>400 [m3/h]</v>
      </c>
      <c r="Z141" s="13"/>
      <c r="AA141" s="518"/>
      <c r="AB141" s="520" t="str">
        <f>VLOOKUP($X$137,Obliczenia!J37:AA45,16,0)</f>
        <v>A</v>
      </c>
      <c r="AC141" s="587"/>
      <c r="AD141" s="506"/>
      <c r="AE141" s="506"/>
      <c r="AF141" s="289"/>
      <c r="AG141" s="515" t="s">
        <v>450</v>
      </c>
      <c r="AH141" s="515"/>
      <c r="AI141" s="515"/>
      <c r="AJ141" s="515"/>
      <c r="AK141" s="515"/>
      <c r="AL141" s="517" t="str">
        <f>VLOOKUP($X$137,Obliczenia!J37:W45,14,0)</f>
        <v>Tak, 1kW</v>
      </c>
      <c r="AM141" s="289"/>
      <c r="AN141" s="289"/>
      <c r="AO141" s="289"/>
      <c r="AP141" s="409"/>
      <c r="AQ141" s="409"/>
      <c r="AR141" s="409"/>
      <c r="AS141" s="409"/>
      <c r="AT141" s="409"/>
      <c r="AU141" s="409"/>
      <c r="AV141" s="409"/>
      <c r="AW141" s="409"/>
      <c r="AX141" s="409"/>
      <c r="AY141" s="409"/>
      <c r="AZ141" s="409"/>
      <c r="BA141" s="409"/>
      <c r="BB141" s="409"/>
      <c r="BC141" s="409"/>
      <c r="BD141" s="409"/>
      <c r="BE141" s="409"/>
      <c r="BF141" s="409"/>
      <c r="BG141" s="409"/>
      <c r="BH141" s="409"/>
      <c r="BI141" s="266"/>
      <c r="BJ141" s="265"/>
    </row>
    <row r="142" spans="1:64" ht="14.4" customHeight="1" thickBot="1">
      <c r="A142" s="265"/>
      <c r="B142" s="289"/>
      <c r="C142" s="289"/>
      <c r="D142" s="409"/>
      <c r="E142" s="409"/>
      <c r="F142" s="409"/>
      <c r="G142" s="409"/>
      <c r="H142" s="409"/>
      <c r="I142" s="409"/>
      <c r="J142" s="409"/>
      <c r="K142" s="409"/>
      <c r="L142" s="409"/>
      <c r="M142" s="409"/>
      <c r="N142" s="409"/>
      <c r="O142" s="409"/>
      <c r="P142" s="409"/>
      <c r="Q142" s="409"/>
      <c r="R142" s="409"/>
      <c r="S142" s="409"/>
      <c r="T142" s="409"/>
      <c r="U142" s="409"/>
      <c r="V142" s="409"/>
      <c r="W142" s="13"/>
      <c r="X142" s="13"/>
      <c r="Y142" s="13"/>
      <c r="Z142" s="13"/>
      <c r="AA142" s="13"/>
      <c r="AB142" s="520" t="str">
        <f>VLOOKUP($X$137,Obliczenia!J37:AA45,17,0)</f>
        <v>A+</v>
      </c>
      <c r="AC142" s="13"/>
      <c r="AD142" s="506"/>
      <c r="AE142" s="506"/>
      <c r="AF142" s="289"/>
      <c r="AG142" s="515" t="s">
        <v>433</v>
      </c>
      <c r="AH142" s="515"/>
      <c r="AI142" s="515"/>
      <c r="AJ142" s="515"/>
      <c r="AK142" s="515"/>
      <c r="AL142" s="517" t="str">
        <f>VLOOKUP($X$137,Obliczenia!J37:W45,12,0)</f>
        <v>Tak</v>
      </c>
      <c r="AM142" s="289"/>
      <c r="AN142" s="289"/>
      <c r="AO142" s="289"/>
      <c r="AP142" s="409"/>
      <c r="AQ142" s="409"/>
      <c r="AR142" s="409"/>
      <c r="AS142" s="409"/>
      <c r="AT142" s="409"/>
      <c r="AU142" s="409"/>
      <c r="AV142" s="409"/>
      <c r="AW142" s="409"/>
      <c r="AX142" s="409"/>
      <c r="AY142" s="409"/>
      <c r="AZ142" s="409"/>
      <c r="BA142" s="409"/>
      <c r="BB142" s="409"/>
      <c r="BC142" s="409"/>
      <c r="BD142" s="409"/>
      <c r="BE142" s="409"/>
      <c r="BF142" s="409"/>
      <c r="BG142" s="409"/>
      <c r="BH142" s="409"/>
      <c r="BI142" s="266"/>
      <c r="BJ142" s="265"/>
    </row>
    <row r="143" spans="1:64" ht="14.4" customHeight="1">
      <c r="A143" s="265"/>
      <c r="B143" s="289"/>
      <c r="C143" s="289"/>
      <c r="D143" s="409"/>
      <c r="E143" s="409"/>
      <c r="F143" s="409"/>
      <c r="G143" s="409"/>
      <c r="H143" s="409"/>
      <c r="I143" s="409"/>
      <c r="J143" s="409"/>
      <c r="K143" s="409"/>
      <c r="L143" s="409"/>
      <c r="M143" s="409"/>
      <c r="N143" s="409"/>
      <c r="O143" s="409"/>
      <c r="P143" s="409"/>
      <c r="Q143" s="409"/>
      <c r="R143" s="409"/>
      <c r="S143" s="409"/>
      <c r="T143" s="409"/>
      <c r="U143" s="409"/>
      <c r="V143" s="409"/>
      <c r="W143" s="427"/>
      <c r="X143" s="427"/>
      <c r="Y143" s="427"/>
      <c r="Z143" s="427"/>
      <c r="AA143" s="427"/>
      <c r="AB143" s="521" t="str">
        <f>VLOOKUP($X$137,Obliczenia!J37:AA45,18,0)</f>
        <v>A+</v>
      </c>
      <c r="AC143" s="426"/>
      <c r="AD143" s="506"/>
      <c r="AE143" s="506"/>
      <c r="AF143" s="289"/>
      <c r="AG143" s="490" t="s">
        <v>447</v>
      </c>
      <c r="AH143" s="515"/>
      <c r="AI143" s="515"/>
      <c r="AJ143" s="515"/>
      <c r="AK143" s="515"/>
      <c r="AL143" s="517" t="str">
        <f>VLOOKUP($X$137,Obliczenia!J37:W45,10,0)</f>
        <v>560 x 695 x 750</v>
      </c>
      <c r="AM143" s="369" t="s">
        <v>455</v>
      </c>
      <c r="AN143" s="289"/>
      <c r="AO143" s="289"/>
      <c r="AP143" s="409"/>
      <c r="AQ143" s="409"/>
      <c r="AR143" s="409"/>
      <c r="AS143" s="409"/>
      <c r="AT143" s="409"/>
      <c r="AU143" s="409"/>
      <c r="AV143" s="409"/>
      <c r="AW143" s="409"/>
      <c r="AX143" s="409"/>
      <c r="AY143" s="409"/>
      <c r="AZ143" s="409"/>
      <c r="BA143" s="409"/>
      <c r="BB143" s="409"/>
      <c r="BC143" s="409"/>
      <c r="BD143" s="409"/>
      <c r="BE143" s="409"/>
      <c r="BF143" s="409"/>
      <c r="BG143" s="409"/>
      <c r="BH143" s="409"/>
      <c r="BI143" s="266"/>
      <c r="BJ143" s="265"/>
      <c r="BL143" s="289"/>
    </row>
    <row r="144" spans="1:64" ht="14.4" customHeight="1">
      <c r="A144" s="265"/>
      <c r="B144" s="289"/>
      <c r="C144" s="289"/>
      <c r="D144" s="409"/>
      <c r="E144" s="409"/>
      <c r="F144" s="409"/>
      <c r="G144" s="409"/>
      <c r="H144" s="409"/>
      <c r="I144" s="409"/>
      <c r="J144" s="409"/>
      <c r="K144" s="409"/>
      <c r="L144" s="409"/>
      <c r="M144" s="409"/>
      <c r="N144" s="409"/>
      <c r="O144" s="409"/>
      <c r="P144" s="409"/>
      <c r="Q144" s="409"/>
      <c r="R144" s="409"/>
      <c r="S144" s="409"/>
      <c r="T144" s="409"/>
      <c r="U144" s="409"/>
      <c r="V144" s="409"/>
      <c r="W144" s="427"/>
      <c r="X144" s="427"/>
      <c r="Y144" s="427"/>
      <c r="Z144" s="427"/>
      <c r="AB144" s="426"/>
      <c r="AC144" s="426"/>
      <c r="AD144" s="506"/>
      <c r="AE144" s="506"/>
      <c r="AF144" s="289"/>
      <c r="AG144" s="515"/>
      <c r="AH144" s="515"/>
      <c r="AI144" s="515"/>
      <c r="AJ144" s="515"/>
      <c r="AK144" s="515"/>
      <c r="AL144" s="517"/>
      <c r="AM144" s="289"/>
      <c r="AN144" s="289"/>
      <c r="AO144" s="289"/>
      <c r="AP144" s="409"/>
      <c r="AQ144" s="409"/>
      <c r="AR144" s="409"/>
      <c r="AS144" s="409"/>
      <c r="AT144" s="409"/>
      <c r="AU144" s="409"/>
      <c r="AV144" s="409"/>
      <c r="AW144" s="409"/>
      <c r="AX144" s="409"/>
      <c r="AY144" s="409"/>
      <c r="AZ144" s="409"/>
      <c r="BA144" s="409"/>
      <c r="BB144" s="409"/>
      <c r="BC144" s="409"/>
      <c r="BD144" s="409"/>
      <c r="BE144" s="409"/>
      <c r="BF144" s="409"/>
      <c r="BG144" s="409"/>
      <c r="BH144" s="409"/>
      <c r="BI144" s="266"/>
      <c r="BJ144" s="265"/>
      <c r="BL144" s="289"/>
    </row>
    <row r="145" spans="1:70" ht="14.4" customHeight="1">
      <c r="A145" s="265"/>
      <c r="B145" s="289"/>
      <c r="C145" s="289"/>
      <c r="D145" s="409"/>
      <c r="E145" s="409"/>
      <c r="F145" s="409"/>
      <c r="G145" s="409"/>
      <c r="H145" s="409"/>
      <c r="I145" s="409"/>
      <c r="J145" s="409"/>
      <c r="K145" s="409"/>
      <c r="L145" s="409"/>
      <c r="M145" s="409"/>
      <c r="N145" s="409"/>
      <c r="O145" s="409"/>
      <c r="P145" s="409"/>
      <c r="Q145" s="409"/>
      <c r="R145" s="409"/>
      <c r="S145" s="409"/>
      <c r="T145" s="409"/>
      <c r="U145" s="409"/>
      <c r="V145" s="409"/>
      <c r="W145" s="427"/>
      <c r="X145" s="806" t="str">
        <f>IF(X137="Vitoair FS 300E MA 300m3/h","Nagrzewnica elektryczna powietrza 1,8kW","")</f>
        <v/>
      </c>
      <c r="Y145" s="806"/>
      <c r="Z145" s="806"/>
      <c r="AA145" s="806"/>
      <c r="AB145" s="806"/>
      <c r="AC145" s="13"/>
      <c r="AD145" s="769" t="str">
        <f>IFERROR(VLOOKUP(X145,rozdzial,4,0)-VLOOKUP(X145,rozdzial,4,0)*(AC138/100),"")</f>
        <v/>
      </c>
      <c r="AE145" s="769"/>
      <c r="AF145" s="289"/>
      <c r="AG145" s="515"/>
      <c r="AH145" s="515"/>
      <c r="AI145" s="515"/>
      <c r="AJ145" s="515"/>
      <c r="AK145" s="515"/>
      <c r="AL145" s="517"/>
      <c r="AM145" s="289"/>
      <c r="AN145" s="289"/>
      <c r="AO145" s="289"/>
      <c r="AP145" s="409"/>
      <c r="AQ145" s="409"/>
      <c r="AR145" s="409"/>
      <c r="AS145" s="409"/>
      <c r="AT145" s="409"/>
      <c r="AU145" s="409"/>
      <c r="AV145" s="409"/>
      <c r="AW145" s="409"/>
      <c r="AX145" s="409"/>
      <c r="AY145" s="409"/>
      <c r="AZ145" s="409"/>
      <c r="BA145" s="409"/>
      <c r="BB145" s="409"/>
      <c r="BC145" s="409"/>
      <c r="BD145" s="409"/>
      <c r="BE145" s="409"/>
      <c r="BF145" s="409"/>
      <c r="BG145" s="409"/>
      <c r="BH145" s="409"/>
      <c r="BI145" s="266"/>
      <c r="BJ145" s="265"/>
      <c r="BL145" s="289"/>
    </row>
    <row r="146" spans="1:70" ht="14.4" customHeight="1">
      <c r="A146" s="265"/>
      <c r="B146" s="289"/>
      <c r="C146" s="289"/>
      <c r="D146" s="409"/>
      <c r="E146" s="409"/>
      <c r="F146" s="409"/>
      <c r="G146" s="409"/>
      <c r="H146" s="409"/>
      <c r="I146" s="409"/>
      <c r="J146" s="409"/>
      <c r="K146" s="409"/>
      <c r="L146" s="409"/>
      <c r="M146" s="409"/>
      <c r="N146" s="409"/>
      <c r="O146" s="409"/>
      <c r="P146" s="409"/>
      <c r="Q146" s="409"/>
      <c r="R146" s="409"/>
      <c r="S146" s="409"/>
      <c r="T146" s="409"/>
      <c r="U146" s="409"/>
      <c r="V146" s="409"/>
      <c r="W146" s="427"/>
      <c r="X146" s="490" t="str">
        <f>IF(X137="Vitoair FS 300E MA 300m3/h","Do ogrzewania wstępnego powietrza, montaż wewn. centrali","")</f>
        <v/>
      </c>
      <c r="Y146" s="488"/>
      <c r="Z146" s="488"/>
      <c r="AA146" s="488"/>
      <c r="AB146" s="488"/>
      <c r="AC146" s="339"/>
      <c r="AD146" s="503"/>
      <c r="AE146" s="503"/>
      <c r="AF146" s="289"/>
      <c r="AG146" s="563"/>
      <c r="AH146" s="515"/>
      <c r="AI146" s="515"/>
      <c r="AJ146" s="515"/>
      <c r="AK146" s="515"/>
      <c r="AL146" s="517"/>
      <c r="AM146" s="289"/>
      <c r="AN146" s="289"/>
      <c r="AO146" s="289"/>
      <c r="AP146" s="409"/>
      <c r="AQ146" s="409"/>
      <c r="AR146" s="409"/>
      <c r="AS146" s="409"/>
      <c r="AT146" s="409"/>
      <c r="AU146" s="409"/>
      <c r="AV146" s="409"/>
      <c r="AW146" s="409"/>
      <c r="AX146" s="409"/>
      <c r="AY146" s="409"/>
      <c r="AZ146" s="409"/>
      <c r="BA146" s="409"/>
      <c r="BB146" s="409"/>
      <c r="BC146" s="409"/>
      <c r="BD146" s="409"/>
      <c r="BE146" s="409"/>
      <c r="BF146" s="409"/>
      <c r="BG146" s="409"/>
      <c r="BH146" s="409"/>
      <c r="BI146" s="266"/>
      <c r="BJ146" s="265"/>
      <c r="BL146" s="289"/>
    </row>
    <row r="147" spans="1:70" ht="14.4" customHeight="1">
      <c r="A147" s="265"/>
      <c r="B147" s="289"/>
      <c r="C147" s="289"/>
      <c r="D147" s="409"/>
      <c r="E147" s="409"/>
      <c r="F147" s="409"/>
      <c r="G147" s="409"/>
      <c r="H147" s="409"/>
      <c r="I147" s="409"/>
      <c r="J147" s="409"/>
      <c r="K147" s="409"/>
      <c r="L147" s="409"/>
      <c r="M147" s="409"/>
      <c r="N147" s="409"/>
      <c r="O147" s="409"/>
      <c r="P147" s="409"/>
      <c r="Q147" s="409"/>
      <c r="R147" s="409"/>
      <c r="S147" s="409"/>
      <c r="T147" s="409"/>
      <c r="U147" s="409"/>
      <c r="V147" s="409"/>
      <c r="W147" s="427"/>
      <c r="X147" s="334" t="str">
        <f>IFERROR(VLOOKUP(X145,rozdzial,3,0),"")</f>
        <v/>
      </c>
      <c r="Y147" s="497"/>
      <c r="Z147" s="497"/>
      <c r="AA147" s="497"/>
      <c r="AB147" s="497"/>
      <c r="AC147" s="339"/>
      <c r="AD147" s="503"/>
      <c r="AE147" s="503"/>
      <c r="AF147" s="289"/>
      <c r="AG147" s="515"/>
      <c r="AH147" s="515"/>
      <c r="AI147" s="515"/>
      <c r="AJ147" s="515"/>
      <c r="AK147" s="515"/>
      <c r="AL147" s="517"/>
      <c r="AM147" s="289"/>
      <c r="AN147" s="289"/>
      <c r="AO147" s="289"/>
      <c r="AP147" s="409"/>
      <c r="AQ147" s="409"/>
      <c r="AR147" s="409"/>
      <c r="AS147" s="409"/>
      <c r="AT147" s="409"/>
      <c r="AU147" s="409"/>
      <c r="AV147" s="409"/>
      <c r="AW147" s="409"/>
      <c r="AX147" s="409"/>
      <c r="AY147" s="409"/>
      <c r="AZ147" s="409"/>
      <c r="BA147" s="409"/>
      <c r="BB147" s="409"/>
      <c r="BC147" s="409"/>
      <c r="BD147" s="409"/>
      <c r="BE147" s="409"/>
      <c r="BF147" s="409"/>
      <c r="BG147" s="409"/>
      <c r="BH147" s="409"/>
      <c r="BI147" s="266"/>
      <c r="BJ147" s="265"/>
      <c r="BL147" s="289"/>
    </row>
    <row r="148" spans="1:70" ht="14.4" customHeight="1">
      <c r="A148" s="265"/>
      <c r="B148" s="289"/>
      <c r="C148" s="289"/>
      <c r="D148" s="409"/>
      <c r="E148" s="409"/>
      <c r="F148" s="409"/>
      <c r="G148" s="409"/>
      <c r="H148" s="409"/>
      <c r="I148" s="409"/>
      <c r="J148" s="409"/>
      <c r="K148" s="409"/>
      <c r="L148" s="409"/>
      <c r="M148" s="409"/>
      <c r="N148" s="409"/>
      <c r="O148" s="409"/>
      <c r="P148" s="409"/>
      <c r="Q148" s="409"/>
      <c r="R148" s="409"/>
      <c r="S148" s="409"/>
      <c r="T148" s="409"/>
      <c r="U148" s="409"/>
      <c r="V148" s="409"/>
      <c r="W148" s="427"/>
      <c r="X148" s="490"/>
      <c r="Y148" s="497"/>
      <c r="Z148" s="497"/>
      <c r="AA148" s="497"/>
      <c r="AB148" s="497"/>
      <c r="AC148" s="339"/>
      <c r="AD148" s="503"/>
      <c r="AE148" s="503"/>
      <c r="AF148" s="289"/>
      <c r="AG148" s="515"/>
      <c r="AH148" s="515"/>
      <c r="AI148" s="515"/>
      <c r="AJ148" s="515"/>
      <c r="AK148" s="515"/>
      <c r="AL148" s="517"/>
      <c r="AM148" s="289"/>
      <c r="AN148" s="289"/>
      <c r="AO148" s="289"/>
      <c r="AP148" s="409"/>
      <c r="AQ148" s="409"/>
      <c r="AR148" s="409"/>
      <c r="AS148" s="409"/>
      <c r="AT148" s="409"/>
      <c r="AU148" s="409"/>
      <c r="AV148" s="409"/>
      <c r="AW148" s="409"/>
      <c r="AX148" s="409"/>
      <c r="AY148" s="409"/>
      <c r="AZ148" s="409"/>
      <c r="BA148" s="409"/>
      <c r="BB148" s="409"/>
      <c r="BC148" s="409"/>
      <c r="BD148" s="409"/>
      <c r="BE148" s="409"/>
      <c r="BF148" s="409"/>
      <c r="BG148" s="409"/>
      <c r="BH148" s="409"/>
      <c r="BI148" s="266"/>
      <c r="BJ148" s="265"/>
      <c r="BL148" s="289"/>
    </row>
    <row r="149" spans="1:70" ht="14.4" customHeight="1">
      <c r="A149" s="265"/>
      <c r="B149" s="289"/>
      <c r="C149" s="289"/>
      <c r="D149" s="409"/>
      <c r="E149" s="409"/>
      <c r="F149" s="409"/>
      <c r="G149" s="409"/>
      <c r="H149" s="409"/>
      <c r="I149" s="409"/>
      <c r="J149" s="409"/>
      <c r="K149" s="409"/>
      <c r="L149" s="409"/>
      <c r="M149" s="409"/>
      <c r="N149" s="409"/>
      <c r="O149" s="409"/>
      <c r="P149" s="409"/>
      <c r="Q149" s="409"/>
      <c r="R149" s="409"/>
      <c r="S149" s="409"/>
      <c r="T149" s="409"/>
      <c r="U149" s="409"/>
      <c r="V149" s="409"/>
      <c r="W149" s="746" t="s">
        <v>402</v>
      </c>
      <c r="X149" s="746"/>
      <c r="Y149" s="746"/>
      <c r="Z149" s="746"/>
      <c r="AA149" s="746"/>
      <c r="AB149" s="746"/>
      <c r="AC149" s="426"/>
      <c r="AD149" s="506"/>
      <c r="AE149" s="506"/>
      <c r="AF149" s="289"/>
      <c r="AG149" s="515"/>
      <c r="AH149" s="515"/>
      <c r="AI149" s="13"/>
      <c r="AJ149" s="13"/>
      <c r="AK149" s="515"/>
      <c r="AL149" s="517"/>
      <c r="AM149" s="289"/>
      <c r="AN149" s="289"/>
      <c r="AO149" s="289"/>
      <c r="AP149" s="409"/>
      <c r="AQ149" s="409"/>
      <c r="AR149" s="409"/>
      <c r="AS149" s="409"/>
      <c r="AT149" s="409"/>
      <c r="AU149" s="409"/>
      <c r="AV149" s="409"/>
      <c r="AW149" s="409"/>
      <c r="AX149" s="409"/>
      <c r="AY149" s="409"/>
      <c r="AZ149" s="409"/>
      <c r="BA149" s="409"/>
      <c r="BB149" s="409"/>
      <c r="BC149" s="409"/>
      <c r="BD149" s="409"/>
      <c r="BE149" s="409"/>
      <c r="BF149" s="409"/>
      <c r="BG149" s="409"/>
      <c r="BH149" s="409"/>
      <c r="BI149" s="266"/>
      <c r="BJ149" s="265"/>
      <c r="BL149" s="289"/>
    </row>
    <row r="150" spans="1:70" ht="14.4" customHeight="1">
      <c r="A150" s="265"/>
      <c r="B150" s="289"/>
      <c r="C150" s="289"/>
      <c r="D150" s="409"/>
      <c r="E150" s="409"/>
      <c r="F150" s="409"/>
      <c r="G150" s="409"/>
      <c r="H150" s="409"/>
      <c r="I150" s="409"/>
      <c r="J150" s="409"/>
      <c r="K150" s="409"/>
      <c r="L150" s="409"/>
      <c r="M150" s="409"/>
      <c r="N150" s="409"/>
      <c r="O150" s="409"/>
      <c r="P150" s="409"/>
      <c r="Q150" s="409"/>
      <c r="R150" s="409"/>
      <c r="S150" s="409"/>
      <c r="T150" s="409"/>
      <c r="U150" s="409"/>
      <c r="V150" s="409"/>
      <c r="W150" s="771"/>
      <c r="X150" s="771"/>
      <c r="Y150" s="771"/>
      <c r="Z150" s="771"/>
      <c r="AA150" s="771"/>
      <c r="AB150" s="771"/>
      <c r="AC150" s="500"/>
      <c r="AD150" s="508"/>
      <c r="AE150" s="508"/>
      <c r="AF150" s="296"/>
      <c r="AG150" s="338"/>
      <c r="AH150" s="338"/>
      <c r="AI150" s="338"/>
      <c r="AJ150" s="338"/>
      <c r="AK150" s="338"/>
      <c r="AL150" s="338"/>
      <c r="AM150" s="338"/>
      <c r="AN150" s="296"/>
      <c r="AO150" s="296"/>
      <c r="AP150" s="510"/>
      <c r="AQ150" s="510"/>
      <c r="AR150" s="510"/>
      <c r="AS150" s="510"/>
      <c r="AT150" s="510"/>
      <c r="AU150" s="510"/>
      <c r="AV150" s="510"/>
      <c r="AW150" s="510"/>
      <c r="AX150" s="510"/>
      <c r="AY150" s="510"/>
      <c r="AZ150" s="510"/>
      <c r="BA150" s="510"/>
      <c r="BB150" s="510"/>
      <c r="BC150" s="510"/>
      <c r="BD150" s="510"/>
      <c r="BE150" s="409"/>
      <c r="BF150" s="409"/>
      <c r="BG150" s="409"/>
      <c r="BH150" s="409"/>
      <c r="BI150" s="266"/>
      <c r="BJ150" s="265"/>
      <c r="BM150" s="289"/>
      <c r="BN150" s="289"/>
      <c r="BO150" s="289"/>
      <c r="BP150" s="289"/>
      <c r="BQ150" s="289"/>
    </row>
    <row r="151" spans="1:70" ht="3.6" customHeight="1">
      <c r="A151" s="265"/>
      <c r="B151" s="289"/>
      <c r="C151" s="289"/>
      <c r="D151" s="409"/>
      <c r="E151" s="409"/>
      <c r="F151" s="409"/>
      <c r="G151" s="409"/>
      <c r="H151" s="409"/>
      <c r="I151" s="409"/>
      <c r="J151" s="409"/>
      <c r="K151" s="409"/>
      <c r="L151" s="409"/>
      <c r="M151" s="409"/>
      <c r="N151" s="409"/>
      <c r="O151" s="409"/>
      <c r="P151" s="409"/>
      <c r="Q151" s="409"/>
      <c r="R151" s="409"/>
      <c r="S151" s="409"/>
      <c r="T151" s="409"/>
      <c r="U151" s="409"/>
      <c r="V151" s="409"/>
      <c r="W151" s="425"/>
      <c r="X151" s="425"/>
      <c r="Y151" s="425"/>
      <c r="Z151" s="425"/>
      <c r="AA151" s="425"/>
      <c r="AB151" s="425"/>
      <c r="AC151" s="426"/>
      <c r="AD151" s="506"/>
      <c r="AE151" s="506"/>
      <c r="AF151" s="289"/>
      <c r="AG151" s="13"/>
      <c r="AH151" s="13"/>
      <c r="AI151" s="13"/>
      <c r="AJ151" s="13"/>
      <c r="AK151" s="13"/>
      <c r="AL151" s="13"/>
      <c r="AM151" s="13"/>
      <c r="AN151" s="289"/>
      <c r="AO151" s="289"/>
      <c r="AP151" s="409"/>
      <c r="AQ151" s="409"/>
      <c r="AR151" s="409"/>
      <c r="AS151" s="409"/>
      <c r="AT151" s="409"/>
      <c r="AU151" s="409"/>
      <c r="AV151" s="409"/>
      <c r="AW151" s="409"/>
      <c r="AX151" s="409"/>
      <c r="AY151" s="409"/>
      <c r="AZ151" s="409"/>
      <c r="BA151" s="409"/>
      <c r="BB151" s="409"/>
      <c r="BC151" s="409"/>
      <c r="BD151" s="409"/>
      <c r="BE151" s="409"/>
      <c r="BF151" s="409"/>
      <c r="BG151" s="409"/>
      <c r="BH151" s="409"/>
      <c r="BI151" s="266"/>
      <c r="BJ151" s="265"/>
      <c r="BM151" s="289"/>
      <c r="BN151" s="289"/>
      <c r="BO151" s="289"/>
      <c r="BP151" s="289"/>
      <c r="BQ151" s="289"/>
    </row>
    <row r="152" spans="1:70" ht="14.4" customHeight="1">
      <c r="A152" s="265"/>
      <c r="B152" s="289"/>
      <c r="C152" s="289"/>
      <c r="D152" s="409"/>
      <c r="E152" s="409"/>
      <c r="F152" s="409"/>
      <c r="G152" s="409"/>
      <c r="H152" s="409"/>
      <c r="I152" s="409"/>
      <c r="J152" s="409"/>
      <c r="K152" s="409"/>
      <c r="L152" s="409"/>
      <c r="M152" s="409"/>
      <c r="N152" s="409"/>
      <c r="O152" s="409"/>
      <c r="P152" s="409"/>
      <c r="Q152" s="409"/>
      <c r="R152" s="409"/>
      <c r="S152" s="409"/>
      <c r="T152" s="409"/>
      <c r="U152" s="409"/>
      <c r="V152" s="409"/>
      <c r="W152" s="425"/>
      <c r="X152" s="425"/>
      <c r="Y152" s="425"/>
      <c r="Z152" s="425"/>
      <c r="AA152" s="427"/>
      <c r="AB152" s="277"/>
      <c r="AC152" s="426"/>
      <c r="AD152" s="506"/>
      <c r="AE152" s="539"/>
      <c r="AF152" s="491"/>
      <c r="AG152" s="552"/>
      <c r="AH152" s="552"/>
      <c r="AI152" s="552"/>
      <c r="AJ152" s="552"/>
      <c r="AK152" s="552"/>
      <c r="AL152" s="552"/>
      <c r="AM152" s="552"/>
      <c r="AN152" s="492"/>
      <c r="AO152" s="492"/>
      <c r="AP152" s="462"/>
      <c r="AQ152" s="462"/>
      <c r="AR152" s="462"/>
      <c r="AS152" s="462"/>
      <c r="AT152" s="462"/>
      <c r="AU152" s="462"/>
      <c r="AV152" s="462"/>
      <c r="AW152" s="462"/>
      <c r="AX152" s="462"/>
      <c r="AY152" s="462"/>
      <c r="AZ152" s="462"/>
      <c r="BA152" s="462"/>
      <c r="BB152" s="462"/>
      <c r="BC152" s="462"/>
      <c r="BD152" s="462"/>
      <c r="BE152" s="409"/>
      <c r="BF152" s="409"/>
      <c r="BG152" s="409"/>
      <c r="BH152" s="409"/>
      <c r="BI152" s="266"/>
      <c r="BJ152" s="265"/>
      <c r="BM152" s="289"/>
      <c r="BO152" s="289"/>
      <c r="BP152" s="289"/>
      <c r="BQ152" s="289"/>
    </row>
    <row r="153" spans="1:70" ht="14.4" customHeight="1">
      <c r="A153" s="265"/>
      <c r="B153" s="289"/>
      <c r="C153" s="289"/>
      <c r="D153" s="409"/>
      <c r="E153" s="409"/>
      <c r="F153" s="409"/>
      <c r="G153" s="409"/>
      <c r="H153" s="409"/>
      <c r="I153" s="409"/>
      <c r="J153" s="409"/>
      <c r="K153" s="409"/>
      <c r="L153" s="409"/>
      <c r="M153" s="409"/>
      <c r="N153" s="409"/>
      <c r="O153" s="409"/>
      <c r="P153" s="409"/>
      <c r="Q153" s="409"/>
      <c r="R153" s="409"/>
      <c r="S153" s="409"/>
      <c r="T153" s="409"/>
      <c r="U153" s="409"/>
      <c r="V153" s="409"/>
      <c r="W153" s="425"/>
      <c r="X153" s="425"/>
      <c r="Y153" s="425"/>
      <c r="Z153" s="425"/>
      <c r="AA153" s="427"/>
      <c r="AB153" s="277"/>
      <c r="AC153" s="426"/>
      <c r="AD153" s="506"/>
      <c r="AE153" s="539"/>
      <c r="AF153" s="400"/>
      <c r="AG153" s="524" t="s">
        <v>416</v>
      </c>
      <c r="AH153" s="524"/>
      <c r="AI153" s="400"/>
      <c r="AJ153" s="400"/>
      <c r="AK153" s="400"/>
      <c r="AL153" s="400"/>
      <c r="AM153" s="400"/>
      <c r="AN153" s="397"/>
      <c r="AO153" s="397"/>
      <c r="AP153" s="465"/>
      <c r="AQ153" s="465"/>
      <c r="AR153" s="465"/>
      <c r="AS153" s="465"/>
      <c r="AT153" s="465"/>
      <c r="AU153" s="465"/>
      <c r="AV153" s="465"/>
      <c r="AW153" s="465"/>
      <c r="AX153" s="465"/>
      <c r="AY153" s="465"/>
      <c r="AZ153" s="465"/>
      <c r="BA153" s="465"/>
      <c r="BB153" s="465"/>
      <c r="BC153" s="465"/>
      <c r="BD153" s="465"/>
      <c r="BE153" s="409"/>
      <c r="BF153" s="409"/>
      <c r="BG153" s="409"/>
      <c r="BH153" s="409"/>
      <c r="BI153" s="266"/>
      <c r="BJ153" s="265"/>
    </row>
    <row r="154" spans="1:70">
      <c r="A154" s="265"/>
      <c r="B154" s="289"/>
      <c r="C154" s="289"/>
      <c r="D154" s="289"/>
      <c r="E154" s="289"/>
      <c r="F154" s="289"/>
      <c r="G154" s="289"/>
      <c r="H154" s="289"/>
      <c r="I154" s="289"/>
      <c r="J154" s="289"/>
      <c r="K154" s="770" t="str">
        <f>Obliczenia!AK82</f>
        <v/>
      </c>
      <c r="L154" s="770"/>
      <c r="M154" s="770"/>
      <c r="N154" s="770"/>
      <c r="O154" s="770"/>
      <c r="P154" s="770"/>
      <c r="Q154" s="770"/>
      <c r="R154" s="770"/>
      <c r="S154" s="770"/>
      <c r="T154" s="770"/>
      <c r="U154" s="770"/>
      <c r="V154" s="770"/>
      <c r="W154" s="770"/>
      <c r="X154" s="781" t="s">
        <v>407</v>
      </c>
      <c r="Y154" s="781"/>
      <c r="Z154" s="781"/>
      <c r="AA154" s="781"/>
      <c r="AB154" s="781"/>
      <c r="AC154" s="13"/>
      <c r="AD154" s="769">
        <f>IF(X154="Sterowanie przez aplikację ViCare","0 zł",VLOOKUP(X154,rozdzial,4,0)-VLOOKUP(X154,rozdzial,4,0)*(AC138/100))</f>
        <v>144</v>
      </c>
      <c r="AE154" s="778"/>
      <c r="AF154" s="397"/>
      <c r="AG154" s="400"/>
      <c r="AH154" s="532"/>
      <c r="AI154" s="531" t="s">
        <v>461</v>
      </c>
      <c r="AJ154" s="400"/>
      <c r="AK154" s="400"/>
      <c r="AL154" s="397"/>
      <c r="AM154" s="400"/>
      <c r="AN154" s="397"/>
      <c r="AO154" s="397"/>
      <c r="AP154" s="465"/>
      <c r="AQ154" s="465"/>
      <c r="AR154" s="465"/>
      <c r="AS154" s="465"/>
      <c r="AT154" s="465"/>
      <c r="AU154" s="465"/>
      <c r="AV154" s="465"/>
      <c r="AW154" s="465"/>
      <c r="AX154" s="465"/>
      <c r="AY154" s="465"/>
      <c r="AZ154" s="465"/>
      <c r="BA154" s="465"/>
      <c r="BB154" s="465"/>
      <c r="BC154" s="465"/>
      <c r="BD154" s="465"/>
      <c r="BE154" s="409"/>
      <c r="BF154" s="409"/>
      <c r="BG154" s="409"/>
      <c r="BH154" s="409"/>
      <c r="BI154" s="266"/>
      <c r="BJ154" s="265"/>
    </row>
    <row r="155" spans="1:70">
      <c r="A155" s="265"/>
      <c r="B155" s="289"/>
      <c r="C155" s="289"/>
      <c r="D155" s="289"/>
      <c r="E155" s="289"/>
      <c r="F155" s="289"/>
      <c r="G155" s="289"/>
      <c r="H155" s="289"/>
      <c r="I155" s="289"/>
      <c r="J155" s="289"/>
      <c r="K155" s="770"/>
      <c r="L155" s="770"/>
      <c r="M155" s="770"/>
      <c r="N155" s="770"/>
      <c r="O155" s="770"/>
      <c r="P155" s="770"/>
      <c r="Q155" s="770"/>
      <c r="R155" s="770"/>
      <c r="S155" s="770"/>
      <c r="T155" s="770"/>
      <c r="U155" s="770"/>
      <c r="V155" s="770"/>
      <c r="W155" s="770"/>
      <c r="X155" s="490" t="s">
        <v>456</v>
      </c>
      <c r="Y155" s="488"/>
      <c r="Z155" s="488"/>
      <c r="AA155" s="488"/>
      <c r="AB155" s="488"/>
      <c r="AC155" s="13"/>
      <c r="AD155" s="13"/>
      <c r="AE155" s="538"/>
      <c r="AF155" s="397"/>
      <c r="AG155" s="782" t="s">
        <v>462</v>
      </c>
      <c r="AH155" s="400"/>
      <c r="AI155" s="400"/>
      <c r="AJ155" s="780" t="s">
        <v>457</v>
      </c>
      <c r="AK155" s="780"/>
      <c r="AL155" s="400"/>
      <c r="AM155" s="400"/>
      <c r="AN155" s="397"/>
      <c r="AO155" s="397"/>
      <c r="AP155" s="465"/>
      <c r="AQ155" s="465"/>
      <c r="AR155" s="465"/>
      <c r="AS155" s="465"/>
      <c r="AT155" s="465"/>
      <c r="AU155" s="465"/>
      <c r="AV155" s="465"/>
      <c r="AW155" s="465"/>
      <c r="AX155" s="465"/>
      <c r="AY155" s="465"/>
      <c r="AZ155" s="465"/>
      <c r="BA155" s="465"/>
      <c r="BB155" s="465"/>
      <c r="BC155" s="465"/>
      <c r="BD155" s="465"/>
      <c r="BE155" s="409"/>
      <c r="BF155" s="409"/>
      <c r="BG155" s="409"/>
      <c r="BH155" s="409"/>
      <c r="BI155" s="266"/>
      <c r="BJ155" s="265"/>
    </row>
    <row r="156" spans="1:70">
      <c r="A156" s="265"/>
      <c r="B156" s="289"/>
      <c r="C156" s="289"/>
      <c r="D156" s="289"/>
      <c r="E156" s="289"/>
      <c r="F156" s="289"/>
      <c r="G156" s="289"/>
      <c r="H156" s="289"/>
      <c r="I156" s="289"/>
      <c r="J156" s="289"/>
      <c r="K156" s="770"/>
      <c r="L156" s="770"/>
      <c r="M156" s="770"/>
      <c r="N156" s="770"/>
      <c r="O156" s="770"/>
      <c r="P156" s="770"/>
      <c r="Q156" s="770"/>
      <c r="R156" s="770"/>
      <c r="S156" s="770"/>
      <c r="T156" s="770"/>
      <c r="U156" s="770"/>
      <c r="V156" s="770"/>
      <c r="W156" s="770"/>
      <c r="X156" s="334" t="str">
        <f>IF(X154="Sterowanie przez aplikację ViCare","",VLOOKUP(X154,rozdzial,3,0))</f>
        <v>ZK02789</v>
      </c>
      <c r="Z156" s="13"/>
      <c r="AA156" s="486"/>
      <c r="AB156" s="487"/>
      <c r="AC156" s="13"/>
      <c r="AD156" s="342"/>
      <c r="AE156" s="538"/>
      <c r="AF156" s="397"/>
      <c r="AG156" s="782"/>
      <c r="AH156" s="400"/>
      <c r="AI156" s="524" t="s">
        <v>457</v>
      </c>
      <c r="AJ156" s="400"/>
      <c r="AK156" s="400"/>
      <c r="AL156" s="400"/>
      <c r="AM156" s="400"/>
      <c r="AN156" s="525" t="s">
        <v>458</v>
      </c>
      <c r="AO156" s="397"/>
      <c r="AP156" s="465"/>
      <c r="AQ156" s="465"/>
      <c r="AR156" s="465"/>
      <c r="AS156" s="465"/>
      <c r="AT156" s="465"/>
      <c r="AU156" s="465"/>
      <c r="AV156" s="465"/>
      <c r="AW156" s="465"/>
      <c r="AX156" s="465"/>
      <c r="AY156" s="465"/>
      <c r="AZ156" s="465"/>
      <c r="BA156" s="465"/>
      <c r="BB156" s="465"/>
      <c r="BC156" s="465"/>
      <c r="BD156" s="465"/>
      <c r="BE156" s="409"/>
      <c r="BF156" s="409"/>
      <c r="BG156" s="409"/>
      <c r="BH156" s="409"/>
      <c r="BI156" s="266"/>
      <c r="BJ156" s="265"/>
    </row>
    <row r="157" spans="1:70">
      <c r="A157" s="265"/>
      <c r="B157" s="289"/>
      <c r="C157" s="289"/>
      <c r="D157" s="409"/>
      <c r="E157" s="409"/>
      <c r="F157" s="409"/>
      <c r="G157" s="409"/>
      <c r="H157" s="409"/>
      <c r="I157" s="409"/>
      <c r="J157" s="409"/>
      <c r="K157" s="770"/>
      <c r="L157" s="770"/>
      <c r="M157" s="770"/>
      <c r="N157" s="770"/>
      <c r="O157" s="770"/>
      <c r="P157" s="770"/>
      <c r="Q157" s="770"/>
      <c r="R157" s="770"/>
      <c r="S157" s="770"/>
      <c r="T157" s="770"/>
      <c r="U157" s="770"/>
      <c r="V157" s="770"/>
      <c r="W157" s="770"/>
      <c r="X157" s="13"/>
      <c r="Y157" s="13"/>
      <c r="Z157" s="13"/>
      <c r="AA157" s="13"/>
      <c r="AB157" s="13"/>
      <c r="AC157" s="13"/>
      <c r="AD157" s="289"/>
      <c r="AE157" s="538"/>
      <c r="AF157" s="397"/>
      <c r="AG157" s="400"/>
      <c r="AH157" s="531"/>
      <c r="AI157" s="764" t="s">
        <v>541</v>
      </c>
      <c r="AJ157" s="764"/>
      <c r="AK157" s="713" t="s">
        <v>664</v>
      </c>
      <c r="AL157" s="531"/>
      <c r="AM157" s="400"/>
      <c r="AN157" s="397"/>
      <c r="AO157" s="397"/>
      <c r="AP157" s="465"/>
      <c r="AQ157" s="465"/>
      <c r="AR157" s="465"/>
      <c r="AS157" s="465"/>
      <c r="AT157" s="465"/>
      <c r="AU157" s="465"/>
      <c r="AV157" s="465"/>
      <c r="AW157" s="465"/>
      <c r="AX157" s="465"/>
      <c r="AY157" s="465"/>
      <c r="AZ157" s="465"/>
      <c r="BA157" s="465"/>
      <c r="BB157" s="465"/>
      <c r="BC157" s="465"/>
      <c r="BD157" s="465"/>
      <c r="BE157" s="409"/>
      <c r="BF157" s="409"/>
      <c r="BG157" s="409"/>
      <c r="BH157" s="409"/>
      <c r="BI157" s="266"/>
      <c r="BJ157" s="265"/>
      <c r="BL157" s="289"/>
      <c r="BR157" s="289"/>
    </row>
    <row r="158" spans="1:70">
      <c r="A158" s="265"/>
      <c r="B158" s="289"/>
      <c r="C158" s="289"/>
      <c r="D158" s="409"/>
      <c r="E158" s="409"/>
      <c r="F158" s="409"/>
      <c r="G158" s="409"/>
      <c r="H158" s="409"/>
      <c r="I158" s="409"/>
      <c r="J158" s="409"/>
      <c r="K158" s="770"/>
      <c r="L158" s="770"/>
      <c r="M158" s="770"/>
      <c r="N158" s="770"/>
      <c r="O158" s="770"/>
      <c r="P158" s="770"/>
      <c r="Q158" s="770"/>
      <c r="R158" s="770"/>
      <c r="S158" s="770"/>
      <c r="T158" s="770"/>
      <c r="U158" s="770"/>
      <c r="V158" s="770"/>
      <c r="W158" s="770"/>
      <c r="X158" s="781" t="s">
        <v>525</v>
      </c>
      <c r="Y158" s="781"/>
      <c r="Z158" s="781"/>
      <c r="AA158" s="781"/>
      <c r="AB158" s="781"/>
      <c r="AC158" s="13"/>
      <c r="AD158" s="769" t="str">
        <f>IFERROR(VLOOKUP(X158,rozdzial,4,0)-VLOOKUP(X158,rozdzial,4,0)*(AC138/100),"")</f>
        <v/>
      </c>
      <c r="AE158" s="778"/>
      <c r="AF158" s="526"/>
      <c r="AG158" s="528" t="s">
        <v>460</v>
      </c>
      <c r="AH158" s="250"/>
      <c r="AI158" s="250"/>
      <c r="AJ158" s="529"/>
      <c r="AK158" s="522"/>
      <c r="AL158" s="377"/>
      <c r="AM158" s="377"/>
      <c r="AN158" s="535"/>
      <c r="AO158" s="535"/>
      <c r="AP158" s="536"/>
      <c r="AQ158" s="536"/>
      <c r="AR158" s="536"/>
      <c r="AS158" s="536"/>
      <c r="AT158" s="536"/>
      <c r="AU158" s="536"/>
      <c r="AV158" s="536"/>
      <c r="AW158" s="536"/>
      <c r="AX158" s="536"/>
      <c r="AY158" s="536"/>
      <c r="AZ158" s="536"/>
      <c r="BA158" s="536"/>
      <c r="BB158" s="536"/>
      <c r="BC158" s="536"/>
      <c r="BD158" s="536"/>
      <c r="BE158" s="409"/>
      <c r="BF158" s="409"/>
      <c r="BG158" s="409"/>
      <c r="BH158" s="409"/>
      <c r="BI158" s="266"/>
      <c r="BJ158" s="265"/>
      <c r="BL158" s="289"/>
      <c r="BR158" s="289"/>
    </row>
    <row r="159" spans="1:70" ht="14.4" customHeight="1">
      <c r="A159" s="265"/>
      <c r="B159" s="289"/>
      <c r="C159" s="289"/>
      <c r="D159" s="409"/>
      <c r="E159" s="409"/>
      <c r="F159" s="409"/>
      <c r="G159" s="409"/>
      <c r="H159" s="409"/>
      <c r="I159" s="409"/>
      <c r="J159" s="409"/>
      <c r="K159" s="770"/>
      <c r="L159" s="770"/>
      <c r="M159" s="770"/>
      <c r="N159" s="770"/>
      <c r="O159" s="770"/>
      <c r="P159" s="770"/>
      <c r="Q159" s="770"/>
      <c r="R159" s="770"/>
      <c r="S159" s="770"/>
      <c r="T159" s="770"/>
      <c r="U159" s="770"/>
      <c r="V159" s="770"/>
      <c r="W159" s="770"/>
      <c r="X159" s="490" t="str">
        <f>IF(X137="Vitoair FS 300E MA 300m3/h","Opcja: do komunikacji z pompą ciepłą z regulatorem E3",IF(X158="Przewód komunikacyjny Can-Bus 5m","Uwaga! Nie ma zastosowanie w tym rozwiązaniu",""))</f>
        <v/>
      </c>
      <c r="Y159" s="488"/>
      <c r="Z159" s="488"/>
      <c r="AA159" s="488"/>
      <c r="AB159" s="488"/>
      <c r="AC159" s="339"/>
      <c r="AD159" s="502"/>
      <c r="AE159" s="540"/>
      <c r="AF159" s="526"/>
      <c r="AG159" s="716" t="s">
        <v>539</v>
      </c>
      <c r="AH159" s="527"/>
      <c r="AI159" s="250"/>
      <c r="AJ159" s="523"/>
      <c r="AK159" s="523"/>
      <c r="AL159" s="522"/>
      <c r="AM159" s="522"/>
      <c r="AN159" s="535"/>
      <c r="AO159" s="535"/>
      <c r="AP159" s="536"/>
      <c r="AQ159" s="536"/>
      <c r="AR159" s="536"/>
      <c r="AS159" s="536"/>
      <c r="AT159" s="536"/>
      <c r="AU159" s="536"/>
      <c r="AV159" s="536"/>
      <c r="AW159" s="536"/>
      <c r="AX159" s="536"/>
      <c r="AY159" s="536"/>
      <c r="AZ159" s="536"/>
      <c r="BA159" s="536"/>
      <c r="BB159" s="536"/>
      <c r="BC159" s="536"/>
      <c r="BD159" s="536"/>
      <c r="BE159" s="409"/>
      <c r="BF159" s="409"/>
      <c r="BG159" s="409"/>
      <c r="BH159" s="409"/>
      <c r="BI159" s="266"/>
      <c r="BJ159" s="265"/>
      <c r="BL159" s="289"/>
      <c r="BR159" s="289"/>
    </row>
    <row r="160" spans="1:70">
      <c r="A160" s="265"/>
      <c r="B160" s="289"/>
      <c r="C160" s="289"/>
      <c r="D160" s="409"/>
      <c r="E160" s="409"/>
      <c r="F160" s="409"/>
      <c r="G160" s="409"/>
      <c r="H160" s="409"/>
      <c r="I160" s="409"/>
      <c r="J160" s="409"/>
      <c r="K160" s="409"/>
      <c r="L160" s="409"/>
      <c r="M160" s="409"/>
      <c r="N160" s="409"/>
      <c r="O160" s="409"/>
      <c r="P160" s="409"/>
      <c r="Q160" s="409"/>
      <c r="R160" s="409"/>
      <c r="S160" s="409"/>
      <c r="T160" s="409"/>
      <c r="U160" s="409"/>
      <c r="V160" s="409"/>
      <c r="W160" s="13"/>
      <c r="X160" s="334" t="str">
        <f>IFERROR(VLOOKUP(X158,rozdzial,3,0),"")</f>
        <v/>
      </c>
      <c r="Y160" s="13"/>
      <c r="Z160" s="13"/>
      <c r="AA160" s="13"/>
      <c r="AB160" s="13"/>
      <c r="AC160" s="13"/>
      <c r="AD160" s="289"/>
      <c r="AE160" s="538"/>
      <c r="AF160" s="526"/>
      <c r="AG160" s="714"/>
      <c r="AH160" s="533"/>
      <c r="AI160" s="526"/>
      <c r="AJ160" s="779" t="s">
        <v>459</v>
      </c>
      <c r="AK160" s="779"/>
      <c r="AL160" s="522"/>
      <c r="AM160" s="377"/>
      <c r="AN160" s="535"/>
      <c r="AO160" s="535"/>
      <c r="AP160" s="536"/>
      <c r="AQ160" s="536"/>
      <c r="AR160" s="536"/>
      <c r="AS160" s="536"/>
      <c r="AT160" s="536"/>
      <c r="AU160" s="536"/>
      <c r="AV160" s="536"/>
      <c r="AW160" s="536"/>
      <c r="AX160" s="536"/>
      <c r="AY160" s="536"/>
      <c r="AZ160" s="536"/>
      <c r="BA160" s="536"/>
      <c r="BB160" s="536"/>
      <c r="BC160" s="536"/>
      <c r="BD160" s="536"/>
      <c r="BE160" s="409"/>
      <c r="BF160" s="409"/>
      <c r="BG160" s="409"/>
      <c r="BH160" s="409"/>
      <c r="BI160" s="266"/>
      <c r="BJ160" s="265"/>
      <c r="BL160" s="289"/>
      <c r="BR160" s="289"/>
    </row>
    <row r="161" spans="1:62">
      <c r="A161" s="265"/>
      <c r="B161" s="289"/>
      <c r="C161" s="289"/>
      <c r="D161" s="409"/>
      <c r="E161" s="409"/>
      <c r="F161" s="409"/>
      <c r="G161" s="409"/>
      <c r="H161" s="409"/>
      <c r="I161" s="409"/>
      <c r="J161" s="409"/>
      <c r="K161" s="409"/>
      <c r="L161" s="409"/>
      <c r="M161" s="409"/>
      <c r="N161" s="409"/>
      <c r="O161" s="409"/>
      <c r="P161" s="409"/>
      <c r="Q161" s="409"/>
      <c r="R161" s="409"/>
      <c r="S161" s="409"/>
      <c r="T161" s="409"/>
      <c r="U161" s="409"/>
      <c r="V161" s="409"/>
      <c r="W161" s="13"/>
      <c r="Y161" s="13"/>
      <c r="Z161" s="13"/>
      <c r="AA161" s="13"/>
      <c r="AB161" s="13"/>
      <c r="AC161" s="13"/>
      <c r="AD161" s="289"/>
      <c r="AE161" s="538"/>
      <c r="AF161" s="526"/>
      <c r="AG161" s="534" t="s">
        <v>62</v>
      </c>
      <c r="AH161" s="533"/>
      <c r="AI161" s="533"/>
      <c r="AJ161" s="797"/>
      <c r="AK161" s="797"/>
      <c r="AL161" s="377"/>
      <c r="AM161" s="377"/>
      <c r="AN161" s="535"/>
      <c r="AO161" s="535"/>
      <c r="AP161" s="536"/>
      <c r="AQ161" s="536"/>
      <c r="AR161" s="536"/>
      <c r="AS161" s="536"/>
      <c r="AT161" s="536"/>
      <c r="AU161" s="536"/>
      <c r="AV161" s="536"/>
      <c r="AW161" s="536"/>
      <c r="AX161" s="536"/>
      <c r="AY161" s="536"/>
      <c r="AZ161" s="536"/>
      <c r="BA161" s="536"/>
      <c r="BB161" s="536"/>
      <c r="BC161" s="536"/>
      <c r="BD161" s="536"/>
      <c r="BE161" s="409"/>
      <c r="BF161" s="409"/>
      <c r="BG161" s="409"/>
      <c r="BH161" s="409"/>
      <c r="BI161" s="266"/>
      <c r="BJ161" s="265"/>
    </row>
    <row r="162" spans="1:62" ht="14.4" customHeight="1">
      <c r="A162" s="265"/>
      <c r="B162" s="289"/>
      <c r="C162" s="289"/>
      <c r="D162" s="409"/>
      <c r="E162" s="409"/>
      <c r="F162" s="409"/>
      <c r="G162" s="409"/>
      <c r="H162" s="409"/>
      <c r="I162" s="409"/>
      <c r="J162" s="409"/>
      <c r="K162" s="409"/>
      <c r="L162" s="409"/>
      <c r="M162" s="409"/>
      <c r="N162" s="409"/>
      <c r="O162" s="409"/>
      <c r="P162" s="409"/>
      <c r="Q162" s="409"/>
      <c r="R162" s="409"/>
      <c r="S162" s="409"/>
      <c r="T162" s="409"/>
      <c r="U162" s="409"/>
      <c r="V162" s="409"/>
      <c r="W162" s="746" t="s">
        <v>466</v>
      </c>
      <c r="X162" s="746"/>
      <c r="Y162" s="746"/>
      <c r="Z162" s="746"/>
      <c r="AA162" s="746"/>
      <c r="AB162" s="746"/>
      <c r="AC162" s="426"/>
      <c r="AD162" s="289"/>
      <c r="AE162" s="538"/>
      <c r="AF162" s="526"/>
      <c r="AG162" s="719" t="s">
        <v>692</v>
      </c>
      <c r="AH162" s="250"/>
      <c r="AI162" s="250"/>
      <c r="AJ162" s="796" t="s">
        <v>660</v>
      </c>
      <c r="AK162" s="779"/>
      <c r="AL162" s="377"/>
      <c r="AM162" s="377"/>
      <c r="AN162" s="523" t="s">
        <v>458</v>
      </c>
      <c r="AO162" s="535"/>
      <c r="AP162" s="536"/>
      <c r="AQ162" s="536"/>
      <c r="AR162" s="536"/>
      <c r="AS162" s="536"/>
      <c r="AT162" s="536"/>
      <c r="AU162" s="536"/>
      <c r="AV162" s="536"/>
      <c r="AW162" s="536"/>
      <c r="AX162" s="536"/>
      <c r="AY162" s="536"/>
      <c r="AZ162" s="536"/>
      <c r="BA162" s="536"/>
      <c r="BB162" s="536"/>
      <c r="BC162" s="536"/>
      <c r="BD162" s="536"/>
      <c r="BE162" s="409"/>
      <c r="BF162" s="409"/>
      <c r="BG162" s="409"/>
      <c r="BH162" s="409"/>
      <c r="BI162" s="266"/>
      <c r="BJ162" s="265"/>
    </row>
    <row r="163" spans="1:62" ht="14.4" customHeight="1">
      <c r="A163" s="265"/>
      <c r="B163" s="289"/>
      <c r="C163" s="289"/>
      <c r="D163" s="409"/>
      <c r="E163" s="409"/>
      <c r="F163" s="409"/>
      <c r="G163" s="409"/>
      <c r="H163" s="409"/>
      <c r="I163" s="409"/>
      <c r="J163" s="409"/>
      <c r="K163" s="409"/>
      <c r="L163" s="409"/>
      <c r="M163" s="409"/>
      <c r="N163" s="409"/>
      <c r="O163" s="409"/>
      <c r="P163" s="409"/>
      <c r="Q163" s="409"/>
      <c r="R163" s="409"/>
      <c r="S163" s="409"/>
      <c r="T163" s="409"/>
      <c r="U163" s="409"/>
      <c r="V163" s="409"/>
      <c r="W163" s="746"/>
      <c r="X163" s="746"/>
      <c r="Y163" s="746"/>
      <c r="Z163" s="746"/>
      <c r="AA163" s="746"/>
      <c r="AB163" s="746"/>
      <c r="AC163" s="426"/>
      <c r="AD163" s="289"/>
      <c r="AE163" s="538"/>
      <c r="AF163" s="550"/>
      <c r="AG163" s="553"/>
      <c r="AH163" s="553"/>
      <c r="AI163" s="619" t="s">
        <v>542</v>
      </c>
      <c r="AJ163" s="554"/>
      <c r="AK163" s="715"/>
      <c r="AL163" s="715"/>
      <c r="AM163" s="554"/>
      <c r="AN163" s="555"/>
      <c r="AO163" s="530"/>
      <c r="AP163" s="537"/>
      <c r="AQ163" s="537"/>
      <c r="AR163" s="537"/>
      <c r="AS163" s="537"/>
      <c r="AT163" s="537"/>
      <c r="AU163" s="537"/>
      <c r="AV163" s="537"/>
      <c r="AW163" s="537"/>
      <c r="AX163" s="537"/>
      <c r="AY163" s="537"/>
      <c r="AZ163" s="537"/>
      <c r="BA163" s="537"/>
      <c r="BB163" s="537"/>
      <c r="BC163" s="537"/>
      <c r="BD163" s="537"/>
      <c r="BE163" s="409"/>
      <c r="BF163" s="409"/>
      <c r="BG163" s="409"/>
      <c r="BH163" s="409"/>
      <c r="BI163" s="266"/>
      <c r="BJ163" s="265"/>
    </row>
    <row r="164" spans="1:62" ht="3.6" customHeight="1">
      <c r="A164" s="265"/>
      <c r="B164" s="289"/>
      <c r="C164" s="289"/>
      <c r="D164" s="409"/>
      <c r="E164" s="409"/>
      <c r="F164" s="409"/>
      <c r="G164" s="409"/>
      <c r="H164" s="409"/>
      <c r="I164" s="409"/>
      <c r="J164" s="409"/>
      <c r="K164" s="409"/>
      <c r="L164" s="409"/>
      <c r="M164" s="409"/>
      <c r="N164" s="409"/>
      <c r="O164" s="409"/>
      <c r="P164" s="409"/>
      <c r="Q164" s="409"/>
      <c r="R164" s="409"/>
      <c r="S164" s="409"/>
      <c r="T164" s="409"/>
      <c r="U164" s="409"/>
      <c r="V164" s="409"/>
      <c r="W164" s="771"/>
      <c r="X164" s="771"/>
      <c r="Y164" s="771"/>
      <c r="Z164" s="771"/>
      <c r="AA164" s="771"/>
      <c r="AB164" s="771"/>
      <c r="AC164" s="500"/>
      <c r="AD164" s="296"/>
      <c r="AE164" s="296"/>
      <c r="AF164" s="556"/>
      <c r="AG164" s="556"/>
      <c r="AH164" s="556"/>
      <c r="AI164" s="556"/>
      <c r="AJ164" s="556"/>
      <c r="AK164" s="557"/>
      <c r="AL164" s="557"/>
      <c r="AM164" s="556"/>
      <c r="AN164" s="556"/>
      <c r="AO164" s="556"/>
      <c r="AP164" s="558"/>
      <c r="AQ164" s="558"/>
      <c r="AR164" s="558"/>
      <c r="AS164" s="558"/>
      <c r="AT164" s="558"/>
      <c r="AU164" s="558"/>
      <c r="AV164" s="558"/>
      <c r="AW164" s="558"/>
      <c r="AX164" s="558"/>
      <c r="AY164" s="558"/>
      <c r="AZ164" s="558"/>
      <c r="BA164" s="558"/>
      <c r="BB164" s="558"/>
      <c r="BC164" s="558"/>
      <c r="BD164" s="558"/>
      <c r="BE164" s="409"/>
      <c r="BF164" s="409"/>
      <c r="BG164" s="409"/>
      <c r="BH164" s="409"/>
      <c r="BI164" s="266"/>
      <c r="BJ164" s="265"/>
    </row>
    <row r="165" spans="1:62">
      <c r="A165" s="265"/>
      <c r="B165" s="289"/>
      <c r="C165" s="289"/>
      <c r="D165" s="409"/>
      <c r="E165" s="409"/>
      <c r="F165" s="409"/>
      <c r="G165" s="409"/>
      <c r="H165" s="409"/>
      <c r="I165" s="409"/>
      <c r="J165" s="409"/>
      <c r="K165" s="409"/>
      <c r="L165" s="409"/>
      <c r="M165" s="409"/>
      <c r="N165" s="409"/>
      <c r="O165" s="409"/>
      <c r="P165" s="409"/>
      <c r="Q165" s="409"/>
      <c r="R165" s="409"/>
      <c r="S165" s="409"/>
      <c r="T165" s="409"/>
      <c r="U165" s="409"/>
      <c r="V165" s="409"/>
      <c r="W165" s="13"/>
      <c r="X165" s="13"/>
      <c r="Y165" s="13"/>
      <c r="Z165" s="13"/>
      <c r="AA165" s="13"/>
      <c r="AB165" s="13"/>
      <c r="AC165" s="13"/>
      <c r="AD165" s="289"/>
      <c r="AE165" s="289"/>
      <c r="AF165" s="289"/>
      <c r="AG165" s="289"/>
      <c r="AH165" s="289"/>
      <c r="AI165" s="289"/>
      <c r="AJ165" s="289"/>
      <c r="AK165" s="289"/>
      <c r="AL165" s="289"/>
      <c r="AM165" s="289"/>
      <c r="AN165" s="289"/>
      <c r="AO165" s="289"/>
      <c r="AP165" s="409"/>
      <c r="AQ165" s="409"/>
      <c r="AR165" s="409"/>
      <c r="AS165" s="409"/>
      <c r="AT165" s="409"/>
      <c r="AU165" s="409"/>
      <c r="AV165" s="409"/>
      <c r="AW165" s="409"/>
      <c r="AX165" s="409"/>
      <c r="AY165" s="409"/>
      <c r="AZ165" s="409"/>
      <c r="BA165" s="409"/>
      <c r="BB165" s="409"/>
      <c r="BC165" s="409"/>
      <c r="BD165" s="409"/>
      <c r="BE165" s="409"/>
      <c r="BF165" s="409"/>
      <c r="BG165" s="409"/>
      <c r="BH165" s="409"/>
      <c r="BI165" s="266"/>
      <c r="BJ165" s="265"/>
    </row>
    <row r="166" spans="1:62" ht="13.95" customHeight="1">
      <c r="A166" s="265"/>
      <c r="B166" s="289"/>
      <c r="C166" s="289"/>
      <c r="D166" s="409"/>
      <c r="E166" s="409"/>
      <c r="F166" s="409"/>
      <c r="G166" s="409"/>
      <c r="H166" s="409"/>
      <c r="I166" s="409"/>
      <c r="J166" s="409"/>
      <c r="K166" s="409"/>
      <c r="L166" s="409"/>
      <c r="M166" s="409"/>
      <c r="N166" s="409"/>
      <c r="O166" s="409"/>
      <c r="P166" s="409"/>
      <c r="Q166" s="409"/>
      <c r="R166" s="409"/>
      <c r="S166" s="409"/>
      <c r="T166" s="409"/>
      <c r="U166" s="409"/>
      <c r="V166" s="409"/>
      <c r="W166" s="289"/>
      <c r="X166" s="290"/>
      <c r="Y166" s="290"/>
      <c r="Z166" s="290"/>
      <c r="AA166" s="290"/>
      <c r="AB166" s="290"/>
      <c r="AC166" s="266"/>
      <c r="AD166" s="266"/>
      <c r="AE166" s="266"/>
      <c r="AF166" s="266"/>
      <c r="AG166" s="13"/>
      <c r="AH166" s="289"/>
      <c r="AI166" s="289"/>
      <c r="AJ166" s="289"/>
      <c r="AK166" s="289"/>
      <c r="AL166" s="289"/>
      <c r="AM166" s="289"/>
      <c r="AN166" s="289"/>
      <c r="AO166" s="289"/>
      <c r="AP166" s="409"/>
      <c r="AQ166" s="409"/>
      <c r="AR166" s="409"/>
      <c r="AS166" s="409"/>
      <c r="AT166" s="409"/>
      <c r="AU166" s="409"/>
      <c r="AV166" s="409"/>
      <c r="AW166" s="409"/>
      <c r="AX166" s="409"/>
      <c r="AY166" s="409"/>
      <c r="AZ166" s="409"/>
      <c r="BA166" s="409"/>
      <c r="BB166" s="409"/>
      <c r="BC166" s="409"/>
      <c r="BD166" s="409"/>
      <c r="BE166" s="409"/>
      <c r="BF166" s="409"/>
      <c r="BG166" s="409"/>
      <c r="BH166" s="409"/>
      <c r="BI166" s="266"/>
      <c r="BJ166" s="265"/>
    </row>
    <row r="167" spans="1:62" ht="13.95" customHeight="1">
      <c r="A167" s="265"/>
      <c r="B167" s="289"/>
      <c r="C167" s="289"/>
      <c r="D167" s="409"/>
      <c r="E167" s="409"/>
      <c r="F167" s="409"/>
      <c r="G167" s="409"/>
      <c r="H167" s="409"/>
      <c r="I167" s="409"/>
      <c r="J167" s="409"/>
      <c r="K167" s="409"/>
      <c r="L167" s="409"/>
      <c r="M167" s="409"/>
      <c r="N167" s="409"/>
      <c r="O167" s="409"/>
      <c r="P167" s="409"/>
      <c r="Q167" s="409"/>
      <c r="R167" s="409"/>
      <c r="S167" s="409"/>
      <c r="T167" s="409"/>
      <c r="U167" s="409"/>
      <c r="V167" s="409"/>
      <c r="W167" s="289"/>
      <c r="X167" s="496" t="s">
        <v>551</v>
      </c>
      <c r="Y167" s="13"/>
      <c r="Z167" s="13"/>
      <c r="AA167" s="13"/>
      <c r="AB167" s="13"/>
      <c r="AC167" s="816">
        <f>Obliczenia!BC30</f>
        <v>17</v>
      </c>
      <c r="AD167" s="769">
        <f>VLOOKUP(X167,rozdzial75,4,0)*AC167*(1-$AM$236/100)</f>
        <v>2278</v>
      </c>
      <c r="AE167" s="769"/>
      <c r="AF167" s="282"/>
      <c r="AG167" s="13"/>
      <c r="AH167" s="496" t="str">
        <f>'Elementy DN75&amp;90 2024-09'!D43</f>
        <v>Kanał elastyczny okrągły DN90, 50 m</v>
      </c>
      <c r="AI167" s="13"/>
      <c r="AJ167" s="13"/>
      <c r="AK167" s="13"/>
      <c r="AL167" s="763">
        <f>AK170</f>
        <v>4</v>
      </c>
      <c r="AM167" s="769">
        <f>VLOOKUP(AH167,rozdzial75,4,0)*AL167*(1-$AM$236/100)</f>
        <v>2904</v>
      </c>
      <c r="AN167" s="769"/>
      <c r="AO167" s="289"/>
      <c r="AP167" s="409"/>
      <c r="AQ167" s="409"/>
      <c r="AR167" s="409"/>
      <c r="AS167" s="409"/>
      <c r="AT167" s="409"/>
      <c r="AU167" s="409"/>
      <c r="AV167" s="409"/>
      <c r="AW167" s="409"/>
      <c r="AX167" s="409"/>
      <c r="AY167" s="409"/>
      <c r="AZ167" s="409"/>
      <c r="BA167" s="409"/>
      <c r="BB167" s="409"/>
      <c r="BC167" s="409"/>
      <c r="BD167" s="409"/>
      <c r="BE167" s="409"/>
      <c r="BF167" s="409"/>
      <c r="BG167" s="409"/>
      <c r="BH167" s="409"/>
      <c r="BI167" s="266"/>
      <c r="BJ167" s="265"/>
    </row>
    <row r="168" spans="1:62" ht="13.95" customHeight="1">
      <c r="A168" s="265"/>
      <c r="B168" s="289"/>
      <c r="C168" s="289"/>
      <c r="D168" s="409"/>
      <c r="E168" s="409"/>
      <c r="F168" s="409"/>
      <c r="G168" s="409"/>
      <c r="H168" s="409"/>
      <c r="I168" s="409"/>
      <c r="J168" s="409"/>
      <c r="K168" s="409"/>
      <c r="L168" s="409"/>
      <c r="M168" s="409"/>
      <c r="N168" s="409"/>
      <c r="O168" s="409"/>
      <c r="P168" s="409"/>
      <c r="Q168" s="409"/>
      <c r="R168" s="409"/>
      <c r="S168" s="409"/>
      <c r="T168" s="409"/>
      <c r="U168" s="409"/>
      <c r="V168" s="409"/>
      <c r="W168" s="289"/>
      <c r="X168" s="490" t="s">
        <v>474</v>
      </c>
      <c r="Y168" s="488"/>
      <c r="Z168" s="488"/>
      <c r="AA168" s="488"/>
      <c r="AB168" s="488"/>
      <c r="AC168" s="816"/>
      <c r="AD168" s="502"/>
      <c r="AE168" s="503"/>
      <c r="AF168" s="340"/>
      <c r="AG168" s="13"/>
      <c r="AH168" s="804" t="str">
        <f>'Elementy DN75&amp;90 2024-09'!H41</f>
        <v>Krąg o długości 50 m, nadrukowane znaczniki długości, powierzchnia antybakteryjna i antystatyczna</v>
      </c>
      <c r="AI168" s="804"/>
      <c r="AJ168" s="804"/>
      <c r="AK168" s="804"/>
      <c r="AL168" s="763"/>
      <c r="AM168" s="541"/>
      <c r="AN168" s="506"/>
      <c r="AO168" s="289"/>
      <c r="AP168" s="409"/>
      <c r="AQ168" s="409"/>
      <c r="AR168" s="409"/>
      <c r="AS168" s="409"/>
      <c r="AT168" s="409"/>
      <c r="AU168" s="409"/>
      <c r="AV168" s="409"/>
      <c r="AW168" s="409"/>
      <c r="AX168" s="409"/>
      <c r="AY168" s="409"/>
      <c r="AZ168" s="409"/>
      <c r="BA168" s="409"/>
      <c r="BB168" s="409"/>
      <c r="BC168" s="409"/>
      <c r="BD168" s="409"/>
      <c r="BE168" s="409"/>
      <c r="BF168" s="409"/>
      <c r="BG168" s="409"/>
      <c r="BH168" s="409"/>
      <c r="BI168" s="266"/>
      <c r="BJ168" s="265"/>
    </row>
    <row r="169" spans="1:62" ht="13.95" customHeight="1">
      <c r="A169" s="265"/>
      <c r="B169" s="289"/>
      <c r="C169" s="289"/>
      <c r="D169" s="409"/>
      <c r="E169" s="409"/>
      <c r="F169" s="409"/>
      <c r="G169" s="409"/>
      <c r="H169" s="409"/>
      <c r="I169" s="409"/>
      <c r="J169" s="409"/>
      <c r="K169" s="409"/>
      <c r="L169" s="409"/>
      <c r="M169" s="409"/>
      <c r="N169" s="409"/>
      <c r="O169" s="409"/>
      <c r="P169" s="409"/>
      <c r="Q169" s="409"/>
      <c r="R169" s="409"/>
      <c r="S169" s="409"/>
      <c r="T169" s="409"/>
      <c r="U169" s="409"/>
      <c r="V169" s="409"/>
      <c r="W169" s="289"/>
      <c r="X169" s="334">
        <f>VLOOKUP(X167,rozdzial75,3,0)</f>
        <v>7988046</v>
      </c>
      <c r="Y169" s="562">
        <f>VLOOKUP(X167,rozdzial75,4,0)</f>
        <v>134</v>
      </c>
      <c r="Z169" s="13"/>
      <c r="AA169" s="486"/>
      <c r="AB169" s="487"/>
      <c r="AC169" s="13"/>
      <c r="AD169" s="503"/>
      <c r="AE169" s="503"/>
      <c r="AF169" s="342"/>
      <c r="AG169" s="13"/>
      <c r="AH169" s="805"/>
      <c r="AI169" s="805"/>
      <c r="AJ169" s="805"/>
      <c r="AK169" s="805"/>
      <c r="AL169" s="13"/>
      <c r="AM169" s="541"/>
      <c r="AN169" s="506"/>
      <c r="AO169" s="289"/>
      <c r="AP169" s="409"/>
      <c r="AQ169" s="409"/>
      <c r="AR169" s="409"/>
      <c r="AS169" s="409"/>
      <c r="AT169" s="409"/>
      <c r="AU169" s="409"/>
      <c r="AV169" s="409"/>
      <c r="AW169" s="409"/>
      <c r="AX169" s="409"/>
      <c r="AY169" s="409"/>
      <c r="AZ169" s="409"/>
      <c r="BA169" s="409"/>
      <c r="BB169" s="409"/>
      <c r="BC169" s="409"/>
      <c r="BD169" s="409"/>
      <c r="BE169" s="409"/>
      <c r="BF169" s="409"/>
      <c r="BG169" s="409"/>
      <c r="BH169" s="409"/>
      <c r="BI169" s="266"/>
      <c r="BJ169" s="265"/>
    </row>
    <row r="170" spans="1:62" ht="13.95" customHeight="1">
      <c r="A170" s="265"/>
      <c r="B170" s="289"/>
      <c r="C170" s="289"/>
      <c r="D170" s="409"/>
      <c r="E170" s="409"/>
      <c r="F170" s="409"/>
      <c r="G170" s="409"/>
      <c r="H170" s="409"/>
      <c r="I170" s="409"/>
      <c r="J170" s="409"/>
      <c r="K170" s="409"/>
      <c r="L170" s="409"/>
      <c r="M170" s="409"/>
      <c r="N170" s="409"/>
      <c r="O170" s="409"/>
      <c r="P170" s="409"/>
      <c r="Q170" s="409"/>
      <c r="R170" s="409"/>
      <c r="S170" s="409"/>
      <c r="T170" s="409"/>
      <c r="U170" s="409"/>
      <c r="V170" s="409"/>
      <c r="W170" s="289"/>
      <c r="X170" s="13"/>
      <c r="Y170" s="13"/>
      <c r="Z170" s="13"/>
      <c r="AA170" s="13"/>
      <c r="AB170" s="13"/>
      <c r="AC170" s="13"/>
      <c r="AD170" s="503"/>
      <c r="AE170" s="503"/>
      <c r="AF170" s="13"/>
      <c r="AG170" s="13"/>
      <c r="AH170" s="334">
        <f>VLOOKUP(AH167,rozdzial75,3,0)</f>
        <v>7228296</v>
      </c>
      <c r="AI170" s="562">
        <f>VLOOKUP(AH167,rozdzial75,4,0)</f>
        <v>726</v>
      </c>
      <c r="AJ170" s="13"/>
      <c r="AK170" s="571">
        <f>ROUNDUP(AC167*10/50,0)</f>
        <v>4</v>
      </c>
      <c r="AL170" s="289"/>
      <c r="AM170" s="506"/>
      <c r="AN170" s="506"/>
      <c r="AO170" s="289"/>
      <c r="AP170" s="409"/>
      <c r="AQ170" s="409"/>
      <c r="AR170" s="409"/>
      <c r="AS170" s="409"/>
      <c r="AT170" s="409"/>
      <c r="AU170" s="409"/>
      <c r="AV170" s="409"/>
      <c r="AW170" s="409"/>
      <c r="AX170" s="409"/>
      <c r="AY170" s="409"/>
      <c r="AZ170" s="409"/>
      <c r="BA170" s="409"/>
      <c r="BB170" s="409"/>
      <c r="BC170" s="409"/>
      <c r="BD170" s="409"/>
      <c r="BE170" s="409"/>
      <c r="BF170" s="409"/>
      <c r="BG170" s="409"/>
      <c r="BH170" s="409"/>
      <c r="BI170" s="266"/>
      <c r="BJ170" s="265"/>
    </row>
    <row r="171" spans="1:62" ht="13.95" customHeight="1">
      <c r="A171" s="265"/>
      <c r="B171" s="289"/>
      <c r="C171" s="289"/>
      <c r="D171" s="409"/>
      <c r="E171" s="409"/>
      <c r="F171" s="409"/>
      <c r="G171" s="409"/>
      <c r="H171" s="409"/>
      <c r="I171" s="409"/>
      <c r="J171" s="409"/>
      <c r="K171" s="409"/>
      <c r="L171" s="409"/>
      <c r="M171" s="409"/>
      <c r="N171" s="409"/>
      <c r="O171" s="409"/>
      <c r="P171" s="409"/>
      <c r="Q171" s="409"/>
      <c r="R171" s="409"/>
      <c r="S171" s="409"/>
      <c r="T171" s="409"/>
      <c r="U171" s="409"/>
      <c r="V171" s="409"/>
      <c r="W171" s="289"/>
      <c r="X171" s="290"/>
      <c r="Y171" s="290"/>
      <c r="Z171" s="290"/>
      <c r="AA171" s="290"/>
      <c r="AB171" s="290"/>
      <c r="AC171" s="266"/>
      <c r="AD171" s="504"/>
      <c r="AE171" s="505"/>
      <c r="AF171" s="266"/>
      <c r="AG171" s="13"/>
      <c r="AH171" s="289"/>
      <c r="AI171" s="289"/>
      <c r="AJ171" s="289"/>
      <c r="AK171" s="289"/>
      <c r="AL171" s="289"/>
      <c r="AM171" s="506"/>
      <c r="AN171" s="506"/>
      <c r="AO171" s="289"/>
      <c r="AP171" s="409"/>
      <c r="AQ171" s="409"/>
      <c r="AR171" s="409"/>
      <c r="AS171" s="409"/>
      <c r="AT171" s="409"/>
      <c r="AU171" s="409"/>
      <c r="AV171" s="409"/>
      <c r="AW171" s="409"/>
      <c r="AX171" s="409"/>
      <c r="AY171" s="409"/>
      <c r="AZ171" s="409"/>
      <c r="BA171" s="409"/>
      <c r="BB171" s="409"/>
      <c r="BC171" s="409"/>
      <c r="BD171" s="409"/>
      <c r="BE171" s="409"/>
      <c r="BF171" s="409"/>
      <c r="BG171" s="409"/>
      <c r="BH171" s="409"/>
      <c r="BI171" s="266"/>
      <c r="BJ171" s="265"/>
    </row>
    <row r="172" spans="1:62" ht="13.95" customHeight="1">
      <c r="A172" s="265"/>
      <c r="B172" s="289"/>
      <c r="C172" s="289"/>
      <c r="D172" s="409"/>
      <c r="E172" s="409"/>
      <c r="F172" s="409"/>
      <c r="G172" s="409"/>
      <c r="H172" s="409"/>
      <c r="I172" s="409"/>
      <c r="J172" s="409"/>
      <c r="K172" s="409"/>
      <c r="L172" s="409"/>
      <c r="M172" s="409"/>
      <c r="N172" s="409"/>
      <c r="O172" s="409"/>
      <c r="P172" s="409"/>
      <c r="Q172" s="409"/>
      <c r="R172" s="409"/>
      <c r="S172" s="409"/>
      <c r="T172" s="409"/>
      <c r="U172" s="409"/>
      <c r="V172" s="409"/>
      <c r="W172" s="289"/>
      <c r="X172" s="496" t="str">
        <f>'Elementy DN75&amp;90 2024-09'!D56</f>
        <v>Anemostat nawiewno-wywiewny, czarny</v>
      </c>
      <c r="Y172" s="13"/>
      <c r="Z172" s="13"/>
      <c r="AA172" s="13"/>
      <c r="AB172" s="13"/>
      <c r="AC172" s="816">
        <f>Obliczenia!BE30+Obliczenia!BD30</f>
        <v>17</v>
      </c>
      <c r="AD172" s="769">
        <f>VLOOKUP(X172,rozdzial75,4,0)*AC172*(1-$AM$236/100)</f>
        <v>2873</v>
      </c>
      <c r="AE172" s="769"/>
      <c r="AF172" s="282"/>
      <c r="AG172" s="13"/>
      <c r="AH172" s="267"/>
      <c r="AI172" s="13"/>
      <c r="AJ172" s="13"/>
      <c r="AK172" s="13"/>
      <c r="AL172" s="816"/>
      <c r="AM172" s="769"/>
      <c r="AN172" s="769"/>
      <c r="AO172" s="289"/>
      <c r="AP172" s="409"/>
      <c r="AQ172" s="409"/>
      <c r="AR172" s="409"/>
      <c r="AS172" s="409"/>
      <c r="AT172" s="409"/>
      <c r="AU172" s="409"/>
      <c r="AV172" s="409"/>
      <c r="AW172" s="409"/>
      <c r="AX172" s="409"/>
      <c r="AY172" s="409"/>
      <c r="AZ172" s="409"/>
      <c r="BA172" s="409"/>
      <c r="BB172" s="409"/>
      <c r="BC172" s="409"/>
      <c r="BD172" s="409"/>
      <c r="BE172" s="409"/>
      <c r="BF172" s="409"/>
      <c r="BG172" s="409"/>
      <c r="BH172" s="409"/>
      <c r="BI172" s="266"/>
      <c r="BJ172" s="265"/>
    </row>
    <row r="173" spans="1:62" ht="13.95" customHeight="1">
      <c r="A173" s="265"/>
      <c r="B173" s="289"/>
      <c r="C173" s="289"/>
      <c r="D173" s="409"/>
      <c r="E173" s="409"/>
      <c r="F173" s="409"/>
      <c r="G173" s="409"/>
      <c r="H173" s="409"/>
      <c r="I173" s="409"/>
      <c r="J173" s="409"/>
      <c r="K173" s="409"/>
      <c r="L173" s="409"/>
      <c r="M173" s="409"/>
      <c r="N173" s="409"/>
      <c r="O173" s="409"/>
      <c r="P173" s="409"/>
      <c r="Q173" s="409"/>
      <c r="R173" s="409"/>
      <c r="S173" s="409"/>
      <c r="T173" s="409"/>
      <c r="U173" s="409"/>
      <c r="V173" s="409"/>
      <c r="W173" s="289"/>
      <c r="X173" s="490" t="s">
        <v>523</v>
      </c>
      <c r="Y173" s="488"/>
      <c r="Z173" s="488"/>
      <c r="AA173" s="488"/>
      <c r="AB173" s="488"/>
      <c r="AC173" s="816"/>
      <c r="AD173" s="502"/>
      <c r="AE173" s="503"/>
      <c r="AF173" s="340"/>
      <c r="AG173" s="13"/>
      <c r="AH173" s="490"/>
      <c r="AI173" s="497"/>
      <c r="AJ173" s="497"/>
      <c r="AK173" s="497"/>
      <c r="AL173" s="816"/>
      <c r="AM173" s="506"/>
      <c r="AN173" s="506"/>
      <c r="AO173" s="289"/>
      <c r="AP173" s="409"/>
      <c r="AQ173" s="409"/>
      <c r="AR173" s="409"/>
      <c r="AS173" s="409"/>
      <c r="AT173" s="409"/>
      <c r="AU173" s="409"/>
      <c r="AV173" s="409"/>
      <c r="AW173" s="409"/>
      <c r="AX173" s="409"/>
      <c r="AY173" s="409"/>
      <c r="AZ173" s="409"/>
      <c r="BA173" s="409"/>
      <c r="BB173" s="409"/>
      <c r="BC173" s="409"/>
      <c r="BD173" s="409"/>
      <c r="BE173" s="409"/>
      <c r="BF173" s="409"/>
      <c r="BG173" s="409"/>
      <c r="BH173" s="409"/>
      <c r="BI173" s="266"/>
      <c r="BJ173" s="265"/>
    </row>
    <row r="174" spans="1:62" ht="13.95" customHeight="1">
      <c r="A174" s="265"/>
      <c r="B174" s="289"/>
      <c r="C174" s="289"/>
      <c r="D174" s="409"/>
      <c r="E174" s="409"/>
      <c r="F174" s="409"/>
      <c r="G174" s="409"/>
      <c r="H174" s="409"/>
      <c r="I174" s="409"/>
      <c r="J174" s="409"/>
      <c r="K174" s="409"/>
      <c r="L174" s="409"/>
      <c r="M174" s="409"/>
      <c r="N174" s="409"/>
      <c r="O174" s="409"/>
      <c r="P174" s="409"/>
      <c r="Q174" s="409"/>
      <c r="R174" s="409"/>
      <c r="S174" s="409"/>
      <c r="T174" s="409"/>
      <c r="U174" s="409"/>
      <c r="V174" s="409"/>
      <c r="W174" s="289"/>
      <c r="X174" s="334">
        <f>VLOOKUP(X172,rozdzial75,3,0)</f>
        <v>7974005</v>
      </c>
      <c r="Y174" s="562">
        <f>VLOOKUP(X172,rozdzial75,4,0)</f>
        <v>169</v>
      </c>
      <c r="Z174" s="13"/>
      <c r="AA174" s="486"/>
      <c r="AB174" s="487"/>
      <c r="AC174" s="13"/>
      <c r="AD174" s="503"/>
      <c r="AE174" s="503"/>
      <c r="AF174" s="342"/>
      <c r="AG174" s="13"/>
      <c r="AH174" s="340"/>
      <c r="AI174" s="562"/>
      <c r="AJ174" s="13"/>
      <c r="AK174" s="486"/>
      <c r="AL174" s="13"/>
      <c r="AM174" s="506"/>
      <c r="AN174" s="506"/>
      <c r="AO174" s="289"/>
      <c r="AP174" s="409"/>
      <c r="AQ174" s="409"/>
      <c r="AR174" s="409"/>
      <c r="AS174" s="409"/>
      <c r="AT174" s="409"/>
      <c r="AU174" s="409"/>
      <c r="AV174" s="409"/>
      <c r="AW174" s="409"/>
      <c r="AX174" s="409"/>
      <c r="AY174" s="409"/>
      <c r="AZ174" s="409"/>
      <c r="BA174" s="409"/>
      <c r="BB174" s="409"/>
      <c r="BC174" s="409"/>
      <c r="BD174" s="409"/>
      <c r="BE174" s="409"/>
      <c r="BF174" s="409"/>
      <c r="BG174" s="409"/>
      <c r="BH174" s="409"/>
      <c r="BI174" s="266"/>
      <c r="BJ174" s="265"/>
    </row>
    <row r="175" spans="1:62" ht="13.95" customHeight="1">
      <c r="A175" s="265"/>
      <c r="B175" s="289"/>
      <c r="C175" s="289"/>
      <c r="D175" s="409"/>
      <c r="E175" s="409"/>
      <c r="F175" s="409"/>
      <c r="G175" s="409"/>
      <c r="H175" s="409"/>
      <c r="I175" s="409"/>
      <c r="J175" s="409"/>
      <c r="K175" s="409"/>
      <c r="L175" s="409"/>
      <c r="M175" s="409"/>
      <c r="N175" s="409"/>
      <c r="O175" s="409"/>
      <c r="P175" s="409"/>
      <c r="Q175" s="409"/>
      <c r="R175" s="409"/>
      <c r="S175" s="409"/>
      <c r="T175" s="409"/>
      <c r="U175" s="409"/>
      <c r="V175" s="409"/>
      <c r="W175" s="289"/>
      <c r="X175" s="13"/>
      <c r="Y175" s="13"/>
      <c r="Z175" s="13"/>
      <c r="AA175" s="13"/>
      <c r="AB175" s="13"/>
      <c r="AC175" s="13"/>
      <c r="AD175" s="503"/>
      <c r="AE175" s="503"/>
      <c r="AF175" s="13"/>
      <c r="AG175" s="13"/>
      <c r="AH175" s="289"/>
      <c r="AI175" s="289"/>
      <c r="AJ175" s="289"/>
      <c r="AK175" s="289"/>
      <c r="AL175" s="289"/>
      <c r="AM175" s="506"/>
      <c r="AN175" s="506"/>
      <c r="AO175" s="289"/>
      <c r="AP175" s="409"/>
      <c r="AQ175" s="409"/>
      <c r="AR175" s="409"/>
      <c r="AS175" s="409"/>
      <c r="AT175" s="409"/>
      <c r="AU175" s="409"/>
      <c r="AV175" s="409"/>
      <c r="AW175" s="409"/>
      <c r="AX175" s="409"/>
      <c r="AY175" s="409"/>
      <c r="AZ175" s="409"/>
      <c r="BA175" s="409"/>
      <c r="BB175" s="409"/>
      <c r="BC175" s="409"/>
      <c r="BD175" s="409"/>
      <c r="BE175" s="409"/>
      <c r="BF175" s="409"/>
      <c r="BG175" s="409"/>
      <c r="BH175" s="409"/>
      <c r="BI175" s="266"/>
      <c r="BJ175" s="265"/>
    </row>
    <row r="176" spans="1:62">
      <c r="A176" s="265"/>
      <c r="B176" s="289"/>
      <c r="C176" s="289"/>
      <c r="D176" s="409"/>
      <c r="E176" s="409"/>
      <c r="F176" s="409"/>
      <c r="G176" s="409"/>
      <c r="H176" s="409"/>
      <c r="I176" s="409"/>
      <c r="J176" s="409"/>
      <c r="K176" s="409"/>
      <c r="L176" s="409"/>
      <c r="M176" s="409"/>
      <c r="N176" s="409"/>
      <c r="O176" s="409"/>
      <c r="P176" s="409"/>
      <c r="Q176" s="409"/>
      <c r="R176" s="409"/>
      <c r="S176" s="409"/>
      <c r="T176" s="409"/>
      <c r="U176" s="409"/>
      <c r="V176" s="409"/>
      <c r="W176" s="289"/>
      <c r="X176" s="289"/>
      <c r="Y176" s="289"/>
      <c r="Z176" s="289"/>
      <c r="AA176" s="289"/>
      <c r="AB176" s="289"/>
      <c r="AC176" s="289"/>
      <c r="AD176" s="506"/>
      <c r="AE176" s="506"/>
      <c r="AF176" s="289"/>
      <c r="AG176" s="13"/>
      <c r="AH176" s="289"/>
      <c r="AI176" s="289"/>
      <c r="AJ176" s="289"/>
      <c r="AK176" s="289"/>
      <c r="AL176" s="289"/>
      <c r="AM176" s="506"/>
      <c r="AN176" s="506"/>
      <c r="AO176" s="289"/>
      <c r="AP176" s="409"/>
      <c r="AQ176" s="409"/>
      <c r="AR176" s="409"/>
      <c r="AS176" s="409"/>
      <c r="AT176" s="409"/>
      <c r="AU176" s="409"/>
      <c r="AV176" s="409"/>
      <c r="AW176" s="409"/>
      <c r="AX176" s="409"/>
      <c r="AY176" s="409"/>
      <c r="AZ176" s="409"/>
      <c r="BA176" s="409"/>
      <c r="BB176" s="409"/>
      <c r="BC176" s="409"/>
      <c r="BD176" s="409"/>
      <c r="BE176" s="409"/>
      <c r="BF176" s="409"/>
      <c r="BG176" s="409"/>
      <c r="BH176" s="409"/>
      <c r="BI176" s="266"/>
      <c r="BJ176" s="265"/>
    </row>
    <row r="177" spans="1:62" ht="13.95" customHeight="1">
      <c r="A177" s="265"/>
      <c r="B177" s="289"/>
      <c r="C177" s="289"/>
      <c r="D177" s="465"/>
      <c r="E177" s="465"/>
      <c r="F177" s="465"/>
      <c r="G177" s="465"/>
      <c r="H177" s="465"/>
      <c r="I177" s="465"/>
      <c r="J177" s="409"/>
      <c r="K177" s="409"/>
      <c r="L177" s="409"/>
      <c r="M177" s="409"/>
      <c r="N177" s="409"/>
      <c r="O177" s="409"/>
      <c r="P177" s="409"/>
      <c r="Q177" s="409"/>
      <c r="R177" s="409"/>
      <c r="S177" s="409"/>
      <c r="T177" s="409"/>
      <c r="U177" s="409"/>
      <c r="V177" s="409"/>
      <c r="W177" s="289"/>
      <c r="X177" s="496" t="str">
        <f>Obliczenia!BH31</f>
        <v>Skrzynka rozdzielacza 12xDN75</v>
      </c>
      <c r="Y177" s="13"/>
      <c r="Z177" s="13"/>
      <c r="AA177" s="13"/>
      <c r="AB177" s="13"/>
      <c r="AC177" s="816">
        <f>Obliczenia!BI33</f>
        <v>1</v>
      </c>
      <c r="AD177" s="769">
        <f>VLOOKUP(X177,'Elementy DN75&amp;90 2024-09'!D3:H57,4,0)*AC177*(1-$AM$236/100)+AC177*AB180</f>
        <v>1057</v>
      </c>
      <c r="AE177" s="769"/>
      <c r="AF177" s="282"/>
      <c r="AG177" s="802" t="str">
        <f>IF(AL177&gt;0,"+","")</f>
        <v/>
      </c>
      <c r="AH177" s="496" t="str">
        <f>Obliczenia!BH34</f>
        <v/>
      </c>
      <c r="AI177" s="13"/>
      <c r="AJ177" s="13"/>
      <c r="AK177" s="13"/>
      <c r="AL177" s="816">
        <f>Obliczenia!BI36</f>
        <v>0</v>
      </c>
      <c r="AM177" s="769">
        <f>IF(AH177="",0,VLOOKUP(AH177,'Elementy DN75&amp;90 2024-09'!D3:H55,4,0)*AL177*(1-$AM$236/100)+AL177*AK180)</f>
        <v>0</v>
      </c>
      <c r="AN177" s="769"/>
      <c r="AO177" s="289"/>
      <c r="AP177" s="409"/>
      <c r="AQ177" s="409"/>
      <c r="AR177" s="409"/>
      <c r="AS177" s="409"/>
      <c r="AT177" s="409"/>
      <c r="AU177" s="409"/>
      <c r="AV177" s="409"/>
      <c r="AW177" s="409"/>
      <c r="AX177" s="409"/>
      <c r="AY177" s="409"/>
      <c r="AZ177" s="409"/>
      <c r="BA177" s="409"/>
      <c r="BB177" s="409"/>
      <c r="BC177" s="409"/>
      <c r="BD177" s="409"/>
      <c r="BE177" s="409"/>
      <c r="BF177" s="409"/>
      <c r="BG177" s="409"/>
      <c r="BH177" s="409"/>
      <c r="BI177" s="266"/>
      <c r="BJ177" s="265"/>
    </row>
    <row r="178" spans="1:62" ht="13.95" customHeight="1">
      <c r="A178" s="265"/>
      <c r="B178" s="289"/>
      <c r="C178" s="289"/>
      <c r="D178" s="465"/>
      <c r="E178" s="465"/>
      <c r="F178" s="465"/>
      <c r="G178" s="465"/>
      <c r="H178" s="465"/>
      <c r="I178" s="465"/>
      <c r="J178" s="409"/>
      <c r="K178" s="409"/>
      <c r="L178" s="409"/>
      <c r="M178" s="409"/>
      <c r="N178" s="409"/>
      <c r="O178" s="409"/>
      <c r="P178" s="409"/>
      <c r="Q178" s="409"/>
      <c r="R178" s="409"/>
      <c r="S178" s="409"/>
      <c r="T178" s="409"/>
      <c r="U178" s="409"/>
      <c r="V178" s="409"/>
      <c r="W178" s="289"/>
      <c r="X178" s="804" t="str">
        <f>VLOOKUP(X177,rozdzial75,5,0)</f>
        <v>dop. Strumień 400 m3/h</v>
      </c>
      <c r="Y178" s="804"/>
      <c r="Z178" s="804"/>
      <c r="AA178" s="804"/>
      <c r="AB178" s="804"/>
      <c r="AC178" s="816"/>
      <c r="AD178" s="502"/>
      <c r="AE178" s="503"/>
      <c r="AF178" s="340"/>
      <c r="AG178" s="802"/>
      <c r="AH178" s="804" t="str">
        <f>IF(AH177="","",VLOOKUP(AH177,rozdzial75,5,0))</f>
        <v/>
      </c>
      <c r="AI178" s="804"/>
      <c r="AJ178" s="804"/>
      <c r="AK178" s="804"/>
      <c r="AL178" s="816"/>
      <c r="AM178" s="289"/>
      <c r="AN178" s="289"/>
      <c r="AO178" s="289"/>
      <c r="AP178" s="409"/>
      <c r="AQ178" s="409"/>
      <c r="AR178" s="409"/>
      <c r="AS178" s="409"/>
      <c r="AT178" s="409"/>
      <c r="AU178" s="409"/>
      <c r="AV178" s="409"/>
      <c r="AW178" s="409"/>
      <c r="AX178" s="409"/>
      <c r="AY178" s="409"/>
      <c r="AZ178" s="409"/>
      <c r="BA178" s="409"/>
      <c r="BB178" s="409"/>
      <c r="BC178" s="409"/>
      <c r="BD178" s="409"/>
      <c r="BE178" s="409"/>
      <c r="BF178" s="409"/>
      <c r="BG178" s="409"/>
      <c r="BH178" s="409"/>
      <c r="BI178" s="266"/>
      <c r="BJ178" s="265"/>
    </row>
    <row r="179" spans="1:62" ht="13.95" customHeight="1">
      <c r="A179" s="265"/>
      <c r="B179" s="289"/>
      <c r="C179" s="289"/>
      <c r="D179" s="465"/>
      <c r="E179" s="465"/>
      <c r="F179" s="465"/>
      <c r="G179" s="465"/>
      <c r="H179" s="465"/>
      <c r="I179" s="465"/>
      <c r="J179" s="409"/>
      <c r="K179" s="409"/>
      <c r="L179" s="409"/>
      <c r="M179" s="409"/>
      <c r="N179" s="409"/>
      <c r="O179" s="409"/>
      <c r="P179" s="409"/>
      <c r="Q179" s="409"/>
      <c r="R179" s="409"/>
      <c r="S179" s="409"/>
      <c r="T179" s="409"/>
      <c r="U179" s="409"/>
      <c r="V179" s="409"/>
      <c r="W179" s="289"/>
      <c r="X179" s="805"/>
      <c r="Y179" s="805"/>
      <c r="Z179" s="805"/>
      <c r="AA179" s="805"/>
      <c r="AB179" s="805"/>
      <c r="AC179" s="13"/>
      <c r="AD179" s="503"/>
      <c r="AE179" s="503"/>
      <c r="AF179" s="342"/>
      <c r="AG179" s="802"/>
      <c r="AH179" s="805"/>
      <c r="AI179" s="805"/>
      <c r="AJ179" s="805"/>
      <c r="AK179" s="805"/>
      <c r="AL179" s="13"/>
      <c r="AM179" s="289"/>
      <c r="AN179" s="289"/>
      <c r="AO179" s="289"/>
      <c r="AP179" s="409"/>
      <c r="AQ179" s="409"/>
      <c r="AR179" s="409"/>
      <c r="AS179" s="409"/>
      <c r="AT179" s="409"/>
      <c r="AU179" s="409"/>
      <c r="AV179" s="409"/>
      <c r="AW179" s="409"/>
      <c r="AX179" s="409"/>
      <c r="AY179" s="409"/>
      <c r="AZ179" s="409"/>
      <c r="BA179" s="409"/>
      <c r="BB179" s="409"/>
      <c r="BC179" s="409"/>
      <c r="BD179" s="409"/>
      <c r="BE179" s="409"/>
      <c r="BF179" s="409"/>
      <c r="BG179" s="409"/>
      <c r="BH179" s="409"/>
      <c r="BI179" s="266"/>
      <c r="BJ179" s="265"/>
    </row>
    <row r="180" spans="1:62" ht="13.95" customHeight="1">
      <c r="A180" s="265"/>
      <c r="B180" s="289"/>
      <c r="C180" s="289"/>
      <c r="D180" s="465"/>
      <c r="E180" s="465"/>
      <c r="F180" s="465"/>
      <c r="G180" s="465"/>
      <c r="H180" s="465"/>
      <c r="I180" s="465"/>
      <c r="J180" s="409"/>
      <c r="K180" s="409"/>
      <c r="L180" s="409"/>
      <c r="M180" s="409"/>
      <c r="N180" s="409"/>
      <c r="O180" s="409"/>
      <c r="P180" s="409"/>
      <c r="Q180" s="409"/>
      <c r="R180" s="409"/>
      <c r="S180" s="409"/>
      <c r="T180" s="409"/>
      <c r="U180" s="409"/>
      <c r="V180" s="409"/>
      <c r="W180" s="289"/>
      <c r="X180" s="334">
        <f>VLOOKUP(X177,rozdzial75,3,0)</f>
        <v>7988052</v>
      </c>
      <c r="Y180" s="562">
        <f>VLOOKUP(X177,rozdzial75,4,0)</f>
        <v>1057</v>
      </c>
      <c r="Z180" s="13"/>
      <c r="AA180" s="340"/>
      <c r="AB180" s="562"/>
      <c r="AC180" s="13"/>
      <c r="AD180" s="503"/>
      <c r="AE180" s="503"/>
      <c r="AF180" s="13"/>
      <c r="AG180" s="802"/>
      <c r="AH180" s="334" t="str">
        <f>IF(AH177="","",VLOOKUP(AH177,rozdzial75,3,0))</f>
        <v/>
      </c>
      <c r="AI180" s="562" t="str">
        <f>IF(AH177="","",VLOOKUP(AH177,rozdzial75,4,0))</f>
        <v/>
      </c>
      <c r="AJ180" s="334" t="str">
        <f>IF(AH177="","",IF(Obliczenia!Y59=125,'Elementy DN75&amp;90 2024-09'!F37,IF(Obliczenia!Y59=160,'Elementy DN75&amp;90 2024-09'!F38,'Elementy DN75&amp;90 2024-09'!F39)))</f>
        <v/>
      </c>
      <c r="AK180" s="562" t="str">
        <f>IF(AH177="","",VLOOKUP(AJ180,'Elementy DN75&amp;90 2024-09'!F3:G57,2,0))</f>
        <v/>
      </c>
      <c r="AL180" s="289"/>
      <c r="AM180" s="289"/>
      <c r="AN180" s="289"/>
      <c r="AO180" s="289"/>
      <c r="AP180" s="409"/>
      <c r="AQ180" s="409"/>
      <c r="AR180" s="409"/>
      <c r="AS180" s="409"/>
      <c r="AT180" s="409"/>
      <c r="AU180" s="409"/>
      <c r="AV180" s="409"/>
      <c r="AW180" s="409"/>
      <c r="AX180" s="409"/>
      <c r="AY180" s="409"/>
      <c r="AZ180" s="409"/>
      <c r="BA180" s="409"/>
      <c r="BB180" s="409"/>
      <c r="BC180" s="409"/>
      <c r="BD180" s="409"/>
      <c r="BE180" s="409"/>
      <c r="BF180" s="409"/>
      <c r="BG180" s="409"/>
      <c r="BH180" s="409"/>
      <c r="BI180" s="266"/>
      <c r="BJ180" s="265"/>
    </row>
    <row r="181" spans="1:62">
      <c r="A181" s="265"/>
      <c r="B181" s="289"/>
      <c r="C181" s="289"/>
      <c r="D181" s="465"/>
      <c r="E181" s="465"/>
      <c r="F181" s="465"/>
      <c r="G181" s="465"/>
      <c r="H181" s="465"/>
      <c r="I181" s="465"/>
      <c r="J181" s="409"/>
      <c r="K181" s="409"/>
      <c r="L181" s="409"/>
      <c r="M181" s="409"/>
      <c r="N181" s="409"/>
      <c r="O181" s="409"/>
      <c r="P181" s="409"/>
      <c r="Q181" s="409"/>
      <c r="R181" s="409"/>
      <c r="S181" s="409"/>
      <c r="T181" s="409"/>
      <c r="U181" s="409"/>
      <c r="V181" s="409"/>
      <c r="W181" s="289"/>
      <c r="X181" s="289"/>
      <c r="Y181" s="289"/>
      <c r="Z181" s="289"/>
      <c r="AA181" s="289"/>
      <c r="AB181" s="289"/>
      <c r="AC181" s="289"/>
      <c r="AD181" s="506"/>
      <c r="AE181" s="506"/>
      <c r="AF181" s="289"/>
      <c r="AG181" s="13"/>
      <c r="AH181" s="13"/>
      <c r="AI181" s="13"/>
      <c r="AJ181" s="13"/>
      <c r="AK181" s="13"/>
      <c r="AL181" s="13"/>
      <c r="AM181" s="13"/>
      <c r="AN181" s="13"/>
      <c r="AO181" s="289"/>
      <c r="AP181" s="409"/>
      <c r="AQ181" s="409"/>
      <c r="AR181" s="409"/>
      <c r="AS181" s="409"/>
      <c r="AT181" s="409"/>
      <c r="AU181" s="409"/>
      <c r="AV181" s="409"/>
      <c r="AW181" s="409"/>
      <c r="AX181" s="409"/>
      <c r="AY181" s="409"/>
      <c r="AZ181" s="409"/>
      <c r="BA181" s="409"/>
      <c r="BB181" s="409"/>
      <c r="BC181" s="409"/>
      <c r="BD181" s="409"/>
      <c r="BE181" s="409"/>
      <c r="BF181" s="409"/>
      <c r="BG181" s="409"/>
      <c r="BH181" s="409"/>
      <c r="BI181" s="266"/>
      <c r="BJ181" s="265"/>
    </row>
    <row r="182" spans="1:62" ht="13.95" customHeight="1">
      <c r="A182" s="265"/>
      <c r="B182" s="289"/>
      <c r="C182" s="289"/>
      <c r="D182" s="465"/>
      <c r="E182" s="465"/>
      <c r="F182" s="465"/>
      <c r="G182" s="465"/>
      <c r="H182" s="465"/>
      <c r="I182" s="465"/>
      <c r="J182" s="409"/>
      <c r="K182" s="409"/>
      <c r="L182" s="409"/>
      <c r="M182" s="409"/>
      <c r="N182" s="409"/>
      <c r="O182" s="409"/>
      <c r="P182" s="409"/>
      <c r="Q182" s="409"/>
      <c r="R182" s="409"/>
      <c r="S182" s="409"/>
      <c r="T182" s="409"/>
      <c r="U182" s="409"/>
      <c r="V182" s="409"/>
      <c r="W182" s="289"/>
      <c r="X182" s="496" t="str">
        <f>Obliczenia!BF42</f>
        <v>Element przyłączeniowy rozdzielacza DN180</v>
      </c>
      <c r="Y182" s="13"/>
      <c r="Z182" s="13"/>
      <c r="AA182" s="13"/>
      <c r="AB182" s="13"/>
      <c r="AC182" s="816">
        <f>AC177</f>
        <v>1</v>
      </c>
      <c r="AD182" s="769">
        <f>VLOOKUP(X182,'Elementy DN75&amp;90 2024-09'!D3:H57,4,0)*AC182*(1-$AM$236/100)</f>
        <v>56</v>
      </c>
      <c r="AE182" s="769"/>
      <c r="AF182" s="282"/>
      <c r="AG182" s="802" t="str">
        <f>IF(AL182&gt;0,"+","")</f>
        <v/>
      </c>
      <c r="AH182" s="496" t="str">
        <f>IF(AH177="","",X182)</f>
        <v/>
      </c>
      <c r="AI182" s="13"/>
      <c r="AJ182" s="13"/>
      <c r="AK182" s="13"/>
      <c r="AL182" s="816">
        <f>AL177</f>
        <v>0</v>
      </c>
      <c r="AM182" s="769">
        <f>IF(AH182="",0,VLOOKUP(AH182,'Elementy DN75&amp;90 2024-09'!D8:H60,4,0)*AL182*(1-$AM$236/100)+AL182*AK185)</f>
        <v>0</v>
      </c>
      <c r="AN182" s="769"/>
      <c r="AO182" s="289"/>
      <c r="AP182" s="409"/>
      <c r="AQ182" s="409"/>
      <c r="AR182" s="409"/>
      <c r="AS182" s="409"/>
      <c r="AT182" s="409"/>
      <c r="AU182" s="409"/>
      <c r="AV182" s="409"/>
      <c r="AW182" s="409"/>
      <c r="AX182" s="409"/>
      <c r="AY182" s="409"/>
      <c r="AZ182" s="409"/>
      <c r="BA182" s="409"/>
      <c r="BB182" s="409"/>
      <c r="BC182" s="409"/>
      <c r="BD182" s="409"/>
      <c r="BE182" s="409"/>
      <c r="BF182" s="409"/>
      <c r="BG182" s="409"/>
      <c r="BH182" s="409"/>
      <c r="BI182" s="266"/>
      <c r="BJ182" s="265"/>
    </row>
    <row r="183" spans="1:62" ht="13.95" customHeight="1">
      <c r="A183" s="265"/>
      <c r="B183" s="289"/>
      <c r="C183" s="289"/>
      <c r="D183" s="465"/>
      <c r="E183" s="465"/>
      <c r="F183" s="465"/>
      <c r="G183" s="465"/>
      <c r="H183" s="465"/>
      <c r="I183" s="465"/>
      <c r="J183" s="409"/>
      <c r="K183" s="409"/>
      <c r="L183" s="409"/>
      <c r="M183" s="409"/>
      <c r="N183" s="409"/>
      <c r="O183" s="409"/>
      <c r="P183" s="409"/>
      <c r="Q183" s="409"/>
      <c r="R183" s="409"/>
      <c r="S183" s="409"/>
      <c r="T183" s="409"/>
      <c r="U183" s="409"/>
      <c r="V183" s="409"/>
      <c r="W183" s="289"/>
      <c r="X183" s="804" t="str">
        <f>VLOOKUP(X182,rozdzial75,5,0)</f>
        <v>Do przyłączenia kanału powietrza do rozdzielacza</v>
      </c>
      <c r="Y183" s="804"/>
      <c r="Z183" s="804"/>
      <c r="AA183" s="804"/>
      <c r="AB183" s="804"/>
      <c r="AC183" s="816"/>
      <c r="AD183" s="541"/>
      <c r="AE183" s="503"/>
      <c r="AF183" s="340"/>
      <c r="AG183" s="802"/>
      <c r="AH183" s="804" t="str">
        <f>IF(AH182="","",VLOOKUP(AH182,rozdzial75,5,0))</f>
        <v/>
      </c>
      <c r="AI183" s="804"/>
      <c r="AJ183" s="804"/>
      <c r="AK183" s="804"/>
      <c r="AL183" s="816"/>
      <c r="AM183" s="289"/>
      <c r="AN183" s="289"/>
      <c r="AO183" s="289"/>
      <c r="AP183" s="409"/>
      <c r="AQ183" s="409"/>
      <c r="AR183" s="409"/>
      <c r="AS183" s="409"/>
      <c r="AT183" s="409"/>
      <c r="AU183" s="409"/>
      <c r="AV183" s="409"/>
      <c r="AW183" s="409"/>
      <c r="AX183" s="409"/>
      <c r="AY183" s="409"/>
      <c r="AZ183" s="409"/>
      <c r="BA183" s="409"/>
      <c r="BB183" s="409"/>
      <c r="BC183" s="409"/>
      <c r="BD183" s="409"/>
      <c r="BE183" s="409"/>
      <c r="BF183" s="409"/>
      <c r="BG183" s="409"/>
      <c r="BH183" s="409"/>
      <c r="BI183" s="266"/>
      <c r="BJ183" s="265"/>
    </row>
    <row r="184" spans="1:62" ht="13.95" customHeight="1">
      <c r="A184" s="265"/>
      <c r="B184" s="289"/>
      <c r="C184" s="289"/>
      <c r="D184" s="465"/>
      <c r="E184" s="465"/>
      <c r="F184" s="465"/>
      <c r="G184" s="465"/>
      <c r="H184" s="465"/>
      <c r="I184" s="465"/>
      <c r="J184" s="409"/>
      <c r="K184" s="409"/>
      <c r="L184" s="409"/>
      <c r="M184" s="409"/>
      <c r="N184" s="409"/>
      <c r="O184" s="409"/>
      <c r="P184" s="409"/>
      <c r="Q184" s="409"/>
      <c r="R184" s="409"/>
      <c r="S184" s="409"/>
      <c r="T184" s="409"/>
      <c r="U184" s="409"/>
      <c r="V184" s="409"/>
      <c r="W184" s="289"/>
      <c r="X184" s="805"/>
      <c r="Y184" s="805"/>
      <c r="Z184" s="805"/>
      <c r="AA184" s="805"/>
      <c r="AB184" s="805"/>
      <c r="AC184" s="13"/>
      <c r="AD184" s="541"/>
      <c r="AE184" s="503"/>
      <c r="AF184" s="342"/>
      <c r="AG184" s="802"/>
      <c r="AH184" s="805"/>
      <c r="AI184" s="805"/>
      <c r="AJ184" s="805"/>
      <c r="AK184" s="805"/>
      <c r="AL184" s="13"/>
      <c r="AM184" s="289"/>
      <c r="AN184" s="289"/>
      <c r="AO184" s="289"/>
      <c r="AP184" s="409"/>
      <c r="AQ184" s="409"/>
      <c r="AR184" s="409"/>
      <c r="AS184" s="409"/>
      <c r="AT184" s="409"/>
      <c r="AU184" s="409"/>
      <c r="AV184" s="409"/>
      <c r="AW184" s="409"/>
      <c r="AX184" s="409"/>
      <c r="AY184" s="409"/>
      <c r="AZ184" s="409"/>
      <c r="BA184" s="409"/>
      <c r="BB184" s="409"/>
      <c r="BC184" s="409"/>
      <c r="BD184" s="409"/>
      <c r="BE184" s="409"/>
      <c r="BF184" s="409"/>
      <c r="BG184" s="409"/>
      <c r="BH184" s="409"/>
      <c r="BI184" s="266"/>
      <c r="BJ184" s="265"/>
    </row>
    <row r="185" spans="1:62" ht="13.95" customHeight="1">
      <c r="A185" s="265"/>
      <c r="B185" s="289"/>
      <c r="C185" s="289"/>
      <c r="D185" s="465"/>
      <c r="E185" s="465"/>
      <c r="F185" s="465"/>
      <c r="G185" s="465"/>
      <c r="H185" s="465"/>
      <c r="I185" s="465"/>
      <c r="J185" s="409"/>
      <c r="K185" s="409"/>
      <c r="L185" s="409"/>
      <c r="M185" s="409"/>
      <c r="N185" s="409"/>
      <c r="O185" s="409"/>
      <c r="P185" s="409"/>
      <c r="Q185" s="409"/>
      <c r="R185" s="409"/>
      <c r="S185" s="409"/>
      <c r="T185" s="409"/>
      <c r="U185" s="409"/>
      <c r="V185" s="409"/>
      <c r="W185" s="289"/>
      <c r="X185" s="334">
        <f>VLOOKUP(X182,rozdzial75,3,0)</f>
        <v>7775844</v>
      </c>
      <c r="Y185" s="880" t="str">
        <f>IF(X182="","","w zakresie dostawy")</f>
        <v>w zakresie dostawy</v>
      </c>
      <c r="Z185" s="13"/>
      <c r="AA185" s="13"/>
      <c r="AB185" s="13"/>
      <c r="AC185" s="13"/>
      <c r="AD185" s="503"/>
      <c r="AE185" s="503"/>
      <c r="AF185" s="13"/>
      <c r="AG185" s="802"/>
      <c r="AH185" s="334" t="str">
        <f>IF(AH182="","",VLOOKUP(AH182,rozdzial75,3,0))</f>
        <v/>
      </c>
      <c r="AI185" s="880" t="str">
        <f>IF(AH182="","","w zakresie dostawy")</f>
        <v/>
      </c>
      <c r="AJ185" s="289"/>
      <c r="AK185" s="289"/>
      <c r="AL185" s="289"/>
      <c r="AM185" s="289"/>
      <c r="AN185" s="289"/>
      <c r="AO185" s="289"/>
      <c r="AP185" s="409"/>
      <c r="AQ185" s="409"/>
      <c r="AR185" s="409"/>
      <c r="AS185" s="409"/>
      <c r="AT185" s="409"/>
      <c r="AU185" s="409"/>
      <c r="AV185" s="409"/>
      <c r="AW185" s="409"/>
      <c r="AX185" s="409"/>
      <c r="AY185" s="409"/>
      <c r="AZ185" s="409"/>
      <c r="BA185" s="409"/>
      <c r="BB185" s="409"/>
      <c r="BC185" s="409"/>
      <c r="BD185" s="409"/>
      <c r="BE185" s="409"/>
      <c r="BF185" s="409"/>
      <c r="BG185" s="409"/>
      <c r="BH185" s="409"/>
      <c r="BI185" s="266"/>
      <c r="BJ185" s="265"/>
    </row>
    <row r="186" spans="1:62" ht="13.95" customHeight="1">
      <c r="A186" s="265"/>
      <c r="B186" s="289"/>
      <c r="C186" s="289"/>
      <c r="D186" s="409"/>
      <c r="E186" s="409"/>
      <c r="F186" s="409"/>
      <c r="G186" s="409"/>
      <c r="H186" s="409"/>
      <c r="I186" s="409"/>
      <c r="J186" s="409"/>
      <c r="K186" s="409"/>
      <c r="L186" s="409"/>
      <c r="M186" s="409"/>
      <c r="N186" s="409"/>
      <c r="O186" s="409"/>
      <c r="P186" s="409"/>
      <c r="Q186" s="409"/>
      <c r="R186" s="409"/>
      <c r="S186" s="409"/>
      <c r="T186" s="409"/>
      <c r="U186" s="409"/>
      <c r="V186" s="409"/>
      <c r="W186" s="289"/>
      <c r="X186" s="13"/>
      <c r="Y186" s="13"/>
      <c r="Z186" s="13"/>
      <c r="AA186" s="13"/>
      <c r="AB186" s="13"/>
      <c r="AC186" s="13"/>
      <c r="AD186" s="503"/>
      <c r="AE186" s="503"/>
      <c r="AF186" s="13"/>
      <c r="AG186" s="13"/>
      <c r="AH186" s="13"/>
      <c r="AI186" s="289"/>
      <c r="AJ186" s="289"/>
      <c r="AK186" s="289"/>
      <c r="AL186" s="289"/>
      <c r="AM186" s="289"/>
      <c r="AN186" s="289"/>
      <c r="AO186" s="289"/>
      <c r="AP186" s="409"/>
      <c r="AQ186" s="409"/>
      <c r="AR186" s="409"/>
      <c r="AS186" s="409"/>
      <c r="AT186" s="409"/>
      <c r="AU186" s="409"/>
      <c r="AV186" s="409"/>
      <c r="AW186" s="409"/>
      <c r="AX186" s="409"/>
      <c r="AY186" s="409"/>
      <c r="AZ186" s="409"/>
      <c r="BA186" s="409"/>
      <c r="BB186" s="409"/>
      <c r="BC186" s="409"/>
      <c r="BD186" s="409"/>
      <c r="BE186" s="409"/>
      <c r="BF186" s="409"/>
      <c r="BG186" s="409"/>
      <c r="BH186" s="409"/>
      <c r="BI186" s="266"/>
      <c r="BJ186" s="265"/>
    </row>
    <row r="187" spans="1:62" ht="13.95" customHeight="1">
      <c r="A187" s="265"/>
      <c r="B187" s="289"/>
      <c r="C187" s="289"/>
      <c r="D187" s="411"/>
      <c r="E187" s="411"/>
      <c r="F187" s="411"/>
      <c r="G187" s="411"/>
      <c r="H187" s="411"/>
      <c r="I187" s="411"/>
      <c r="J187" s="409"/>
      <c r="K187" s="409"/>
      <c r="L187" s="409"/>
      <c r="M187" s="409"/>
      <c r="N187" s="409"/>
      <c r="O187" s="409"/>
      <c r="P187" s="409"/>
      <c r="Q187" s="409"/>
      <c r="R187" s="409"/>
      <c r="S187" s="409"/>
      <c r="T187" s="409"/>
      <c r="U187" s="409"/>
      <c r="V187" s="409"/>
      <c r="W187" s="289"/>
      <c r="X187" s="496" t="str">
        <f>Obliczenia!BF31</f>
        <v>Skrzynka rozdzielacza 8xDN75</v>
      </c>
      <c r="Y187" s="13"/>
      <c r="Z187" s="13"/>
      <c r="AA187" s="13"/>
      <c r="AB187" s="501"/>
      <c r="AC187" s="816">
        <f>Obliczenia!BG33</f>
        <v>1</v>
      </c>
      <c r="AD187" s="769">
        <f>VLOOKUP(X187,'Elementy DN75&amp;90 2024-09'!D13:H67,4,0)*AC187*(1-$AM$236/100)+AC187*AB190</f>
        <v>824</v>
      </c>
      <c r="AE187" s="769"/>
      <c r="AF187" s="13"/>
      <c r="AG187" s="803" t="str">
        <f>IF(AL187&gt;0,"+","")</f>
        <v/>
      </c>
      <c r="AH187" s="496" t="str">
        <f>Obliczenia!BF34</f>
        <v/>
      </c>
      <c r="AI187" s="13"/>
      <c r="AJ187" s="13"/>
      <c r="AK187" s="13"/>
      <c r="AL187" s="816">
        <f>Obliczenia!BG36</f>
        <v>0</v>
      </c>
      <c r="AM187" s="769">
        <f>IF(AH187="",0,VLOOKUP(AH187,'Elementy DN75&amp;90 2024-09'!D13:H65,4,0)*AL187*(1-$AM$236/100)+AL187*AK190)</f>
        <v>0</v>
      </c>
      <c r="AN187" s="769"/>
      <c r="AO187" s="289"/>
      <c r="AP187" s="409"/>
      <c r="AQ187" s="409"/>
      <c r="AR187" s="409"/>
      <c r="AS187" s="409"/>
      <c r="AT187" s="409"/>
      <c r="AU187" s="409"/>
      <c r="AV187" s="409"/>
      <c r="AW187" s="409"/>
      <c r="AX187" s="409"/>
      <c r="AY187" s="409"/>
      <c r="AZ187" s="409"/>
      <c r="BA187" s="409"/>
      <c r="BB187" s="409"/>
      <c r="BC187" s="409"/>
      <c r="BD187" s="409"/>
      <c r="BE187" s="409"/>
      <c r="BF187" s="409"/>
      <c r="BG187" s="409"/>
      <c r="BH187" s="409"/>
      <c r="BI187" s="266"/>
      <c r="BJ187" s="265"/>
    </row>
    <row r="188" spans="1:62" ht="13.95" customHeight="1">
      <c r="A188" s="265"/>
      <c r="B188" s="289"/>
      <c r="C188" s="289"/>
      <c r="D188" s="411"/>
      <c r="E188" s="411"/>
      <c r="F188" s="411"/>
      <c r="G188" s="411"/>
      <c r="H188" s="411"/>
      <c r="I188" s="411"/>
      <c r="J188" s="409"/>
      <c r="K188" s="409"/>
      <c r="L188" s="409"/>
      <c r="M188" s="409"/>
      <c r="N188" s="409"/>
      <c r="O188" s="409"/>
      <c r="P188" s="409"/>
      <c r="Q188" s="409"/>
      <c r="R188" s="409"/>
      <c r="S188" s="409"/>
      <c r="T188" s="409"/>
      <c r="U188" s="409"/>
      <c r="V188" s="409"/>
      <c r="W188" s="289"/>
      <c r="X188" s="804" t="s">
        <v>608</v>
      </c>
      <c r="Y188" s="804"/>
      <c r="Z188" s="804"/>
      <c r="AA188" s="804"/>
      <c r="AB188" s="804"/>
      <c r="AC188" s="816"/>
      <c r="AD188" s="289"/>
      <c r="AE188" s="503"/>
      <c r="AF188" s="13"/>
      <c r="AG188" s="803"/>
      <c r="AH188" s="804" t="str">
        <f>IF(AH187="","",VLOOKUP(AH187,rozdzial75,5,0))</f>
        <v/>
      </c>
      <c r="AI188" s="804"/>
      <c r="AJ188" s="804"/>
      <c r="AK188" s="804"/>
      <c r="AL188" s="816"/>
      <c r="AM188" s="289"/>
      <c r="AN188" s="289"/>
      <c r="AO188" s="289"/>
      <c r="AP188" s="409"/>
      <c r="AQ188" s="409"/>
      <c r="AR188" s="409"/>
      <c r="AS188" s="409"/>
      <c r="AT188" s="409"/>
      <c r="AU188" s="409"/>
      <c r="AV188" s="409"/>
      <c r="AW188" s="409"/>
      <c r="AX188" s="409"/>
      <c r="AY188" s="409"/>
      <c r="AZ188" s="409"/>
      <c r="BA188" s="409"/>
      <c r="BB188" s="409"/>
      <c r="BC188" s="409"/>
      <c r="BD188" s="409"/>
      <c r="BE188" s="409"/>
      <c r="BF188" s="409"/>
      <c r="BG188" s="409"/>
      <c r="BH188" s="409"/>
      <c r="BI188" s="266"/>
      <c r="BJ188" s="265"/>
    </row>
    <row r="189" spans="1:62" ht="13.95" customHeight="1">
      <c r="A189" s="265"/>
      <c r="B189" s="289"/>
      <c r="C189" s="289"/>
      <c r="D189" s="411"/>
      <c r="E189" s="411"/>
      <c r="F189" s="411"/>
      <c r="G189" s="411"/>
      <c r="H189" s="411"/>
      <c r="I189" s="411"/>
      <c r="J189" s="409"/>
      <c r="K189" s="409"/>
      <c r="L189" s="409"/>
      <c r="M189" s="409"/>
      <c r="N189" s="409"/>
      <c r="O189" s="409"/>
      <c r="P189" s="409"/>
      <c r="Q189" s="409"/>
      <c r="R189" s="409"/>
      <c r="S189" s="409"/>
      <c r="T189" s="409"/>
      <c r="U189" s="409"/>
      <c r="V189" s="409"/>
      <c r="W189" s="289"/>
      <c r="X189" s="805"/>
      <c r="Y189" s="805"/>
      <c r="Z189" s="805"/>
      <c r="AA189" s="805"/>
      <c r="AB189" s="805"/>
      <c r="AC189" s="289"/>
      <c r="AD189" s="289"/>
      <c r="AE189" s="503"/>
      <c r="AF189" s="13"/>
      <c r="AG189" s="803"/>
      <c r="AH189" s="805"/>
      <c r="AI189" s="805"/>
      <c r="AJ189" s="805"/>
      <c r="AK189" s="805"/>
      <c r="AL189" s="13"/>
      <c r="AM189" s="289"/>
      <c r="AN189" s="289"/>
      <c r="AO189" s="289"/>
      <c r="AP189" s="409"/>
      <c r="AQ189" s="409"/>
      <c r="AR189" s="409"/>
      <c r="AS189" s="409"/>
      <c r="AT189" s="409"/>
      <c r="AU189" s="409"/>
      <c r="AV189" s="409"/>
      <c r="AW189" s="409"/>
      <c r="AX189" s="409"/>
      <c r="AY189" s="409"/>
      <c r="AZ189" s="409"/>
      <c r="BA189" s="409"/>
      <c r="BB189" s="409"/>
      <c r="BC189" s="409"/>
      <c r="BD189" s="409"/>
      <c r="BE189" s="409"/>
      <c r="BF189" s="409"/>
      <c r="BG189" s="409"/>
      <c r="BH189" s="409"/>
      <c r="BI189" s="266"/>
      <c r="BJ189" s="265"/>
    </row>
    <row r="190" spans="1:62" ht="13.95" customHeight="1">
      <c r="A190" s="265"/>
      <c r="B190" s="289"/>
      <c r="C190" s="289"/>
      <c r="D190" s="411"/>
      <c r="E190" s="411"/>
      <c r="F190" s="411"/>
      <c r="G190" s="411"/>
      <c r="H190" s="411"/>
      <c r="I190" s="411"/>
      <c r="J190" s="409"/>
      <c r="K190" s="409"/>
      <c r="L190" s="409"/>
      <c r="M190" s="409"/>
      <c r="N190" s="409"/>
      <c r="O190" s="409"/>
      <c r="P190" s="409"/>
      <c r="Q190" s="409"/>
      <c r="R190" s="409"/>
      <c r="S190" s="409"/>
      <c r="T190" s="409"/>
      <c r="U190" s="409"/>
      <c r="V190" s="409"/>
      <c r="W190" s="289"/>
      <c r="X190" s="334">
        <f>VLOOKUP(X187,rozdzial75,3,0)</f>
        <v>7988050</v>
      </c>
      <c r="Y190" s="562">
        <f>VLOOKUP(X187,rozdzial75,4,0)</f>
        <v>824</v>
      </c>
      <c r="Z190" s="13"/>
      <c r="AA190" s="340"/>
      <c r="AB190" s="562"/>
      <c r="AC190" s="289"/>
      <c r="AD190" s="289"/>
      <c r="AE190" s="503"/>
      <c r="AF190" s="13"/>
      <c r="AG190" s="803"/>
      <c r="AH190" s="334" t="str">
        <f>IF(AH187="","",VLOOKUP(AH187,rozdzial75,3,0))</f>
        <v/>
      </c>
      <c r="AI190" s="562" t="str">
        <f>IF(AH187="","",VLOOKUP(AH187,rozdzial75,4,0))</f>
        <v/>
      </c>
      <c r="AJ190" s="334" t="str">
        <f>IF(AH187="","",IF(Obliczenia!Y69=125,'Elementy DN75&amp;90 2024-09'!F47,IF(Obliczenia!Y69=160,'Elementy DN75&amp;90 2024-09'!F48,'Elementy DN75&amp;90 2024-09'!F49)))</f>
        <v/>
      </c>
      <c r="AK190" s="562" t="str">
        <f>IF(AH187="","",VLOOKUP(AJ190,'Elementy DN75&amp;90 2024-09'!F13:G67,2,0))</f>
        <v/>
      </c>
      <c r="AL190" s="289"/>
      <c r="AM190" s="289"/>
      <c r="AN190" s="289"/>
      <c r="AO190" s="289"/>
      <c r="AP190" s="409"/>
      <c r="AQ190" s="409"/>
      <c r="AR190" s="409"/>
      <c r="AS190" s="409"/>
      <c r="AT190" s="409"/>
      <c r="AU190" s="409"/>
      <c r="AV190" s="409"/>
      <c r="AW190" s="409"/>
      <c r="AX190" s="409"/>
      <c r="AY190" s="409"/>
      <c r="AZ190" s="409"/>
      <c r="BA190" s="409"/>
      <c r="BB190" s="409"/>
      <c r="BC190" s="409"/>
      <c r="BD190" s="409"/>
      <c r="BE190" s="409"/>
      <c r="BF190" s="409"/>
      <c r="BG190" s="409"/>
      <c r="BH190" s="409"/>
      <c r="BI190" s="266"/>
      <c r="BJ190" s="265"/>
    </row>
    <row r="191" spans="1:62" ht="13.95" customHeight="1">
      <c r="A191" s="265"/>
      <c r="B191" s="289"/>
      <c r="C191" s="289"/>
      <c r="D191" s="411"/>
      <c r="E191" s="411"/>
      <c r="F191" s="411"/>
      <c r="G191" s="411"/>
      <c r="H191" s="411"/>
      <c r="I191" s="411"/>
      <c r="J191" s="409"/>
      <c r="K191" s="409"/>
      <c r="L191" s="409"/>
      <c r="M191" s="409"/>
      <c r="N191" s="409"/>
      <c r="O191" s="409"/>
      <c r="P191" s="409"/>
      <c r="Q191" s="409"/>
      <c r="R191" s="409"/>
      <c r="S191" s="409"/>
      <c r="T191" s="409"/>
      <c r="U191" s="409"/>
      <c r="V191" s="409"/>
      <c r="W191" s="289"/>
      <c r="X191" s="13"/>
      <c r="Y191" s="13"/>
      <c r="Z191" s="13"/>
      <c r="AA191" s="13"/>
      <c r="AB191" s="13"/>
      <c r="AC191" s="13"/>
      <c r="AD191" s="13"/>
      <c r="AE191" s="503"/>
      <c r="AF191" s="13"/>
      <c r="AG191" s="13"/>
      <c r="AH191" s="13"/>
      <c r="AI191" s="13"/>
      <c r="AJ191" s="13"/>
      <c r="AK191" s="13"/>
      <c r="AL191" s="13"/>
      <c r="AM191" s="13"/>
      <c r="AN191" s="13"/>
      <c r="AO191" s="289"/>
      <c r="AP191" s="409"/>
      <c r="AQ191" s="409"/>
      <c r="AR191" s="409"/>
      <c r="AS191" s="409"/>
      <c r="AT191" s="409"/>
      <c r="AU191" s="409"/>
      <c r="AV191" s="409"/>
      <c r="AW191" s="409"/>
      <c r="AX191" s="409"/>
      <c r="AY191" s="409"/>
      <c r="AZ191" s="409"/>
      <c r="BA191" s="409"/>
      <c r="BB191" s="409"/>
      <c r="BC191" s="409"/>
      <c r="BD191" s="409"/>
      <c r="BE191" s="409"/>
      <c r="BF191" s="409"/>
      <c r="BG191" s="409"/>
      <c r="BH191" s="409"/>
      <c r="BI191" s="266"/>
      <c r="BJ191" s="265"/>
    </row>
    <row r="192" spans="1:62" ht="13.95" customHeight="1">
      <c r="A192" s="265"/>
      <c r="B192" s="289"/>
      <c r="C192" s="289"/>
      <c r="D192" s="411"/>
      <c r="E192" s="411"/>
      <c r="F192" s="411"/>
      <c r="G192" s="411"/>
      <c r="H192" s="411"/>
      <c r="I192" s="411"/>
      <c r="J192" s="409"/>
      <c r="K192" s="409"/>
      <c r="L192" s="409"/>
      <c r="M192" s="409"/>
      <c r="N192" s="409"/>
      <c r="O192" s="409"/>
      <c r="P192" s="409"/>
      <c r="Q192" s="409"/>
      <c r="R192" s="409"/>
      <c r="S192" s="409"/>
      <c r="T192" s="409"/>
      <c r="U192" s="409"/>
      <c r="V192" s="409"/>
      <c r="W192" s="289"/>
      <c r="X192" s="496" t="str">
        <f>Obliczenia!BF42</f>
        <v>Element przyłączeniowy rozdzielacza DN180</v>
      </c>
      <c r="Y192" s="13"/>
      <c r="Z192" s="13"/>
      <c r="AA192" s="13"/>
      <c r="AB192" s="501"/>
      <c r="AC192" s="816">
        <f>AC187</f>
        <v>1</v>
      </c>
      <c r="AD192" s="769">
        <f>VLOOKUP(X192,'Elementy DN75&amp;90 2024-09'!D13:H67,4,0)*AC192*(1-$AM$236/100)</f>
        <v>56</v>
      </c>
      <c r="AE192" s="769"/>
      <c r="AF192" s="13"/>
      <c r="AG192" s="803" t="str">
        <f>IF(AL192&gt;0,"+","")</f>
        <v/>
      </c>
      <c r="AH192" s="496" t="str">
        <f>IF(AH187="","",X192)</f>
        <v/>
      </c>
      <c r="AI192" s="13"/>
      <c r="AJ192" s="13"/>
      <c r="AK192" s="13"/>
      <c r="AL192" s="816">
        <f>AL187</f>
        <v>0</v>
      </c>
      <c r="AM192" s="769">
        <f>IF(AH192="",0,VLOOKUP(AH192,'Elementy DN75&amp;90 2024-09'!D18:H70,4,0)*AL192*(1-$AM$236/100)+AL192*AK195)</f>
        <v>0</v>
      </c>
      <c r="AN192" s="769"/>
      <c r="AO192" s="289"/>
      <c r="AP192" s="409"/>
      <c r="AQ192" s="409"/>
      <c r="AR192" s="409"/>
      <c r="AS192" s="409"/>
      <c r="AT192" s="409"/>
      <c r="AU192" s="409"/>
      <c r="AV192" s="409"/>
      <c r="AW192" s="409"/>
      <c r="AX192" s="409"/>
      <c r="AY192" s="409"/>
      <c r="AZ192" s="409"/>
      <c r="BA192" s="409"/>
      <c r="BB192" s="409"/>
      <c r="BC192" s="409"/>
      <c r="BD192" s="409"/>
      <c r="BE192" s="409"/>
      <c r="BF192" s="409"/>
      <c r="BG192" s="409"/>
      <c r="BH192" s="409"/>
      <c r="BI192" s="266"/>
      <c r="BJ192" s="265"/>
    </row>
    <row r="193" spans="1:62" ht="13.95" customHeight="1">
      <c r="A193" s="265"/>
      <c r="B193" s="289"/>
      <c r="C193" s="289"/>
      <c r="D193" s="411"/>
      <c r="E193" s="411"/>
      <c r="F193" s="411"/>
      <c r="G193" s="411"/>
      <c r="H193" s="411"/>
      <c r="I193" s="411"/>
      <c r="J193" s="409"/>
      <c r="K193" s="409"/>
      <c r="L193" s="409"/>
      <c r="M193" s="409"/>
      <c r="N193" s="409"/>
      <c r="O193" s="409"/>
      <c r="P193" s="409"/>
      <c r="Q193" s="409"/>
      <c r="R193" s="409"/>
      <c r="S193" s="409"/>
      <c r="T193" s="409"/>
      <c r="U193" s="409"/>
      <c r="V193" s="409"/>
      <c r="W193" s="289"/>
      <c r="X193" s="804" t="s">
        <v>608</v>
      </c>
      <c r="Y193" s="804"/>
      <c r="Z193" s="804"/>
      <c r="AA193" s="804"/>
      <c r="AB193" s="804"/>
      <c r="AC193" s="816"/>
      <c r="AD193" s="289"/>
      <c r="AE193" s="503"/>
      <c r="AF193" s="13"/>
      <c r="AG193" s="803"/>
      <c r="AH193" s="804" t="str">
        <f>IF(AH192="","",VLOOKUP(AH192,rozdzial75,5,0))</f>
        <v/>
      </c>
      <c r="AI193" s="804"/>
      <c r="AJ193" s="804"/>
      <c r="AK193" s="804"/>
      <c r="AL193" s="816"/>
      <c r="AM193" s="289"/>
      <c r="AN193" s="289"/>
      <c r="AO193" s="289"/>
      <c r="AP193" s="409"/>
      <c r="AQ193" s="409"/>
      <c r="AR193" s="409"/>
      <c r="AS193" s="409"/>
      <c r="AT193" s="409"/>
      <c r="AU193" s="409"/>
      <c r="AV193" s="409"/>
      <c r="AW193" s="409"/>
      <c r="AX193" s="409"/>
      <c r="AY193" s="409"/>
      <c r="AZ193" s="409"/>
      <c r="BA193" s="409"/>
      <c r="BB193" s="409"/>
      <c r="BC193" s="409"/>
      <c r="BD193" s="409"/>
      <c r="BE193" s="409"/>
      <c r="BF193" s="409"/>
      <c r="BG193" s="409"/>
      <c r="BH193" s="409"/>
      <c r="BI193" s="266"/>
      <c r="BJ193" s="265"/>
    </row>
    <row r="194" spans="1:62" ht="13.95" customHeight="1">
      <c r="A194" s="265"/>
      <c r="B194" s="289"/>
      <c r="C194" s="289"/>
      <c r="D194" s="411"/>
      <c r="E194" s="411"/>
      <c r="F194" s="411"/>
      <c r="G194" s="411"/>
      <c r="H194" s="411"/>
      <c r="I194" s="411"/>
      <c r="J194" s="409"/>
      <c r="K194" s="409"/>
      <c r="L194" s="409"/>
      <c r="M194" s="409"/>
      <c r="N194" s="409"/>
      <c r="O194" s="409"/>
      <c r="P194" s="409"/>
      <c r="Q194" s="409"/>
      <c r="R194" s="409"/>
      <c r="S194" s="409"/>
      <c r="T194" s="409"/>
      <c r="U194" s="409"/>
      <c r="V194" s="409"/>
      <c r="W194" s="289"/>
      <c r="X194" s="805"/>
      <c r="Y194" s="805"/>
      <c r="Z194" s="805"/>
      <c r="AA194" s="805"/>
      <c r="AB194" s="805"/>
      <c r="AC194" s="289"/>
      <c r="AD194" s="289"/>
      <c r="AE194" s="503"/>
      <c r="AF194" s="13"/>
      <c r="AG194" s="803"/>
      <c r="AH194" s="805"/>
      <c r="AI194" s="805"/>
      <c r="AJ194" s="805"/>
      <c r="AK194" s="805"/>
      <c r="AL194" s="13"/>
      <c r="AM194" s="289"/>
      <c r="AN194" s="289"/>
      <c r="AO194" s="289"/>
      <c r="AP194" s="409"/>
      <c r="AQ194" s="409"/>
      <c r="AR194" s="409"/>
      <c r="AS194" s="409"/>
      <c r="AT194" s="409"/>
      <c r="AU194" s="409"/>
      <c r="AV194" s="409"/>
      <c r="AW194" s="409"/>
      <c r="AX194" s="409"/>
      <c r="AY194" s="409"/>
      <c r="AZ194" s="409"/>
      <c r="BA194" s="409"/>
      <c r="BB194" s="409"/>
      <c r="BC194" s="409"/>
      <c r="BD194" s="409"/>
      <c r="BE194" s="409"/>
      <c r="BF194" s="409"/>
      <c r="BG194" s="409"/>
      <c r="BH194" s="409"/>
      <c r="BI194" s="266"/>
      <c r="BJ194" s="265"/>
    </row>
    <row r="195" spans="1:62" ht="13.95" customHeight="1">
      <c r="A195" s="265"/>
      <c r="B195" s="289"/>
      <c r="C195" s="289"/>
      <c r="D195" s="411"/>
      <c r="E195" s="411"/>
      <c r="F195" s="411"/>
      <c r="G195" s="411"/>
      <c r="H195" s="411"/>
      <c r="I195" s="411"/>
      <c r="J195" s="409"/>
      <c r="K195" s="409"/>
      <c r="L195" s="409"/>
      <c r="M195" s="409"/>
      <c r="N195" s="409"/>
      <c r="O195" s="409"/>
      <c r="P195" s="409"/>
      <c r="Q195" s="409"/>
      <c r="R195" s="409"/>
      <c r="S195" s="409"/>
      <c r="T195" s="409"/>
      <c r="U195" s="409"/>
      <c r="V195" s="409"/>
      <c r="W195" s="289"/>
      <c r="X195" s="334">
        <f>VLOOKUP(X192,rozdzial75,3,0)</f>
        <v>7775844</v>
      </c>
      <c r="Y195" s="880" t="str">
        <f>IF(X192="","","w zakresie dostawy")</f>
        <v>w zakresie dostawy</v>
      </c>
      <c r="Z195" s="289"/>
      <c r="AA195" s="289"/>
      <c r="AB195" s="289"/>
      <c r="AC195" s="289"/>
      <c r="AD195" s="289"/>
      <c r="AE195" s="503"/>
      <c r="AF195" s="13"/>
      <c r="AG195" s="803"/>
      <c r="AH195" s="334" t="str">
        <f>IF(AH192="","",VLOOKUP(AH192,rozdzial75,3,0))</f>
        <v/>
      </c>
      <c r="AI195" s="880" t="str">
        <f>IF(AH192="","","w zakresie dostawy")</f>
        <v/>
      </c>
      <c r="AJ195" s="289"/>
      <c r="AK195" s="289"/>
      <c r="AL195" s="289"/>
      <c r="AM195" s="289"/>
      <c r="AN195" s="289"/>
      <c r="AO195" s="289"/>
      <c r="AP195" s="409"/>
      <c r="AQ195" s="409"/>
      <c r="AR195" s="409"/>
      <c r="AS195" s="409"/>
      <c r="AT195" s="409"/>
      <c r="AU195" s="409"/>
      <c r="AV195" s="409"/>
      <c r="AW195" s="409"/>
      <c r="AX195" s="409"/>
      <c r="AY195" s="409"/>
      <c r="AZ195" s="409"/>
      <c r="BA195" s="409"/>
      <c r="BB195" s="409"/>
      <c r="BC195" s="409"/>
      <c r="BD195" s="409"/>
      <c r="BE195" s="409"/>
      <c r="BF195" s="409"/>
      <c r="BG195" s="409"/>
      <c r="BH195" s="409"/>
      <c r="BI195" s="266"/>
      <c r="BJ195" s="265"/>
    </row>
    <row r="196" spans="1:62" ht="13.95" customHeight="1">
      <c r="A196" s="265"/>
      <c r="B196" s="289"/>
      <c r="C196" s="289"/>
      <c r="D196" s="409"/>
      <c r="E196" s="409"/>
      <c r="F196" s="409"/>
      <c r="G196" s="409"/>
      <c r="H196" s="409"/>
      <c r="I196" s="409"/>
      <c r="J196" s="409"/>
      <c r="K196" s="409"/>
      <c r="L196" s="409"/>
      <c r="M196" s="409"/>
      <c r="N196" s="409"/>
      <c r="O196" s="409"/>
      <c r="P196" s="409"/>
      <c r="Q196" s="409"/>
      <c r="R196" s="409"/>
      <c r="S196" s="409"/>
      <c r="T196" s="409"/>
      <c r="U196" s="409"/>
      <c r="V196" s="409"/>
      <c r="W196" s="289"/>
      <c r="X196" s="13"/>
      <c r="Y196" s="13"/>
      <c r="Z196" s="13"/>
      <c r="AA196" s="13"/>
      <c r="AB196" s="13"/>
      <c r="AC196" s="13"/>
      <c r="AD196" s="503"/>
      <c r="AE196" s="503"/>
      <c r="AF196" s="13"/>
      <c r="AG196" s="13"/>
      <c r="AH196" s="13"/>
      <c r="AI196" s="289"/>
      <c r="AJ196" s="289"/>
      <c r="AK196" s="289"/>
      <c r="AL196" s="289"/>
      <c r="AM196" s="289"/>
      <c r="AN196" s="289"/>
      <c r="AO196" s="289"/>
      <c r="AP196" s="409"/>
      <c r="AQ196" s="409"/>
      <c r="AR196" s="409"/>
      <c r="AS196" s="409"/>
      <c r="AT196" s="409"/>
      <c r="AU196" s="409"/>
      <c r="AV196" s="409"/>
      <c r="AW196" s="409"/>
      <c r="AX196" s="409"/>
      <c r="AY196" s="409"/>
      <c r="AZ196" s="409"/>
      <c r="BA196" s="409"/>
      <c r="BB196" s="409"/>
      <c r="BC196" s="409"/>
      <c r="BD196" s="409"/>
      <c r="BE196" s="409"/>
      <c r="BF196" s="409"/>
      <c r="BG196" s="409"/>
      <c r="BH196" s="409"/>
      <c r="BI196" s="266"/>
      <c r="BJ196" s="265"/>
    </row>
    <row r="197" spans="1:62" ht="13.95" customHeight="1">
      <c r="A197" s="265"/>
      <c r="B197" s="289"/>
      <c r="C197" s="289"/>
      <c r="D197" s="409"/>
      <c r="E197" s="409"/>
      <c r="F197" s="409"/>
      <c r="G197" s="409"/>
      <c r="H197" s="409"/>
      <c r="I197" s="409"/>
      <c r="J197" s="409"/>
      <c r="K197" s="409"/>
      <c r="L197" s="409"/>
      <c r="M197" s="409"/>
      <c r="N197" s="409"/>
      <c r="O197" s="409"/>
      <c r="P197" s="409"/>
      <c r="Q197" s="409"/>
      <c r="R197" s="409"/>
      <c r="S197" s="409"/>
      <c r="T197" s="409"/>
      <c r="U197" s="409"/>
      <c r="V197" s="409"/>
      <c r="W197" s="746" t="s">
        <v>467</v>
      </c>
      <c r="X197" s="746"/>
      <c r="Y197" s="746"/>
      <c r="Z197" s="746"/>
      <c r="AA197" s="746"/>
      <c r="AB197" s="746"/>
      <c r="AC197" s="13"/>
      <c r="AD197" s="503"/>
      <c r="AE197" s="503"/>
      <c r="AF197" s="13"/>
      <c r="AG197" s="13"/>
      <c r="AH197" s="289"/>
      <c r="AI197" s="289"/>
      <c r="AJ197" s="289"/>
      <c r="AK197" s="289"/>
      <c r="AL197" s="289"/>
      <c r="AM197" s="289"/>
      <c r="AN197" s="289"/>
      <c r="AO197" s="289"/>
      <c r="AP197" s="409"/>
      <c r="AQ197" s="409"/>
      <c r="AR197" s="409"/>
      <c r="AS197" s="409"/>
      <c r="AT197" s="409"/>
      <c r="AU197" s="409"/>
      <c r="AV197" s="409"/>
      <c r="AW197" s="409"/>
      <c r="AX197" s="409"/>
      <c r="AY197" s="409"/>
      <c r="AZ197" s="409"/>
      <c r="BA197" s="409"/>
      <c r="BB197" s="409"/>
      <c r="BC197" s="409"/>
      <c r="BD197" s="409"/>
      <c r="BE197" s="409"/>
      <c r="BF197" s="409"/>
      <c r="BG197" s="409"/>
      <c r="BH197" s="409"/>
      <c r="BI197" s="266"/>
      <c r="BJ197" s="265"/>
    </row>
    <row r="198" spans="1:62" ht="13.95" customHeight="1">
      <c r="A198" s="265"/>
      <c r="B198" s="289"/>
      <c r="C198" s="289"/>
      <c r="D198" s="409"/>
      <c r="E198" s="409"/>
      <c r="F198" s="409"/>
      <c r="G198" s="409"/>
      <c r="H198" s="409"/>
      <c r="I198" s="409"/>
      <c r="J198" s="409"/>
      <c r="K198" s="409"/>
      <c r="L198" s="409"/>
      <c r="M198" s="409"/>
      <c r="N198" s="409"/>
      <c r="O198" s="409"/>
      <c r="P198" s="409"/>
      <c r="Q198" s="409"/>
      <c r="R198" s="409"/>
      <c r="S198" s="409"/>
      <c r="T198" s="409"/>
      <c r="U198" s="409"/>
      <c r="V198" s="409"/>
      <c r="W198" s="771"/>
      <c r="X198" s="771"/>
      <c r="Y198" s="771"/>
      <c r="Z198" s="771"/>
      <c r="AA198" s="771"/>
      <c r="AB198" s="771"/>
      <c r="AC198" s="338"/>
      <c r="AD198" s="551"/>
      <c r="AE198" s="551"/>
      <c r="AF198" s="338"/>
      <c r="AG198" s="501"/>
      <c r="AH198" s="296"/>
      <c r="AI198" s="296"/>
      <c r="AJ198" s="296"/>
      <c r="AK198" s="296"/>
      <c r="AL198" s="296"/>
      <c r="AM198" s="296"/>
      <c r="AN198" s="296"/>
      <c r="AO198" s="296"/>
      <c r="AP198" s="510"/>
      <c r="AQ198" s="510"/>
      <c r="AR198" s="510"/>
      <c r="AS198" s="510"/>
      <c r="AT198" s="510"/>
      <c r="AU198" s="510"/>
      <c r="AV198" s="510"/>
      <c r="AW198" s="510"/>
      <c r="AX198" s="510"/>
      <c r="AY198" s="510"/>
      <c r="AZ198" s="510"/>
      <c r="BA198" s="510"/>
      <c r="BB198" s="510"/>
      <c r="BC198" s="510"/>
      <c r="BD198" s="510"/>
      <c r="BE198" s="409"/>
      <c r="BF198" s="409"/>
      <c r="BG198" s="409"/>
      <c r="BH198" s="409"/>
      <c r="BI198" s="266"/>
      <c r="BJ198" s="265"/>
    </row>
    <row r="199" spans="1:62" ht="13.95" customHeight="1">
      <c r="A199" s="265"/>
      <c r="B199" s="289"/>
      <c r="C199" s="289"/>
      <c r="D199" s="409"/>
      <c r="E199" s="409"/>
      <c r="F199" s="409"/>
      <c r="G199" s="409"/>
      <c r="H199" s="409"/>
      <c r="I199" s="409"/>
      <c r="J199" s="409"/>
      <c r="K199" s="409"/>
      <c r="L199" s="409"/>
      <c r="M199" s="409"/>
      <c r="N199" s="409"/>
      <c r="O199" s="409"/>
      <c r="P199" s="409"/>
      <c r="Q199" s="409"/>
      <c r="R199" s="409"/>
      <c r="S199" s="409"/>
      <c r="T199" s="409"/>
      <c r="U199" s="409"/>
      <c r="V199" s="409"/>
      <c r="W199" s="289"/>
      <c r="X199" s="13"/>
      <c r="Y199" s="13"/>
      <c r="Z199" s="13"/>
      <c r="AA199" s="13"/>
      <c r="AB199" s="13"/>
      <c r="AC199" s="559"/>
      <c r="AD199" s="560"/>
      <c r="AE199" s="560"/>
      <c r="AF199" s="559"/>
      <c r="AG199" s="559"/>
      <c r="AH199" s="561"/>
      <c r="AI199" s="561"/>
      <c r="AJ199" s="561"/>
      <c r="AK199" s="561"/>
      <c r="AL199" s="561"/>
      <c r="AM199" s="561"/>
      <c r="AN199" s="561"/>
      <c r="AO199" s="561"/>
      <c r="AP199" s="509"/>
      <c r="AQ199" s="509"/>
      <c r="AR199" s="509"/>
      <c r="AS199" s="509"/>
      <c r="AT199" s="509"/>
      <c r="AU199" s="509"/>
      <c r="AV199" s="509"/>
      <c r="AW199" s="509"/>
      <c r="AX199" s="509"/>
      <c r="AY199" s="509"/>
      <c r="AZ199" s="509"/>
      <c r="BA199" s="509"/>
      <c r="BB199" s="509"/>
      <c r="BC199" s="509"/>
      <c r="BD199" s="509"/>
      <c r="BE199" s="409"/>
      <c r="BF199" s="409"/>
      <c r="BG199" s="409"/>
      <c r="BH199" s="409"/>
      <c r="BI199" s="266"/>
      <c r="BJ199" s="265"/>
    </row>
    <row r="200" spans="1:62">
      <c r="A200" s="265"/>
      <c r="B200" s="289"/>
      <c r="C200" s="289"/>
      <c r="D200" s="409"/>
      <c r="E200" s="409"/>
      <c r="F200" s="409"/>
      <c r="G200" s="409"/>
      <c r="H200" s="409"/>
      <c r="I200" s="409"/>
      <c r="J200" s="409"/>
      <c r="K200" s="409"/>
      <c r="L200" s="409"/>
      <c r="M200" s="409"/>
      <c r="N200" s="409"/>
      <c r="O200" s="409"/>
      <c r="P200" s="409"/>
      <c r="Q200" s="409"/>
      <c r="R200" s="409"/>
      <c r="S200" s="409"/>
      <c r="T200" s="409"/>
      <c r="U200" s="409"/>
      <c r="V200" s="409"/>
      <c r="W200" s="289"/>
      <c r="X200" s="289"/>
      <c r="Y200" s="289"/>
      <c r="Z200" s="289"/>
      <c r="AA200" s="289"/>
      <c r="AB200" s="289"/>
      <c r="AC200" s="289"/>
      <c r="AD200" s="707"/>
      <c r="AE200" s="506"/>
      <c r="AF200" s="289"/>
      <c r="AG200" s="13"/>
      <c r="AH200" s="289"/>
      <c r="AI200" s="289"/>
      <c r="AJ200" s="289"/>
      <c r="AK200" s="289"/>
      <c r="AL200" s="289"/>
      <c r="AM200" s="707"/>
      <c r="AN200" s="289"/>
      <c r="AO200" s="289"/>
      <c r="AP200" s="409"/>
      <c r="AQ200" s="409"/>
      <c r="AR200" s="409"/>
      <c r="AS200" s="409"/>
      <c r="AT200" s="409"/>
      <c r="AU200" s="409"/>
      <c r="AV200" s="409"/>
      <c r="AW200" s="409"/>
      <c r="AX200" s="409"/>
      <c r="AY200" s="409"/>
      <c r="AZ200" s="409"/>
      <c r="BA200" s="409"/>
      <c r="BB200" s="409"/>
      <c r="BC200" s="409"/>
      <c r="BD200" s="409"/>
      <c r="BE200" s="409"/>
      <c r="BF200" s="409"/>
      <c r="BG200" s="409"/>
      <c r="BH200" s="409"/>
      <c r="BI200" s="266"/>
      <c r="BJ200" s="265"/>
    </row>
    <row r="201" spans="1:62" ht="13.95" customHeight="1">
      <c r="A201" s="265"/>
      <c r="B201" s="289"/>
      <c r="C201" s="289"/>
      <c r="D201" s="409"/>
      <c r="E201" s="409"/>
      <c r="F201" s="409"/>
      <c r="G201" s="409"/>
      <c r="H201" s="409"/>
      <c r="I201" s="409"/>
      <c r="J201" s="409"/>
      <c r="K201" s="409"/>
      <c r="L201" s="409"/>
      <c r="M201" s="409"/>
      <c r="N201" s="409"/>
      <c r="O201" s="409"/>
      <c r="P201" s="409"/>
      <c r="Q201" s="409"/>
      <c r="R201" s="409"/>
      <c r="S201" s="409"/>
      <c r="T201" s="409"/>
      <c r="U201" s="409"/>
      <c r="V201" s="409"/>
      <c r="W201" s="289"/>
      <c r="X201" s="496" t="s">
        <v>54</v>
      </c>
      <c r="Y201" s="13"/>
      <c r="Z201" s="13"/>
      <c r="AA201" s="13"/>
      <c r="AB201" s="13"/>
      <c r="AC201" s="763">
        <f>AB203</f>
        <v>6</v>
      </c>
      <c r="AD201" s="769">
        <f>VLOOKUP(X201,rozdzial,4,0)*AC201</f>
        <v>2754</v>
      </c>
      <c r="AE201" s="769"/>
      <c r="AF201" s="282"/>
      <c r="AG201" s="13"/>
      <c r="AH201" s="496" t="s">
        <v>56</v>
      </c>
      <c r="AI201" s="13"/>
      <c r="AJ201" s="13"/>
      <c r="AK201" s="13"/>
      <c r="AL201" s="763">
        <f>AK203</f>
        <v>4</v>
      </c>
      <c r="AM201" s="769">
        <f>VLOOKUP(AH201,rozdzial,4,0)*AL201</f>
        <v>816</v>
      </c>
      <c r="AN201" s="769"/>
      <c r="AO201" s="289"/>
      <c r="AP201" s="409"/>
      <c r="AQ201" s="409"/>
      <c r="AR201" s="409"/>
      <c r="AS201" s="409"/>
      <c r="AT201" s="409"/>
      <c r="AU201" s="409"/>
      <c r="AV201" s="409"/>
      <c r="AW201" s="409"/>
      <c r="AX201" s="409"/>
      <c r="AY201" s="409"/>
      <c r="AZ201" s="409"/>
      <c r="BA201" s="409"/>
      <c r="BB201" s="409"/>
      <c r="BC201" s="409"/>
      <c r="BD201" s="409"/>
      <c r="BE201" s="409"/>
      <c r="BF201" s="409"/>
      <c r="BG201" s="409"/>
      <c r="BH201" s="409"/>
      <c r="BI201" s="266"/>
      <c r="BJ201" s="265"/>
    </row>
    <row r="202" spans="1:62" ht="13.95" customHeight="1">
      <c r="A202" s="265"/>
      <c r="B202" s="289"/>
      <c r="C202" s="289"/>
      <c r="D202" s="409"/>
      <c r="E202" s="409"/>
      <c r="F202" s="409"/>
      <c r="G202" s="409"/>
      <c r="H202" s="409"/>
      <c r="I202" s="409"/>
      <c r="J202" s="409"/>
      <c r="K202" s="409"/>
      <c r="L202" s="409"/>
      <c r="M202" s="409"/>
      <c r="N202" s="409"/>
      <c r="O202" s="409"/>
      <c r="P202" s="409"/>
      <c r="Q202" s="409"/>
      <c r="R202" s="409"/>
      <c r="S202" s="409"/>
      <c r="T202" s="409"/>
      <c r="U202" s="409"/>
      <c r="V202" s="409"/>
      <c r="W202" s="289"/>
      <c r="X202" s="490" t="s">
        <v>477</v>
      </c>
      <c r="Y202" s="488"/>
      <c r="Z202" s="488"/>
      <c r="AA202" s="488"/>
      <c r="AB202" s="488"/>
      <c r="AC202" s="763"/>
      <c r="AD202" s="502"/>
      <c r="AE202" s="503"/>
      <c r="AF202" s="340"/>
      <c r="AG202" s="13"/>
      <c r="AH202" s="490" t="s">
        <v>481</v>
      </c>
      <c r="AI202" s="488"/>
      <c r="AJ202" s="488"/>
      <c r="AK202" s="488"/>
      <c r="AL202" s="763"/>
      <c r="AM202" s="541"/>
      <c r="AN202" s="289"/>
      <c r="AO202" s="289"/>
      <c r="AP202" s="409"/>
      <c r="AQ202" s="409"/>
      <c r="AR202" s="409"/>
      <c r="AS202" s="409"/>
      <c r="AT202" s="409"/>
      <c r="AU202" s="409"/>
      <c r="AV202" s="409"/>
      <c r="AW202" s="409"/>
      <c r="AX202" s="409"/>
      <c r="AY202" s="409"/>
      <c r="AZ202" s="409"/>
      <c r="BA202" s="409"/>
      <c r="BB202" s="409"/>
      <c r="BC202" s="409"/>
      <c r="BD202" s="409"/>
      <c r="BE202" s="409"/>
      <c r="BF202" s="409"/>
      <c r="BG202" s="409"/>
      <c r="BH202" s="409"/>
      <c r="BI202" s="266"/>
      <c r="BJ202" s="265"/>
    </row>
    <row r="203" spans="1:62" ht="13.95" customHeight="1">
      <c r="A203" s="265"/>
      <c r="B203" s="289"/>
      <c r="C203" s="289"/>
      <c r="D203" s="409"/>
      <c r="E203" s="409"/>
      <c r="F203" s="409"/>
      <c r="G203" s="409"/>
      <c r="H203" s="409"/>
      <c r="I203" s="409"/>
      <c r="J203" s="409"/>
      <c r="K203" s="409"/>
      <c r="L203" s="409"/>
      <c r="M203" s="409"/>
      <c r="N203" s="409"/>
      <c r="O203" s="409"/>
      <c r="P203" s="409"/>
      <c r="Q203" s="409"/>
      <c r="R203" s="409"/>
      <c r="S203" s="409"/>
      <c r="T203" s="409"/>
      <c r="U203" s="409"/>
      <c r="V203" s="409"/>
      <c r="W203" s="289"/>
      <c r="X203" s="334">
        <f>VLOOKUP(X201,rozdzial,3,0)</f>
        <v>7546070</v>
      </c>
      <c r="Y203" s="562">
        <f>VLOOKUP(X201,rozdzial,4,0)</f>
        <v>459</v>
      </c>
      <c r="Z203" s="13"/>
      <c r="AA203" s="486"/>
      <c r="AB203" s="570">
        <v>6</v>
      </c>
      <c r="AC203" s="13"/>
      <c r="AD203" s="507"/>
      <c r="AE203" s="503"/>
      <c r="AF203" s="342"/>
      <c r="AG203" s="13"/>
      <c r="AH203" s="334">
        <f>VLOOKUP(AH201,rozdzial,3,0)</f>
        <v>7546071</v>
      </c>
      <c r="AI203" s="562">
        <f>VLOOKUP(AH201,rozdzial,4,0)</f>
        <v>204</v>
      </c>
      <c r="AJ203" s="489"/>
      <c r="AK203" s="571">
        <v>4</v>
      </c>
      <c r="AL203" s="13"/>
      <c r="AM203" s="541"/>
      <c r="AN203" s="289"/>
      <c r="AO203" s="289"/>
      <c r="AP203" s="409"/>
      <c r="AQ203" s="409"/>
      <c r="AR203" s="409"/>
      <c r="AS203" s="409"/>
      <c r="AT203" s="409"/>
      <c r="AU203" s="409"/>
      <c r="AV203" s="409"/>
      <c r="AW203" s="409"/>
      <c r="AX203" s="409"/>
      <c r="AY203" s="409"/>
      <c r="AZ203" s="409"/>
      <c r="BA203" s="409"/>
      <c r="BB203" s="409"/>
      <c r="BC203" s="409"/>
      <c r="BD203" s="409"/>
      <c r="BE203" s="409"/>
      <c r="BF203" s="409"/>
      <c r="BG203" s="409"/>
      <c r="BH203" s="409"/>
      <c r="BI203" s="266"/>
      <c r="BJ203" s="265"/>
    </row>
    <row r="204" spans="1:62" ht="13.95" customHeight="1">
      <c r="A204" s="265"/>
      <c r="B204" s="289"/>
      <c r="C204" s="289"/>
      <c r="D204" s="409"/>
      <c r="E204" s="409"/>
      <c r="F204" s="409"/>
      <c r="G204" s="409"/>
      <c r="H204" s="409"/>
      <c r="I204" s="409"/>
      <c r="J204" s="409"/>
      <c r="K204" s="409"/>
      <c r="L204" s="409"/>
      <c r="M204" s="409"/>
      <c r="N204" s="409"/>
      <c r="O204" s="409"/>
      <c r="P204" s="409"/>
      <c r="Q204" s="409"/>
      <c r="R204" s="409"/>
      <c r="S204" s="409"/>
      <c r="T204" s="409"/>
      <c r="U204" s="409"/>
      <c r="V204" s="409"/>
      <c r="W204" s="289"/>
      <c r="X204" s="13"/>
      <c r="Y204" s="13"/>
      <c r="Z204" s="13"/>
      <c r="AA204" s="13"/>
      <c r="AB204" s="13"/>
      <c r="AC204" s="13"/>
      <c r="AD204" s="503"/>
      <c r="AE204" s="503"/>
      <c r="AF204" s="13"/>
      <c r="AG204" s="13"/>
      <c r="AH204" s="289"/>
      <c r="AI204" s="289"/>
      <c r="AJ204" s="289"/>
      <c r="AK204" s="289"/>
      <c r="AL204" s="289"/>
      <c r="AM204" s="289"/>
      <c r="AN204" s="289"/>
      <c r="AO204" s="289"/>
      <c r="AP204" s="409"/>
      <c r="AQ204" s="409"/>
      <c r="AR204" s="409"/>
      <c r="AS204" s="409"/>
      <c r="AT204" s="409"/>
      <c r="AU204" s="409"/>
      <c r="AV204" s="409"/>
      <c r="AW204" s="409"/>
      <c r="AX204" s="409"/>
      <c r="AY204" s="409"/>
      <c r="AZ204" s="409"/>
      <c r="BA204" s="409"/>
      <c r="BB204" s="409"/>
      <c r="BC204" s="409"/>
      <c r="BD204" s="409"/>
      <c r="BE204" s="409"/>
      <c r="BF204" s="409"/>
      <c r="BG204" s="409"/>
      <c r="BH204" s="409"/>
      <c r="BI204" s="266"/>
      <c r="BJ204" s="265"/>
    </row>
    <row r="205" spans="1:62">
      <c r="A205" s="265"/>
      <c r="B205" s="289"/>
      <c r="C205" s="289"/>
      <c r="D205" s="409"/>
      <c r="E205" s="409"/>
      <c r="F205" s="409"/>
      <c r="G205" s="409"/>
      <c r="H205" s="409"/>
      <c r="I205" s="409"/>
      <c r="J205" s="409"/>
      <c r="K205" s="409"/>
      <c r="L205" s="409"/>
      <c r="M205" s="409"/>
      <c r="N205" s="409"/>
      <c r="O205" s="409"/>
      <c r="P205" s="409"/>
      <c r="Q205" s="409"/>
      <c r="R205" s="409"/>
      <c r="S205" s="409"/>
      <c r="T205" s="409"/>
      <c r="U205" s="409"/>
      <c r="V205" s="409"/>
      <c r="W205" s="289"/>
      <c r="X205" s="289"/>
      <c r="Y205" s="289"/>
      <c r="Z205" s="289"/>
      <c r="AA205" s="289"/>
      <c r="AB205" s="289"/>
      <c r="AC205" s="289"/>
      <c r="AD205" s="707"/>
      <c r="AE205" s="506"/>
      <c r="AF205" s="289"/>
      <c r="AG205" s="13"/>
      <c r="AH205" s="289"/>
      <c r="AI205" s="289"/>
      <c r="AJ205" s="289"/>
      <c r="AK205" s="289"/>
      <c r="AL205" s="289"/>
      <c r="AM205" s="707"/>
      <c r="AN205" s="289"/>
      <c r="AO205" s="289"/>
      <c r="AP205" s="409"/>
      <c r="AQ205" s="409"/>
      <c r="AR205" s="409"/>
      <c r="AS205" s="409"/>
      <c r="AT205" s="409"/>
      <c r="AU205" s="409"/>
      <c r="AV205" s="409"/>
      <c r="AW205" s="409"/>
      <c r="AX205" s="409"/>
      <c r="AY205" s="409"/>
      <c r="AZ205" s="409"/>
      <c r="BA205" s="409"/>
      <c r="BB205" s="409"/>
      <c r="BC205" s="409"/>
      <c r="BD205" s="409"/>
      <c r="BE205" s="409"/>
      <c r="BF205" s="409"/>
      <c r="BG205" s="409"/>
      <c r="BH205" s="409"/>
      <c r="BI205" s="266"/>
      <c r="BJ205" s="265"/>
    </row>
    <row r="206" spans="1:62" ht="13.95" customHeight="1">
      <c r="A206" s="265"/>
      <c r="B206" s="289"/>
      <c r="C206" s="289"/>
      <c r="D206" s="409"/>
      <c r="E206" s="409"/>
      <c r="F206" s="409"/>
      <c r="G206" s="409"/>
      <c r="H206" s="409"/>
      <c r="I206" s="409"/>
      <c r="J206" s="409"/>
      <c r="K206" s="409"/>
      <c r="L206" s="409"/>
      <c r="M206" s="409"/>
      <c r="N206" s="409"/>
      <c r="O206" s="409"/>
      <c r="P206" s="409"/>
      <c r="Q206" s="409"/>
      <c r="R206" s="409"/>
      <c r="S206" s="409"/>
      <c r="T206" s="409"/>
      <c r="U206" s="409"/>
      <c r="V206" s="409"/>
      <c r="W206" s="289"/>
      <c r="X206" s="496" t="s">
        <v>405</v>
      </c>
      <c r="Y206" s="13"/>
      <c r="Z206" s="13"/>
      <c r="AA206" s="13"/>
      <c r="AB206" s="13"/>
      <c r="AC206" s="763">
        <v>2</v>
      </c>
      <c r="AD206" s="769">
        <f>VLOOKUP(X206,rozdzial,4,0)*AC206</f>
        <v>616</v>
      </c>
      <c r="AE206" s="769"/>
      <c r="AF206" s="282"/>
      <c r="AG206" s="13"/>
      <c r="AH206" s="496" t="str">
        <f>IF(Obliczenia!Y57="Vitovent 300-W 325m3/h lewa","Mufa/redukcja 200/150",IF(Obliczenia!Y57="Vitovent 300-W 325m3/h prawa","Mufa/redukcja 200/150",IF(Obliczenia!Y57="Vitovent 300-W 400m3/h lewa","Mufa/redukcja 200/180",IF(Obliczenia!Y57="Vitovent 300-W 400m3/h prawa","Mufa/redukcja 200/180",IF(Obliczenia!Y57="Vitovent 300-W 225m3/h lewa","Mufa/redukcja 200/125",IF(Obliczenia!Y57="Vitovent 300-W 225m3/h prawa","Mufa/redukcja 200/125","Mufa/redukcja 200/150"))))))</f>
        <v>Mufa/redukcja 200/180</v>
      </c>
      <c r="AI206" s="13"/>
      <c r="AJ206" s="13"/>
      <c r="AK206" s="13"/>
      <c r="AL206" s="763">
        <v>4</v>
      </c>
      <c r="AM206" s="769">
        <f>VLOOKUP(AH206,rozdzial,4,0)*AL206</f>
        <v>336</v>
      </c>
      <c r="AN206" s="769"/>
      <c r="AO206" s="289"/>
      <c r="AP206" s="409"/>
      <c r="AQ206" s="409"/>
      <c r="AR206" s="409"/>
      <c r="AS206" s="409"/>
      <c r="AT206" s="409"/>
      <c r="AU206" s="409"/>
      <c r="AV206" s="409"/>
      <c r="AW206" s="409"/>
      <c r="AX206" s="409"/>
      <c r="AY206" s="409"/>
      <c r="AZ206" s="409"/>
      <c r="BA206" s="409"/>
      <c r="BB206" s="409"/>
      <c r="BC206" s="409"/>
      <c r="BD206" s="409"/>
      <c r="BE206" s="409"/>
      <c r="BF206" s="409"/>
      <c r="BG206" s="409"/>
      <c r="BH206" s="409"/>
      <c r="BI206" s="266"/>
      <c r="BJ206" s="265"/>
    </row>
    <row r="207" spans="1:62" ht="13.95" customHeight="1">
      <c r="A207" s="265"/>
      <c r="B207" s="289"/>
      <c r="C207" s="289"/>
      <c r="D207" s="409"/>
      <c r="E207" s="409"/>
      <c r="F207" s="409"/>
      <c r="G207" s="409"/>
      <c r="H207" s="409"/>
      <c r="I207" s="409"/>
      <c r="J207" s="409"/>
      <c r="K207" s="409"/>
      <c r="L207" s="409"/>
      <c r="M207" s="409"/>
      <c r="N207" s="409"/>
      <c r="O207" s="409"/>
      <c r="P207" s="409"/>
      <c r="Q207" s="409"/>
      <c r="R207" s="409"/>
      <c r="S207" s="409"/>
      <c r="T207" s="409"/>
      <c r="U207" s="409"/>
      <c r="V207" s="409"/>
      <c r="W207" s="289"/>
      <c r="X207" s="490" t="s">
        <v>475</v>
      </c>
      <c r="Y207" s="488"/>
      <c r="Z207" s="488"/>
      <c r="AA207" s="488"/>
      <c r="AB207" s="488"/>
      <c r="AC207" s="763"/>
      <c r="AD207" s="502"/>
      <c r="AE207" s="503"/>
      <c r="AF207" s="340"/>
      <c r="AG207" s="13"/>
      <c r="AH207" s="490" t="s">
        <v>476</v>
      </c>
      <c r="AI207" s="488"/>
      <c r="AJ207" s="488"/>
      <c r="AK207" s="488"/>
      <c r="AL207" s="763"/>
      <c r="AM207" s="289"/>
      <c r="AN207" s="289"/>
      <c r="AO207" s="289"/>
      <c r="AP207" s="409"/>
      <c r="AQ207" s="409"/>
      <c r="AR207" s="409"/>
      <c r="AS207" s="409"/>
      <c r="AT207" s="409"/>
      <c r="AU207" s="409"/>
      <c r="AV207" s="409"/>
      <c r="AW207" s="409"/>
      <c r="AX207" s="409"/>
      <c r="AY207" s="409"/>
      <c r="AZ207" s="409"/>
      <c r="BA207" s="409"/>
      <c r="BB207" s="409"/>
      <c r="BC207" s="409"/>
      <c r="BD207" s="409"/>
      <c r="BE207" s="409"/>
      <c r="BF207" s="409"/>
      <c r="BG207" s="409"/>
      <c r="BH207" s="409"/>
      <c r="BI207" s="266"/>
      <c r="BJ207" s="265"/>
    </row>
    <row r="208" spans="1:62" ht="13.95" customHeight="1">
      <c r="A208" s="265"/>
      <c r="B208" s="289"/>
      <c r="C208" s="289"/>
      <c r="D208" s="409"/>
      <c r="E208" s="409"/>
      <c r="F208" s="409"/>
      <c r="G208" s="409"/>
      <c r="H208" s="409"/>
      <c r="I208" s="409"/>
      <c r="J208" s="409"/>
      <c r="K208" s="409"/>
      <c r="L208" s="409"/>
      <c r="M208" s="409"/>
      <c r="N208" s="409"/>
      <c r="O208" s="409"/>
      <c r="P208" s="409"/>
      <c r="Q208" s="409"/>
      <c r="R208" s="409"/>
      <c r="S208" s="409"/>
      <c r="T208" s="409"/>
      <c r="U208" s="409"/>
      <c r="V208" s="409"/>
      <c r="W208" s="289"/>
      <c r="X208" s="334">
        <f>VLOOKUP(X206,rozdzial,3,0)</f>
        <v>7663729</v>
      </c>
      <c r="Y208" s="562">
        <f>VLOOKUP(X206,rozdzial,4,0)</f>
        <v>308</v>
      </c>
      <c r="Z208" s="13"/>
      <c r="AA208" s="486"/>
      <c r="AB208" s="487"/>
      <c r="AC208" s="13"/>
      <c r="AD208" s="507"/>
      <c r="AE208" s="503"/>
      <c r="AF208" s="342"/>
      <c r="AG208" s="13"/>
      <c r="AH208" s="334">
        <f>VLOOKUP(AH206,rozdzial,3,0)</f>
        <v>7546074</v>
      </c>
      <c r="AI208" s="562">
        <f>VLOOKUP(AH206,rozdzial,4,0)</f>
        <v>84</v>
      </c>
      <c r="AJ208" s="13"/>
      <c r="AK208" s="486"/>
      <c r="AL208" s="13"/>
      <c r="AM208" s="289"/>
      <c r="AN208" s="289"/>
      <c r="AO208" s="289"/>
      <c r="AP208" s="409"/>
      <c r="AQ208" s="409"/>
      <c r="AR208" s="409"/>
      <c r="AS208" s="409"/>
      <c r="AT208" s="409"/>
      <c r="AU208" s="409"/>
      <c r="AV208" s="409"/>
      <c r="AW208" s="409"/>
      <c r="AX208" s="409"/>
      <c r="AY208" s="409"/>
      <c r="AZ208" s="409"/>
      <c r="BA208" s="409"/>
      <c r="BB208" s="409"/>
      <c r="BC208" s="409"/>
      <c r="BD208" s="409"/>
      <c r="BE208" s="409"/>
      <c r="BF208" s="409"/>
      <c r="BG208" s="409"/>
      <c r="BH208" s="409"/>
      <c r="BI208" s="266"/>
      <c r="BJ208" s="265"/>
    </row>
    <row r="209" spans="1:62" ht="13.95" customHeight="1">
      <c r="A209" s="265"/>
      <c r="B209" s="289"/>
      <c r="C209" s="289"/>
      <c r="D209" s="409"/>
      <c r="E209" s="409"/>
      <c r="F209" s="409"/>
      <c r="G209" s="409"/>
      <c r="H209" s="409"/>
      <c r="I209" s="409"/>
      <c r="J209" s="409"/>
      <c r="K209" s="409"/>
      <c r="L209" s="409"/>
      <c r="M209" s="409"/>
      <c r="N209" s="409"/>
      <c r="O209" s="409"/>
      <c r="P209" s="409"/>
      <c r="Q209" s="409"/>
      <c r="R209" s="409"/>
      <c r="S209" s="409"/>
      <c r="T209" s="409"/>
      <c r="U209" s="409"/>
      <c r="V209" s="409"/>
      <c r="W209" s="289"/>
      <c r="X209" s="13"/>
      <c r="Y209" s="13"/>
      <c r="Z209" s="13"/>
      <c r="AA209" s="13"/>
      <c r="AB209" s="13"/>
      <c r="AC209" s="13"/>
      <c r="AD209" s="503"/>
      <c r="AE209" s="503"/>
      <c r="AF209" s="13"/>
      <c r="AG209" s="13"/>
      <c r="AH209" s="289"/>
      <c r="AI209" s="289"/>
      <c r="AJ209" s="289"/>
      <c r="AK209" s="289"/>
      <c r="AL209" s="289"/>
      <c r="AM209" s="289"/>
      <c r="AN209" s="289"/>
      <c r="AO209" s="289"/>
      <c r="AP209" s="409"/>
      <c r="AQ209" s="409"/>
      <c r="AR209" s="409"/>
      <c r="AS209" s="409"/>
      <c r="AT209" s="409"/>
      <c r="AU209" s="409"/>
      <c r="AV209" s="409"/>
      <c r="AW209" s="409"/>
      <c r="AX209" s="409"/>
      <c r="AY209" s="409"/>
      <c r="AZ209" s="409"/>
      <c r="BA209" s="409"/>
      <c r="BB209" s="409"/>
      <c r="BC209" s="409"/>
      <c r="BD209" s="409"/>
      <c r="BE209" s="409"/>
      <c r="BF209" s="409"/>
      <c r="BG209" s="409"/>
      <c r="BH209" s="409"/>
      <c r="BI209" s="266"/>
      <c r="BJ209" s="265"/>
    </row>
    <row r="210" spans="1:62" hidden="1">
      <c r="A210" s="265"/>
      <c r="B210" s="289"/>
      <c r="C210" s="289"/>
      <c r="D210" s="409"/>
      <c r="E210" s="409"/>
      <c r="F210" s="409"/>
      <c r="G210" s="409"/>
      <c r="H210" s="409"/>
      <c r="I210" s="409"/>
      <c r="J210" s="409"/>
      <c r="K210" s="409"/>
      <c r="L210" s="409"/>
      <c r="M210" s="409"/>
      <c r="N210" s="409"/>
      <c r="O210" s="409"/>
      <c r="P210" s="409"/>
      <c r="Q210" s="409"/>
      <c r="R210" s="409"/>
      <c r="S210" s="409"/>
      <c r="T210" s="409"/>
      <c r="U210" s="409"/>
      <c r="V210" s="409"/>
      <c r="W210" s="289"/>
      <c r="X210" s="289"/>
      <c r="Y210" s="289"/>
      <c r="Z210" s="289"/>
      <c r="AA210" s="289"/>
      <c r="AB210" s="289"/>
      <c r="AC210" s="289"/>
      <c r="AD210" s="506"/>
      <c r="AE210" s="506"/>
      <c r="AF210" s="289"/>
      <c r="AG210" s="13"/>
      <c r="AH210" s="289"/>
      <c r="AI210" s="289"/>
      <c r="AJ210" s="289"/>
      <c r="AK210" s="289"/>
      <c r="AL210" s="289"/>
      <c r="AM210" s="289"/>
      <c r="AN210" s="289"/>
      <c r="AO210" s="289"/>
      <c r="AP210" s="409"/>
      <c r="AQ210" s="409"/>
      <c r="AR210" s="409"/>
      <c r="AS210" s="409"/>
      <c r="AT210" s="409"/>
      <c r="AU210" s="409"/>
      <c r="AV210" s="409"/>
      <c r="AW210" s="409"/>
      <c r="AX210" s="409"/>
      <c r="AY210" s="409"/>
      <c r="AZ210" s="409"/>
      <c r="BA210" s="409"/>
      <c r="BB210" s="409"/>
      <c r="BC210" s="409"/>
      <c r="BD210" s="409"/>
      <c r="BE210" s="409"/>
      <c r="BF210" s="409"/>
      <c r="BG210" s="409"/>
      <c r="BH210" s="409"/>
      <c r="BI210" s="266"/>
      <c r="BJ210" s="265"/>
    </row>
    <row r="211" spans="1:62" ht="13.95" hidden="1" customHeight="1">
      <c r="A211" s="265"/>
      <c r="B211" s="289"/>
      <c r="C211" s="289"/>
      <c r="D211" s="409"/>
      <c r="E211" s="409"/>
      <c r="F211" s="409"/>
      <c r="G211" s="409"/>
      <c r="H211" s="409"/>
      <c r="I211" s="409"/>
      <c r="J211" s="409"/>
      <c r="K211" s="409"/>
      <c r="L211" s="409"/>
      <c r="M211" s="409"/>
      <c r="N211" s="409"/>
      <c r="O211" s="409"/>
      <c r="P211" s="409"/>
      <c r="Q211" s="409"/>
      <c r="R211" s="409"/>
      <c r="S211" s="409"/>
      <c r="T211" s="409"/>
      <c r="U211" s="409"/>
      <c r="V211" s="409"/>
      <c r="W211" s="289"/>
      <c r="AC211" s="786"/>
      <c r="AD211" s="785"/>
      <c r="AE211" s="785"/>
      <c r="AF211" s="282"/>
      <c r="AG211" s="13"/>
      <c r="AH211" s="289"/>
      <c r="AI211" s="289"/>
      <c r="AJ211" s="289"/>
      <c r="AK211" s="289"/>
      <c r="AL211" s="289"/>
      <c r="AM211" s="289"/>
      <c r="AN211" s="289"/>
      <c r="AO211" s="289"/>
      <c r="AP211" s="409"/>
      <c r="AQ211" s="409"/>
      <c r="AR211" s="409"/>
      <c r="AS211" s="409"/>
      <c r="AT211" s="409"/>
      <c r="AU211" s="409"/>
      <c r="AV211" s="409"/>
      <c r="AW211" s="409"/>
      <c r="AX211" s="409"/>
      <c r="AY211" s="409"/>
      <c r="AZ211" s="409"/>
      <c r="BA211" s="409"/>
      <c r="BB211" s="409"/>
      <c r="BC211" s="409"/>
      <c r="BD211" s="409"/>
      <c r="BE211" s="409"/>
      <c r="BF211" s="409"/>
      <c r="BG211" s="409"/>
      <c r="BH211" s="409"/>
      <c r="BI211" s="266"/>
      <c r="BJ211" s="265"/>
    </row>
    <row r="212" spans="1:62" ht="13.95" hidden="1" customHeight="1">
      <c r="A212" s="265"/>
      <c r="B212" s="289"/>
      <c r="C212" s="289"/>
      <c r="D212" s="409"/>
      <c r="E212" s="409"/>
      <c r="F212" s="409"/>
      <c r="G212" s="409"/>
      <c r="H212" s="409"/>
      <c r="I212" s="409"/>
      <c r="J212" s="409"/>
      <c r="K212" s="409"/>
      <c r="L212" s="409"/>
      <c r="M212" s="409"/>
      <c r="N212" s="409"/>
      <c r="O212" s="409"/>
      <c r="P212" s="409"/>
      <c r="Q212" s="409"/>
      <c r="R212" s="409"/>
      <c r="S212" s="409"/>
      <c r="T212" s="409"/>
      <c r="U212" s="409"/>
      <c r="V212" s="409"/>
      <c r="W212" s="289"/>
      <c r="X212" s="542"/>
      <c r="Y212" s="543"/>
      <c r="Z212" s="543"/>
      <c r="AA212" s="543"/>
      <c r="AB212" s="543"/>
      <c r="AC212" s="786"/>
      <c r="AD212" s="502"/>
      <c r="AE212" s="502"/>
      <c r="AF212" s="340"/>
      <c r="AG212" s="13"/>
      <c r="AH212" s="289"/>
      <c r="AI212" s="289"/>
      <c r="AJ212" s="289"/>
      <c r="AK212" s="289"/>
      <c r="AL212" s="289"/>
      <c r="AM212" s="289"/>
      <c r="AN212" s="289"/>
      <c r="AO212" s="289"/>
      <c r="AP212" s="409"/>
      <c r="AQ212" s="409"/>
      <c r="AR212" s="409"/>
      <c r="AS212" s="409"/>
      <c r="AT212" s="409"/>
      <c r="AU212" s="409"/>
      <c r="AV212" s="409"/>
      <c r="AW212" s="409"/>
      <c r="AX212" s="409"/>
      <c r="AY212" s="409"/>
      <c r="AZ212" s="409"/>
      <c r="BA212" s="409"/>
      <c r="BB212" s="409"/>
      <c r="BC212" s="409"/>
      <c r="BD212" s="409"/>
      <c r="BE212" s="409"/>
      <c r="BF212" s="409"/>
      <c r="BG212" s="409"/>
      <c r="BH212" s="409"/>
      <c r="BI212" s="266"/>
      <c r="BJ212" s="265"/>
    </row>
    <row r="213" spans="1:62" ht="13.95" hidden="1" customHeight="1">
      <c r="A213" s="265"/>
      <c r="B213" s="289"/>
      <c r="C213" s="289"/>
      <c r="D213" s="409"/>
      <c r="E213" s="409"/>
      <c r="F213" s="409"/>
      <c r="G213" s="409"/>
      <c r="H213" s="409"/>
      <c r="I213" s="409"/>
      <c r="J213" s="409"/>
      <c r="K213" s="409"/>
      <c r="L213" s="409"/>
      <c r="M213" s="409"/>
      <c r="N213" s="409"/>
      <c r="O213" s="409"/>
      <c r="P213" s="409"/>
      <c r="Q213" s="409"/>
      <c r="R213" s="409"/>
      <c r="S213" s="409"/>
      <c r="T213" s="409"/>
      <c r="U213" s="409"/>
      <c r="V213" s="409"/>
      <c r="W213" s="289"/>
      <c r="X213" s="544"/>
      <c r="AA213" s="545"/>
      <c r="AB213" s="546"/>
      <c r="AD213" s="547"/>
      <c r="AE213" s="502"/>
      <c r="AF213" s="342"/>
      <c r="AG213" s="13"/>
      <c r="AH213" s="289"/>
      <c r="AI213" s="289"/>
      <c r="AJ213" s="289"/>
      <c r="AK213" s="289"/>
      <c r="AL213" s="289"/>
      <c r="AM213" s="289"/>
      <c r="AN213" s="289"/>
      <c r="AO213" s="289"/>
      <c r="AP213" s="409"/>
      <c r="AQ213" s="409"/>
      <c r="AR213" s="409"/>
      <c r="AS213" s="409"/>
      <c r="AT213" s="409"/>
      <c r="AU213" s="409"/>
      <c r="AV213" s="409"/>
      <c r="AW213" s="409"/>
      <c r="AX213" s="409"/>
      <c r="AY213" s="409"/>
      <c r="AZ213" s="409"/>
      <c r="BA213" s="409"/>
      <c r="BB213" s="409"/>
      <c r="BC213" s="409"/>
      <c r="BD213" s="409"/>
      <c r="BE213" s="409"/>
      <c r="BF213" s="409"/>
      <c r="BG213" s="409"/>
      <c r="BH213" s="409"/>
      <c r="BI213" s="266"/>
      <c r="BJ213" s="265"/>
    </row>
    <row r="214" spans="1:62" ht="13.95" hidden="1" customHeight="1">
      <c r="A214" s="265"/>
      <c r="B214" s="289"/>
      <c r="C214" s="289"/>
      <c r="D214" s="409"/>
      <c r="E214" s="409"/>
      <c r="F214" s="409"/>
      <c r="G214" s="409"/>
      <c r="H214" s="409"/>
      <c r="I214" s="409"/>
      <c r="J214" s="409"/>
      <c r="K214" s="409"/>
      <c r="L214" s="409"/>
      <c r="M214" s="409"/>
      <c r="N214" s="409"/>
      <c r="O214" s="409"/>
      <c r="P214" s="409"/>
      <c r="Q214" s="409"/>
      <c r="R214" s="409"/>
      <c r="S214" s="409"/>
      <c r="T214" s="409"/>
      <c r="U214" s="409"/>
      <c r="V214" s="409"/>
      <c r="W214" s="289"/>
      <c r="X214" s="13"/>
      <c r="Y214" s="13"/>
      <c r="Z214" s="13"/>
      <c r="AA214" s="13"/>
      <c r="AB214" s="13"/>
      <c r="AC214" s="13"/>
      <c r="AD214" s="503"/>
      <c r="AE214" s="503"/>
      <c r="AF214" s="13"/>
      <c r="AG214" s="13"/>
      <c r="AH214" s="289"/>
      <c r="AI214" s="289"/>
      <c r="AJ214" s="289"/>
      <c r="AK214" s="289"/>
      <c r="AL214" s="289"/>
      <c r="AM214" s="289"/>
      <c r="AN214" s="289"/>
      <c r="AO214" s="289"/>
      <c r="AP214" s="409"/>
      <c r="AQ214" s="409"/>
      <c r="AR214" s="409"/>
      <c r="AS214" s="409"/>
      <c r="AT214" s="409"/>
      <c r="AU214" s="409"/>
      <c r="AV214" s="409"/>
      <c r="AW214" s="409"/>
      <c r="AX214" s="409"/>
      <c r="AY214" s="409"/>
      <c r="AZ214" s="409"/>
      <c r="BA214" s="409"/>
      <c r="BB214" s="409"/>
      <c r="BC214" s="409"/>
      <c r="BD214" s="409"/>
      <c r="BE214" s="409"/>
      <c r="BF214" s="409"/>
      <c r="BG214" s="409"/>
      <c r="BH214" s="409"/>
      <c r="BI214" s="266"/>
      <c r="BJ214" s="265"/>
    </row>
    <row r="215" spans="1:62">
      <c r="A215" s="265"/>
      <c r="B215" s="289"/>
      <c r="C215" s="289"/>
      <c r="D215" s="409"/>
      <c r="E215" s="409"/>
      <c r="F215" s="409"/>
      <c r="G215" s="409"/>
      <c r="H215" s="409"/>
      <c r="I215" s="409"/>
      <c r="J215" s="409"/>
      <c r="K215" s="409"/>
      <c r="L215" s="409"/>
      <c r="M215" s="409"/>
      <c r="N215" s="409"/>
      <c r="O215" s="409"/>
      <c r="P215" s="409"/>
      <c r="Q215" s="409"/>
      <c r="R215" s="409"/>
      <c r="S215" s="409"/>
      <c r="T215" s="409"/>
      <c r="U215" s="409"/>
      <c r="V215" s="409"/>
      <c r="W215" s="289"/>
      <c r="X215" s="289"/>
      <c r="Y215" s="289"/>
      <c r="Z215" s="289"/>
      <c r="AA215" s="289"/>
      <c r="AB215" s="289"/>
      <c r="AC215" s="289"/>
      <c r="AD215" s="506"/>
      <c r="AE215" s="506"/>
      <c r="AF215" s="289"/>
      <c r="AG215" s="13"/>
      <c r="AH215" s="289"/>
      <c r="AI215" s="289"/>
      <c r="AJ215" s="289"/>
      <c r="AK215" s="289"/>
      <c r="AL215" s="289"/>
      <c r="AM215" s="289"/>
      <c r="AN215" s="289"/>
      <c r="AO215" s="289"/>
      <c r="AP215" s="409"/>
      <c r="AQ215" s="409"/>
      <c r="AR215" s="409"/>
      <c r="AS215" s="409"/>
      <c r="AT215" s="409"/>
      <c r="AU215" s="409"/>
      <c r="AV215" s="409"/>
      <c r="AW215" s="409"/>
      <c r="AX215" s="409"/>
      <c r="AY215" s="409"/>
      <c r="AZ215" s="409"/>
      <c r="BA215" s="409"/>
      <c r="BB215" s="409"/>
      <c r="BC215" s="409"/>
      <c r="BD215" s="409"/>
      <c r="BE215" s="409"/>
      <c r="BF215" s="409"/>
      <c r="BG215" s="409"/>
      <c r="BH215" s="409"/>
      <c r="BI215" s="266"/>
      <c r="BJ215" s="265"/>
    </row>
    <row r="216" spans="1:62" ht="14.4" customHeight="1">
      <c r="A216" s="265"/>
      <c r="B216" s="289"/>
      <c r="C216" s="289"/>
      <c r="D216" s="409"/>
      <c r="E216" s="409"/>
      <c r="F216" s="409"/>
      <c r="G216" s="409"/>
      <c r="H216" s="409"/>
      <c r="I216" s="409"/>
      <c r="J216" s="409"/>
      <c r="K216" s="409"/>
      <c r="L216" s="409"/>
      <c r="M216" s="409"/>
      <c r="N216" s="409"/>
      <c r="O216" s="409"/>
      <c r="P216" s="409"/>
      <c r="Q216" s="409"/>
      <c r="R216" s="409"/>
      <c r="S216" s="409"/>
      <c r="T216" s="409"/>
      <c r="U216" s="409"/>
      <c r="V216" s="409"/>
      <c r="W216" s="746" t="s">
        <v>406</v>
      </c>
      <c r="X216" s="746"/>
      <c r="Y216" s="746"/>
      <c r="Z216" s="746"/>
      <c r="AA216" s="746"/>
      <c r="AB216" s="289"/>
      <c r="AC216" s="289"/>
      <c r="AD216" s="506"/>
      <c r="AE216" s="506"/>
      <c r="AF216" s="289"/>
      <c r="AG216" s="289"/>
      <c r="AH216" s="289"/>
      <c r="AI216" s="289"/>
      <c r="AJ216" s="289"/>
      <c r="AK216" s="289"/>
      <c r="AL216" s="289"/>
      <c r="AM216" s="289"/>
      <c r="AN216" s="289"/>
      <c r="AO216" s="289"/>
      <c r="AP216" s="409"/>
      <c r="AQ216" s="409"/>
      <c r="AR216" s="409"/>
      <c r="AS216" s="409"/>
      <c r="AT216" s="409"/>
      <c r="AU216" s="409"/>
      <c r="AV216" s="409"/>
      <c r="AW216" s="409"/>
      <c r="AX216" s="409"/>
      <c r="AY216" s="409"/>
      <c r="AZ216" s="409"/>
      <c r="BA216" s="409"/>
      <c r="BB216" s="409"/>
      <c r="BC216" s="409"/>
      <c r="BD216" s="409"/>
      <c r="BE216" s="409"/>
      <c r="BF216" s="409"/>
      <c r="BG216" s="409"/>
      <c r="BH216" s="409"/>
      <c r="BI216" s="266"/>
      <c r="BJ216" s="265"/>
    </row>
    <row r="217" spans="1:62" ht="14.4" customHeight="1">
      <c r="A217" s="265"/>
      <c r="B217" s="289"/>
      <c r="C217" s="289"/>
      <c r="D217" s="409"/>
      <c r="E217" s="409"/>
      <c r="F217" s="409"/>
      <c r="G217" s="409"/>
      <c r="H217" s="409"/>
      <c r="I217" s="409"/>
      <c r="J217" s="409"/>
      <c r="K217" s="409"/>
      <c r="L217" s="409"/>
      <c r="M217" s="409"/>
      <c r="N217" s="409"/>
      <c r="O217" s="409"/>
      <c r="P217" s="409"/>
      <c r="Q217" s="409"/>
      <c r="R217" s="409"/>
      <c r="S217" s="409"/>
      <c r="T217" s="409"/>
      <c r="U217" s="409"/>
      <c r="V217" s="409"/>
      <c r="W217" s="771"/>
      <c r="X217" s="771"/>
      <c r="Y217" s="771"/>
      <c r="Z217" s="771"/>
      <c r="AA217" s="771"/>
      <c r="AB217" s="296"/>
      <c r="AC217" s="296"/>
      <c r="AD217" s="508"/>
      <c r="AE217" s="508"/>
      <c r="AF217" s="296"/>
      <c r="AG217" s="296"/>
      <c r="AH217" s="296"/>
      <c r="AI217" s="296"/>
      <c r="AJ217" s="296"/>
      <c r="AK217" s="296"/>
      <c r="AL217" s="296"/>
      <c r="AM217" s="296"/>
      <c r="AN217" s="296"/>
      <c r="AO217" s="296"/>
      <c r="AP217" s="510"/>
      <c r="AQ217" s="510"/>
      <c r="AR217" s="510"/>
      <c r="AS217" s="510"/>
      <c r="AT217" s="510"/>
      <c r="AU217" s="510"/>
      <c r="AV217" s="510"/>
      <c r="AW217" s="510"/>
      <c r="AX217" s="510"/>
      <c r="AY217" s="510"/>
      <c r="AZ217" s="510"/>
      <c r="BA217" s="510"/>
      <c r="BB217" s="510"/>
      <c r="BC217" s="510"/>
      <c r="BD217" s="510"/>
      <c r="BE217" s="409"/>
      <c r="BF217" s="409"/>
      <c r="BG217" s="409"/>
      <c r="BH217" s="409"/>
      <c r="BI217" s="266"/>
      <c r="BJ217" s="265"/>
    </row>
    <row r="218" spans="1:62" ht="14.4" customHeight="1">
      <c r="A218" s="265"/>
      <c r="B218" s="289"/>
      <c r="C218" s="289"/>
      <c r="D218" s="409"/>
      <c r="E218" s="409"/>
      <c r="F218" s="409"/>
      <c r="G218" s="409"/>
      <c r="H218" s="409"/>
      <c r="I218" s="409"/>
      <c r="J218" s="409"/>
      <c r="K218" s="409"/>
      <c r="L218" s="409"/>
      <c r="M218" s="409"/>
      <c r="N218" s="409"/>
      <c r="O218" s="409"/>
      <c r="P218" s="409"/>
      <c r="Q218" s="409"/>
      <c r="R218" s="409"/>
      <c r="S218" s="409"/>
      <c r="T218" s="409"/>
      <c r="U218" s="409"/>
      <c r="V218" s="409"/>
      <c r="W218" s="425"/>
      <c r="X218" s="425"/>
      <c r="Y218" s="425"/>
      <c r="Z218" s="425"/>
      <c r="AA218" s="289"/>
      <c r="AB218" s="289"/>
      <c r="AC218" s="289"/>
      <c r="AD218" s="506"/>
      <c r="AE218" s="506"/>
      <c r="AF218" s="289"/>
      <c r="AG218" s="289"/>
      <c r="AH218" s="289"/>
      <c r="AI218" s="289"/>
      <c r="AJ218" s="289"/>
      <c r="AK218" s="289"/>
      <c r="AL218" s="289"/>
      <c r="AM218" s="289"/>
      <c r="AN218" s="289"/>
      <c r="AO218" s="289"/>
      <c r="AP218" s="409"/>
      <c r="AQ218" s="409"/>
      <c r="AR218" s="409"/>
      <c r="AS218" s="409"/>
      <c r="AT218" s="409"/>
      <c r="AU218" s="409"/>
      <c r="AV218" s="409"/>
      <c r="AW218" s="409"/>
      <c r="AX218" s="409"/>
      <c r="AY218" s="409"/>
      <c r="AZ218" s="409"/>
      <c r="BA218" s="409"/>
      <c r="BB218" s="409"/>
      <c r="BC218" s="409"/>
      <c r="BD218" s="409"/>
      <c r="BE218" s="409"/>
      <c r="BF218" s="409"/>
      <c r="BG218" s="409"/>
      <c r="BH218" s="409"/>
      <c r="BI218" s="266"/>
      <c r="BJ218" s="265"/>
    </row>
    <row r="219" spans="1:62">
      <c r="A219" s="265"/>
      <c r="B219" s="289"/>
      <c r="C219" s="289"/>
      <c r="D219" s="409"/>
      <c r="E219" s="409"/>
      <c r="F219" s="409"/>
      <c r="G219" s="409"/>
      <c r="H219" s="409"/>
      <c r="I219" s="409"/>
      <c r="J219" s="409"/>
      <c r="K219" s="409"/>
      <c r="L219" s="409"/>
      <c r="M219" s="409"/>
      <c r="N219" s="409"/>
      <c r="O219" s="409"/>
      <c r="P219" s="409"/>
      <c r="Q219" s="409"/>
      <c r="R219" s="409"/>
      <c r="S219" s="409"/>
      <c r="T219" s="409"/>
      <c r="U219" s="409"/>
      <c r="V219" s="409"/>
      <c r="W219" s="289"/>
      <c r="X219" s="289"/>
      <c r="Y219" s="289"/>
      <c r="Z219" s="289"/>
      <c r="AA219" s="289"/>
      <c r="AB219" s="289"/>
      <c r="AC219" s="289"/>
      <c r="AD219" s="506"/>
      <c r="AE219" s="506"/>
      <c r="AF219" s="289"/>
      <c r="AG219" s="13"/>
      <c r="AH219" s="289"/>
      <c r="AI219" s="289"/>
      <c r="AJ219" s="289"/>
      <c r="AK219" s="289"/>
      <c r="AL219" s="289"/>
      <c r="AM219" s="289"/>
      <c r="AN219" s="289"/>
      <c r="AO219" s="289"/>
      <c r="AP219" s="409"/>
      <c r="AQ219" s="409"/>
      <c r="AR219" s="409"/>
      <c r="AS219" s="409"/>
      <c r="AT219" s="409"/>
      <c r="AU219" s="409"/>
      <c r="AV219" s="409"/>
      <c r="AW219" s="409"/>
      <c r="AX219" s="409"/>
      <c r="AY219" s="409"/>
      <c r="AZ219" s="409"/>
      <c r="BA219" s="409"/>
      <c r="BB219" s="409"/>
      <c r="BC219" s="409"/>
      <c r="BD219" s="409"/>
      <c r="BE219" s="409"/>
      <c r="BF219" s="409"/>
      <c r="BG219" s="409"/>
      <c r="BH219" s="409"/>
      <c r="BI219" s="266"/>
      <c r="BJ219" s="265"/>
    </row>
    <row r="220" spans="1:62" ht="13.95" customHeight="1">
      <c r="A220" s="265"/>
      <c r="B220" s="289"/>
      <c r="C220" s="289"/>
      <c r="D220" s="409"/>
      <c r="E220" s="409"/>
      <c r="F220" s="409"/>
      <c r="G220" s="409"/>
      <c r="H220" s="409"/>
      <c r="I220" s="409"/>
      <c r="J220" s="409"/>
      <c r="K220" s="409"/>
      <c r="L220" s="409"/>
      <c r="M220" s="409"/>
      <c r="N220" s="409"/>
      <c r="O220" s="409"/>
      <c r="P220" s="409"/>
      <c r="Q220" s="409"/>
      <c r="R220" s="409"/>
      <c r="S220" s="409"/>
      <c r="T220" s="409"/>
      <c r="U220" s="409"/>
      <c r="V220" s="409"/>
      <c r="W220" s="289"/>
      <c r="X220" s="496" t="str">
        <f>'Elementy DN75&amp;90 2024-09'!D57</f>
        <v>Nóż do cięcia kanałów płaskich i okrągłych</v>
      </c>
      <c r="Y220" s="13"/>
      <c r="Z220" s="13"/>
      <c r="AA220" s="13"/>
      <c r="AB220" s="13"/>
      <c r="AC220" s="763">
        <v>0</v>
      </c>
      <c r="AD220" s="769">
        <f>VLOOKUP(X220,rozdzial75,4,0)*AC220*(1-$AM$236/100)</f>
        <v>0</v>
      </c>
      <c r="AE220" s="769"/>
      <c r="AF220" s="282"/>
      <c r="AG220" s="13"/>
      <c r="AH220" s="496" t="str">
        <f>'Elementy DN75&amp;90 2024-09'!D45</f>
        <v>Łącznik kanałów DN90</v>
      </c>
      <c r="AI220" s="13"/>
      <c r="AJ220" s="13"/>
      <c r="AK220" s="13"/>
      <c r="AL220" s="763">
        <v>0</v>
      </c>
      <c r="AM220" s="769">
        <f>VLOOKUP(AH220,rozdzial75,4,0)*AL220*(1-$AM$236/100)</f>
        <v>0</v>
      </c>
      <c r="AN220" s="769"/>
      <c r="AO220" s="289"/>
      <c r="AP220" s="409"/>
      <c r="AQ220" s="409"/>
      <c r="AR220" s="409"/>
      <c r="AS220" s="409"/>
      <c r="AT220" s="409"/>
      <c r="AU220" s="409"/>
      <c r="AV220" s="409"/>
      <c r="AW220" s="409"/>
      <c r="AX220" s="409"/>
      <c r="AY220" s="409"/>
      <c r="AZ220" s="409"/>
      <c r="BA220" s="409"/>
      <c r="BB220" s="409"/>
      <c r="BC220" s="409"/>
      <c r="BD220" s="409"/>
      <c r="BE220" s="409"/>
      <c r="BF220" s="409"/>
      <c r="BG220" s="409"/>
      <c r="BH220" s="409"/>
      <c r="BI220" s="266"/>
      <c r="BJ220" s="265"/>
    </row>
    <row r="221" spans="1:62" ht="13.95" customHeight="1">
      <c r="A221" s="265"/>
      <c r="B221" s="289"/>
      <c r="C221" s="289"/>
      <c r="D221" s="409"/>
      <c r="E221" s="409"/>
      <c r="F221" s="409"/>
      <c r="G221" s="409"/>
      <c r="H221" s="409"/>
      <c r="I221" s="409"/>
      <c r="J221" s="409"/>
      <c r="K221" s="409"/>
      <c r="L221" s="409"/>
      <c r="M221" s="409"/>
      <c r="N221" s="409"/>
      <c r="O221" s="409"/>
      <c r="P221" s="409"/>
      <c r="Q221" s="409"/>
      <c r="R221" s="409"/>
      <c r="S221" s="409"/>
      <c r="T221" s="409"/>
      <c r="U221" s="409"/>
      <c r="V221" s="409"/>
      <c r="W221" s="289"/>
      <c r="X221" s="490" t="s">
        <v>478</v>
      </c>
      <c r="Y221" s="488"/>
      <c r="Z221" s="488"/>
      <c r="AA221" s="488"/>
      <c r="AB221" s="488"/>
      <c r="AC221" s="763"/>
      <c r="AD221" s="13"/>
      <c r="AE221" s="13"/>
      <c r="AF221" s="340"/>
      <c r="AG221" s="13"/>
      <c r="AH221" s="490" t="s">
        <v>479</v>
      </c>
      <c r="AI221" s="488"/>
      <c r="AJ221" s="488"/>
      <c r="AK221" s="488"/>
      <c r="AL221" s="763"/>
      <c r="AM221" s="289"/>
      <c r="AN221" s="289"/>
      <c r="AO221" s="289"/>
      <c r="AP221" s="409"/>
      <c r="AQ221" s="409"/>
      <c r="AR221" s="409"/>
      <c r="AS221" s="409"/>
      <c r="AT221" s="409"/>
      <c r="AU221" s="409"/>
      <c r="AV221" s="409"/>
      <c r="AW221" s="409"/>
      <c r="AX221" s="409"/>
      <c r="AY221" s="409"/>
      <c r="AZ221" s="409"/>
      <c r="BA221" s="409"/>
      <c r="BB221" s="409"/>
      <c r="BC221" s="409"/>
      <c r="BD221" s="409"/>
      <c r="BE221" s="409"/>
      <c r="BF221" s="409"/>
      <c r="BG221" s="409"/>
      <c r="BH221" s="409"/>
      <c r="BI221" s="266"/>
      <c r="BJ221" s="265"/>
    </row>
    <row r="222" spans="1:62" ht="13.95" customHeight="1">
      <c r="A222" s="265"/>
      <c r="B222" s="289"/>
      <c r="C222" s="289"/>
      <c r="D222" s="409"/>
      <c r="E222" s="409"/>
      <c r="F222" s="409"/>
      <c r="G222" s="409"/>
      <c r="H222" s="409"/>
      <c r="I222" s="409"/>
      <c r="J222" s="409"/>
      <c r="K222" s="409"/>
      <c r="L222" s="409"/>
      <c r="M222" s="409"/>
      <c r="N222" s="409"/>
      <c r="O222" s="409"/>
      <c r="P222" s="409"/>
      <c r="Q222" s="409"/>
      <c r="R222" s="409"/>
      <c r="S222" s="409"/>
      <c r="T222" s="409"/>
      <c r="U222" s="409"/>
      <c r="V222" s="409"/>
      <c r="W222" s="289"/>
      <c r="X222" s="334">
        <f>VLOOKUP(X220,rozdzial75,3,0)</f>
        <v>7372852</v>
      </c>
      <c r="Y222" s="562">
        <f>VLOOKUP(X220,rozdzial75,4,0)</f>
        <v>335</v>
      </c>
      <c r="Z222" s="13"/>
      <c r="AA222" s="486"/>
      <c r="AB222" s="487"/>
      <c r="AC222" s="13"/>
      <c r="AD222" s="342"/>
      <c r="AE222" s="13"/>
      <c r="AF222" s="342"/>
      <c r="AG222" s="13"/>
      <c r="AH222" s="334">
        <f>VLOOKUP(AH220,rozdzial75,3,0)</f>
        <v>7372826</v>
      </c>
      <c r="AI222" s="562">
        <f>VLOOKUP(AH220,rozdzial75,4,0)</f>
        <v>80</v>
      </c>
      <c r="AJ222" s="13"/>
      <c r="AK222" s="486"/>
      <c r="AL222" s="13"/>
      <c r="AM222" s="289"/>
      <c r="AN222" s="289"/>
      <c r="AO222" s="289"/>
      <c r="AP222" s="409"/>
      <c r="AQ222" s="409"/>
      <c r="AR222" s="409"/>
      <c r="AS222" s="409"/>
      <c r="AT222" s="409"/>
      <c r="AU222" s="409"/>
      <c r="AV222" s="409"/>
      <c r="AW222" s="409"/>
      <c r="AX222" s="409"/>
      <c r="AY222" s="409"/>
      <c r="AZ222" s="409"/>
      <c r="BA222" s="409"/>
      <c r="BB222" s="409"/>
      <c r="BC222" s="409"/>
      <c r="BD222" s="409"/>
      <c r="BE222" s="409"/>
      <c r="BF222" s="409"/>
      <c r="BG222" s="409"/>
      <c r="BH222" s="409"/>
      <c r="BI222" s="266"/>
      <c r="BJ222" s="265"/>
    </row>
    <row r="223" spans="1:62" ht="13.95" customHeight="1">
      <c r="A223" s="265"/>
      <c r="B223" s="289"/>
      <c r="C223" s="289"/>
      <c r="D223" s="409"/>
      <c r="E223" s="409"/>
      <c r="F223" s="409"/>
      <c r="G223" s="409"/>
      <c r="H223" s="409"/>
      <c r="I223" s="409"/>
      <c r="J223" s="409"/>
      <c r="K223" s="409"/>
      <c r="L223" s="409"/>
      <c r="M223" s="409"/>
      <c r="N223" s="409"/>
      <c r="O223" s="409"/>
      <c r="P223" s="409"/>
      <c r="Q223" s="409"/>
      <c r="R223" s="409"/>
      <c r="S223" s="409"/>
      <c r="T223" s="409"/>
      <c r="U223" s="409"/>
      <c r="V223" s="409"/>
      <c r="W223" s="289"/>
      <c r="X223" s="13"/>
      <c r="Y223" s="13"/>
      <c r="Z223" s="13"/>
      <c r="AA223" s="13"/>
      <c r="AB223" s="13"/>
      <c r="AC223" s="13"/>
      <c r="AD223" s="13"/>
      <c r="AE223" s="13"/>
      <c r="AF223" s="13"/>
      <c r="AG223" s="13"/>
      <c r="AH223" s="289"/>
      <c r="AI223" s="289"/>
      <c r="AJ223" s="289"/>
      <c r="AK223" s="289"/>
      <c r="AL223" s="289"/>
      <c r="AM223" s="289"/>
      <c r="AN223" s="289"/>
      <c r="AO223" s="289"/>
      <c r="AP223" s="409"/>
      <c r="AQ223" s="409"/>
      <c r="AR223" s="409"/>
      <c r="AS223" s="409"/>
      <c r="AT223" s="409"/>
      <c r="AU223" s="409"/>
      <c r="AV223" s="409"/>
      <c r="AW223" s="409"/>
      <c r="AX223" s="409"/>
      <c r="AY223" s="409"/>
      <c r="AZ223" s="409"/>
      <c r="BA223" s="409"/>
      <c r="BB223" s="409"/>
      <c r="BC223" s="409"/>
      <c r="BD223" s="409"/>
      <c r="BE223" s="409"/>
      <c r="BF223" s="409"/>
      <c r="BG223" s="409"/>
      <c r="BH223" s="409"/>
      <c r="BI223" s="266"/>
      <c r="BJ223" s="265"/>
    </row>
    <row r="224" spans="1:62" ht="14.4" customHeight="1">
      <c r="A224" s="265"/>
      <c r="B224" s="289"/>
      <c r="C224" s="289"/>
      <c r="D224" s="289"/>
      <c r="E224" s="289"/>
      <c r="F224" s="289"/>
      <c r="G224" s="289"/>
      <c r="H224" s="289"/>
      <c r="I224" s="289"/>
      <c r="J224" s="289"/>
      <c r="K224" s="289"/>
      <c r="L224" s="289"/>
      <c r="M224" s="289"/>
      <c r="N224" s="289"/>
      <c r="O224" s="289"/>
      <c r="P224" s="289"/>
      <c r="Q224" s="289"/>
      <c r="R224" s="289"/>
      <c r="S224" s="289"/>
      <c r="T224" s="289"/>
      <c r="U224" s="289"/>
      <c r="V224" s="289"/>
      <c r="W224" s="289"/>
      <c r="X224" s="13"/>
      <c r="Y224" s="13"/>
      <c r="Z224" s="13"/>
      <c r="AA224" s="13"/>
      <c r="AB224" s="13"/>
      <c r="AD224" s="13"/>
      <c r="AE224" s="13"/>
      <c r="AF224" s="13"/>
      <c r="AG224" s="13"/>
      <c r="AH224" s="289"/>
      <c r="AI224" s="289"/>
      <c r="AJ224" s="289"/>
      <c r="AK224" s="289"/>
      <c r="AL224" s="289"/>
      <c r="AM224" s="289"/>
      <c r="AN224" s="289"/>
      <c r="AO224" s="289"/>
      <c r="AP224" s="409"/>
      <c r="AQ224" s="409"/>
      <c r="AR224" s="409"/>
      <c r="AS224" s="409"/>
      <c r="AT224" s="409"/>
      <c r="AU224" s="409"/>
      <c r="AV224" s="409"/>
      <c r="AW224" s="409"/>
      <c r="AX224" s="409"/>
      <c r="AY224" s="409"/>
      <c r="AZ224" s="409"/>
      <c r="BA224" s="409"/>
      <c r="BB224" s="409"/>
      <c r="BC224" s="409"/>
      <c r="BD224" s="409"/>
      <c r="BE224" s="409"/>
      <c r="BF224" s="409"/>
      <c r="BG224" s="409"/>
      <c r="BH224" s="409"/>
      <c r="BI224" s="266"/>
      <c r="BJ224" s="265"/>
    </row>
    <row r="225" spans="1:62" ht="14.4" customHeight="1">
      <c r="A225" s="265"/>
      <c r="B225" s="289"/>
      <c r="C225" s="787"/>
      <c r="D225" s="787"/>
      <c r="E225" s="787"/>
      <c r="F225" s="787"/>
      <c r="G225" s="409"/>
      <c r="H225" s="409"/>
      <c r="I225" s="409"/>
      <c r="J225" s="409"/>
      <c r="K225" s="409"/>
      <c r="L225" s="409"/>
      <c r="M225" s="409"/>
      <c r="N225" s="409"/>
      <c r="O225" s="409"/>
      <c r="P225" s="409"/>
      <c r="Q225" s="409"/>
      <c r="R225" s="409"/>
      <c r="S225" s="409"/>
      <c r="T225" s="409"/>
      <c r="U225" s="409"/>
      <c r="V225" s="409"/>
      <c r="W225" s="289"/>
      <c r="X225" s="496" t="s">
        <v>57</v>
      </c>
      <c r="Y225" s="13"/>
      <c r="Z225" s="13"/>
      <c r="AA225" s="13"/>
      <c r="AB225" s="13"/>
      <c r="AC225" s="763">
        <v>0</v>
      </c>
      <c r="AD225" s="769">
        <f>VLOOKUP(X225,rozdzial,4,0)*AC225*(1-$AM$236/100)</f>
        <v>0</v>
      </c>
      <c r="AE225" s="769"/>
      <c r="AF225" s="13"/>
      <c r="AG225" s="13"/>
      <c r="AH225" s="496" t="str">
        <f>'Elementy DN75&amp;90 2024-09'!D47</f>
        <v>Kolano 90, DN90</v>
      </c>
      <c r="AI225" s="13"/>
      <c r="AJ225" s="13"/>
      <c r="AK225" s="13"/>
      <c r="AL225" s="763">
        <v>0</v>
      </c>
      <c r="AM225" s="769">
        <f>VLOOKUP(AH225,rozdzial75,4,0)*AL225*(1-$AM$236/100)</f>
        <v>0</v>
      </c>
      <c r="AN225" s="769"/>
      <c r="AO225" s="289"/>
      <c r="AP225" s="409"/>
      <c r="AQ225" s="409"/>
      <c r="AR225" s="409"/>
      <c r="AS225" s="409"/>
      <c r="AT225" s="409"/>
      <c r="AU225" s="409"/>
      <c r="AV225" s="409"/>
      <c r="AW225" s="409"/>
      <c r="AX225" s="409"/>
      <c r="AY225" s="409"/>
      <c r="AZ225" s="409"/>
      <c r="BA225" s="409"/>
      <c r="BB225" s="409"/>
      <c r="BC225" s="409"/>
      <c r="BD225" s="409"/>
      <c r="BE225" s="409"/>
      <c r="BF225" s="409"/>
      <c r="BG225" s="409"/>
      <c r="BH225" s="409"/>
      <c r="BI225" s="266"/>
      <c r="BJ225" s="265"/>
    </row>
    <row r="226" spans="1:62" ht="14.4" customHeight="1">
      <c r="A226" s="265"/>
      <c r="B226" s="289"/>
      <c r="C226" s="289"/>
      <c r="D226" s="409"/>
      <c r="E226" s="409"/>
      <c r="F226" s="409"/>
      <c r="G226" s="409"/>
      <c r="H226" s="409"/>
      <c r="I226" s="409"/>
      <c r="J226" s="409"/>
      <c r="K226" s="409"/>
      <c r="L226" s="409"/>
      <c r="M226" s="409"/>
      <c r="N226" s="409"/>
      <c r="O226" s="409"/>
      <c r="P226" s="409"/>
      <c r="Q226" s="409"/>
      <c r="R226" s="409"/>
      <c r="S226" s="409"/>
      <c r="T226" s="409"/>
      <c r="U226" s="409"/>
      <c r="V226" s="409"/>
      <c r="W226" s="289"/>
      <c r="X226" s="490" t="s">
        <v>481</v>
      </c>
      <c r="Y226" s="488"/>
      <c r="Z226" s="488"/>
      <c r="AA226" s="488"/>
      <c r="AB226" s="488"/>
      <c r="AC226" s="763"/>
      <c r="AD226" s="13"/>
      <c r="AE226" s="13"/>
      <c r="AF226" s="13"/>
      <c r="AG226" s="13"/>
      <c r="AH226" s="804" t="str">
        <f>'Elementy DN75&amp;90 2024-09'!H46</f>
        <v>Do zmiany kierunki w ciasnych miejscach, możliwość przycięcia i podłączenia wrost do rozdzielacza</v>
      </c>
      <c r="AI226" s="804"/>
      <c r="AJ226" s="804"/>
      <c r="AK226" s="804"/>
      <c r="AL226" s="763"/>
      <c r="AM226" s="289"/>
      <c r="AN226" s="289"/>
      <c r="AO226" s="289"/>
      <c r="AP226" s="409"/>
      <c r="AQ226" s="409"/>
      <c r="AR226" s="409"/>
      <c r="AS226" s="409"/>
      <c r="AT226" s="409"/>
      <c r="AU226" s="409"/>
      <c r="AV226" s="409"/>
      <c r="AW226" s="409"/>
      <c r="AX226" s="409"/>
      <c r="AY226" s="409"/>
      <c r="AZ226" s="409"/>
      <c r="BA226" s="409"/>
      <c r="BB226" s="409"/>
      <c r="BC226" s="409"/>
      <c r="BD226" s="409"/>
      <c r="BE226" s="409"/>
      <c r="BF226" s="409"/>
      <c r="BG226" s="409"/>
      <c r="BH226" s="409"/>
      <c r="BI226" s="266"/>
      <c r="BJ226" s="265"/>
    </row>
    <row r="227" spans="1:62">
      <c r="A227" s="265"/>
      <c r="B227" s="289"/>
      <c r="C227" s="289"/>
      <c r="D227" s="409"/>
      <c r="E227" s="409"/>
      <c r="F227" s="409"/>
      <c r="G227" s="409"/>
      <c r="H227" s="409"/>
      <c r="I227" s="409"/>
      <c r="J227" s="409"/>
      <c r="K227" s="409"/>
      <c r="L227" s="409"/>
      <c r="M227" s="409"/>
      <c r="N227" s="409"/>
      <c r="O227" s="409"/>
      <c r="P227" s="409"/>
      <c r="Q227" s="409"/>
      <c r="R227" s="409"/>
      <c r="S227" s="409"/>
      <c r="T227" s="409"/>
      <c r="U227" s="409"/>
      <c r="V227" s="409"/>
      <c r="W227" s="289"/>
      <c r="X227" s="334">
        <f>VLOOKUP(X225,rozdzial,3,0)</f>
        <v>7546072</v>
      </c>
      <c r="Y227" s="562">
        <f>VLOOKUP(X225,rozdzial,4,0)</f>
        <v>143</v>
      </c>
      <c r="Z227" s="13"/>
      <c r="AA227" s="486"/>
      <c r="AB227" s="487"/>
      <c r="AC227" s="13"/>
      <c r="AD227" s="342"/>
      <c r="AE227" s="13"/>
      <c r="AF227" s="13"/>
      <c r="AG227" s="13"/>
      <c r="AH227" s="805"/>
      <c r="AI227" s="805"/>
      <c r="AJ227" s="805"/>
      <c r="AK227" s="805"/>
      <c r="AL227" s="13"/>
      <c r="AM227" s="289"/>
      <c r="AN227" s="289"/>
      <c r="AO227" s="289"/>
      <c r="AP227" s="409"/>
      <c r="AQ227" s="409"/>
      <c r="AR227" s="409"/>
      <c r="AS227" s="409"/>
      <c r="AT227" s="409"/>
      <c r="AU227" s="409"/>
      <c r="AV227" s="409"/>
      <c r="AW227" s="409"/>
      <c r="AX227" s="409"/>
      <c r="AY227" s="409"/>
      <c r="AZ227" s="409"/>
      <c r="BA227" s="409"/>
      <c r="BB227" s="409"/>
      <c r="BC227" s="409"/>
      <c r="BD227" s="409"/>
      <c r="BE227" s="409"/>
      <c r="BF227" s="409"/>
      <c r="BG227" s="409"/>
      <c r="BH227" s="409"/>
      <c r="BI227" s="266"/>
      <c r="BJ227" s="265"/>
    </row>
    <row r="228" spans="1:62">
      <c r="A228" s="265"/>
      <c r="B228" s="289"/>
      <c r="C228" s="289"/>
      <c r="D228" s="289"/>
      <c r="E228" s="289"/>
      <c r="F228" s="289"/>
      <c r="G228" s="289"/>
      <c r="H228" s="289"/>
      <c r="I228" s="289"/>
      <c r="J228" s="289"/>
      <c r="K228" s="289"/>
      <c r="L228" s="289"/>
      <c r="M228" s="289"/>
      <c r="N228" s="289"/>
      <c r="O228" s="289"/>
      <c r="P228" s="289"/>
      <c r="Q228" s="289"/>
      <c r="R228" s="289"/>
      <c r="S228" s="289"/>
      <c r="T228" s="289"/>
      <c r="U228" s="289"/>
      <c r="V228" s="289"/>
      <c r="W228" s="289"/>
      <c r="X228" s="13"/>
      <c r="Y228" s="13"/>
      <c r="Z228" s="13"/>
      <c r="AA228" s="13"/>
      <c r="AB228" s="13"/>
      <c r="AC228" s="13"/>
      <c r="AD228" s="13"/>
      <c r="AE228" s="13"/>
      <c r="AF228" s="13"/>
      <c r="AG228" s="13"/>
      <c r="AH228" s="334">
        <f>VLOOKUP(AH225,rozdzial75,3,0)</f>
        <v>7372924</v>
      </c>
      <c r="AI228" s="562">
        <f>VLOOKUP(AH225,rozdzial75,4,0)</f>
        <v>142</v>
      </c>
      <c r="AJ228" s="289"/>
      <c r="AK228" s="289"/>
      <c r="AL228" s="289"/>
      <c r="AM228" s="289"/>
      <c r="AN228" s="289"/>
      <c r="AO228" s="289"/>
      <c r="AP228" s="409"/>
      <c r="AQ228" s="409"/>
      <c r="AR228" s="409"/>
      <c r="AS228" s="409"/>
      <c r="AT228" s="409"/>
      <c r="AU228" s="409"/>
      <c r="AV228" s="409"/>
      <c r="AW228" s="409"/>
      <c r="AX228" s="409"/>
      <c r="AY228" s="409"/>
      <c r="AZ228" s="409"/>
      <c r="BA228" s="409"/>
      <c r="BB228" s="409"/>
      <c r="BC228" s="409"/>
      <c r="BD228" s="409"/>
      <c r="BE228" s="409"/>
      <c r="BF228" s="409"/>
      <c r="BG228" s="409"/>
      <c r="BH228" s="409"/>
      <c r="BI228" s="266"/>
      <c r="BJ228" s="265"/>
    </row>
    <row r="229" spans="1:62">
      <c r="A229" s="265"/>
      <c r="B229" s="289"/>
      <c r="C229" s="289"/>
      <c r="D229" s="409"/>
      <c r="E229" s="409"/>
      <c r="F229" s="409"/>
      <c r="G229" s="409"/>
      <c r="H229" s="409"/>
      <c r="I229" s="409"/>
      <c r="J229" s="409"/>
      <c r="K229" s="409"/>
      <c r="L229" s="409"/>
      <c r="M229" s="409"/>
      <c r="N229" s="409"/>
      <c r="O229" s="409"/>
      <c r="P229" s="409"/>
      <c r="Q229" s="409"/>
      <c r="R229" s="409"/>
      <c r="S229" s="409"/>
      <c r="T229" s="409"/>
      <c r="U229" s="409"/>
      <c r="V229" s="409"/>
      <c r="W229" s="289"/>
      <c r="X229" s="289"/>
      <c r="Y229" s="289"/>
      <c r="Z229" s="289"/>
      <c r="AA229" s="289"/>
      <c r="AC229" s="289"/>
      <c r="AD229" s="289"/>
      <c r="AE229" s="289"/>
      <c r="AF229" s="13"/>
      <c r="AG229" s="13"/>
      <c r="AH229" s="289"/>
      <c r="AI229" s="289"/>
      <c r="AJ229" s="289"/>
      <c r="AK229" s="289"/>
      <c r="AL229" s="289"/>
      <c r="AM229" s="707"/>
      <c r="AN229" s="289"/>
      <c r="AO229" s="289"/>
      <c r="AP229" s="409"/>
      <c r="AQ229" s="409"/>
      <c r="AR229" s="409"/>
      <c r="AS229" s="409"/>
      <c r="AT229" s="409"/>
      <c r="AU229" s="409"/>
      <c r="AV229" s="409"/>
      <c r="AW229" s="409"/>
      <c r="AX229" s="409"/>
      <c r="AY229" s="409"/>
      <c r="AZ229" s="409"/>
      <c r="BA229" s="409"/>
      <c r="BB229" s="409"/>
      <c r="BC229" s="409"/>
      <c r="BD229" s="409"/>
      <c r="BE229" s="409"/>
      <c r="BF229" s="409"/>
      <c r="BG229" s="409"/>
      <c r="BH229" s="409"/>
      <c r="BI229" s="266"/>
      <c r="BJ229" s="265"/>
    </row>
    <row r="230" spans="1:62" ht="14.4" customHeight="1">
      <c r="A230" s="265"/>
      <c r="B230" s="289"/>
      <c r="C230" s="289"/>
      <c r="D230" s="409"/>
      <c r="E230" s="409"/>
      <c r="F230" s="409"/>
      <c r="G230" s="409"/>
      <c r="H230" s="409"/>
      <c r="I230" s="409"/>
      <c r="J230" s="409"/>
      <c r="K230" s="409"/>
      <c r="L230" s="409"/>
      <c r="M230" s="409"/>
      <c r="N230" s="409"/>
      <c r="O230" s="409"/>
      <c r="P230" s="409"/>
      <c r="Q230" s="409"/>
      <c r="R230" s="409"/>
      <c r="S230" s="409"/>
      <c r="T230" s="409"/>
      <c r="U230" s="409"/>
      <c r="V230" s="409"/>
      <c r="W230" s="289"/>
      <c r="X230" s="496" t="s">
        <v>58</v>
      </c>
      <c r="Y230" s="13"/>
      <c r="Z230" s="13"/>
      <c r="AA230" s="13"/>
      <c r="AB230" s="13"/>
      <c r="AC230" s="763">
        <v>0</v>
      </c>
      <c r="AD230" s="769">
        <f>VLOOKUP(X230,rozdzial,4,0)*AC230*(1-$AM$236/100)</f>
        <v>0</v>
      </c>
      <c r="AE230" s="769"/>
      <c r="AF230" s="13"/>
      <c r="AG230" s="13"/>
      <c r="AH230" s="496" t="s">
        <v>266</v>
      </c>
      <c r="AI230" s="13"/>
      <c r="AJ230" s="13"/>
      <c r="AK230" s="13"/>
      <c r="AL230" s="763">
        <f>AK232</f>
        <v>0</v>
      </c>
      <c r="AM230" s="769">
        <f>VLOOKUP(AH230,rozdzial,4,0)*AL230</f>
        <v>0</v>
      </c>
      <c r="AN230" s="769"/>
      <c r="AO230" s="289"/>
      <c r="AP230" s="409"/>
      <c r="AQ230" s="409"/>
      <c r="AR230" s="409"/>
      <c r="AS230" s="409"/>
      <c r="AT230" s="409"/>
      <c r="AU230" s="409"/>
      <c r="AV230" s="409"/>
      <c r="AW230" s="409"/>
      <c r="AX230" s="409"/>
      <c r="AY230" s="409"/>
      <c r="AZ230" s="409"/>
      <c r="BA230" s="409"/>
      <c r="BB230" s="409"/>
      <c r="BC230" s="409"/>
      <c r="BD230" s="409"/>
      <c r="BE230" s="409"/>
      <c r="BF230" s="409"/>
      <c r="BG230" s="409"/>
      <c r="BH230" s="409"/>
      <c r="BI230" s="266"/>
      <c r="BJ230" s="265"/>
    </row>
    <row r="231" spans="1:62" ht="14.4" customHeight="1">
      <c r="A231" s="265"/>
      <c r="B231" s="289"/>
      <c r="C231" s="289"/>
      <c r="D231" s="409"/>
      <c r="E231" s="409"/>
      <c r="F231" s="409"/>
      <c r="G231" s="409"/>
      <c r="H231" s="409"/>
      <c r="I231" s="409"/>
      <c r="J231" s="409"/>
      <c r="K231" s="409"/>
      <c r="L231" s="409"/>
      <c r="M231" s="409"/>
      <c r="N231" s="409"/>
      <c r="O231" s="409"/>
      <c r="P231" s="409"/>
      <c r="Q231" s="409"/>
      <c r="R231" s="409"/>
      <c r="S231" s="409"/>
      <c r="T231" s="409"/>
      <c r="U231" s="409"/>
      <c r="V231" s="409"/>
      <c r="W231" s="289"/>
      <c r="X231" s="490"/>
      <c r="Y231" s="488"/>
      <c r="Z231" s="488"/>
      <c r="AA231" s="488"/>
      <c r="AB231" s="488"/>
      <c r="AC231" s="763"/>
      <c r="AD231" s="13"/>
      <c r="AE231" s="13"/>
      <c r="AF231" s="13"/>
      <c r="AG231" s="13"/>
      <c r="AH231" s="490" t="s">
        <v>482</v>
      </c>
      <c r="AI231" s="488"/>
      <c r="AJ231" s="488"/>
      <c r="AK231" s="488"/>
      <c r="AL231" s="763"/>
      <c r="AN231" s="13"/>
      <c r="AO231" s="289"/>
      <c r="AP231" s="409"/>
      <c r="AQ231" s="409"/>
      <c r="AR231" s="409"/>
      <c r="AS231" s="409"/>
      <c r="AT231" s="409"/>
      <c r="AU231" s="409"/>
      <c r="AV231" s="409"/>
      <c r="AW231" s="409"/>
      <c r="AX231" s="409"/>
      <c r="AY231" s="409"/>
      <c r="AZ231" s="409"/>
      <c r="BA231" s="409"/>
      <c r="BB231" s="409"/>
      <c r="BC231" s="409"/>
      <c r="BD231" s="409"/>
      <c r="BE231" s="409"/>
      <c r="BF231" s="409"/>
      <c r="BG231" s="409"/>
      <c r="BH231" s="409"/>
      <c r="BI231" s="266"/>
      <c r="BJ231" s="265"/>
    </row>
    <row r="232" spans="1:62" ht="14.4" customHeight="1">
      <c r="A232" s="265"/>
      <c r="B232" s="289"/>
      <c r="C232" s="289"/>
      <c r="D232" s="409"/>
      <c r="E232" s="409"/>
      <c r="F232" s="409"/>
      <c r="G232" s="409"/>
      <c r="H232" s="409"/>
      <c r="I232" s="409"/>
      <c r="J232" s="409"/>
      <c r="K232" s="409"/>
      <c r="L232" s="409"/>
      <c r="M232" s="409"/>
      <c r="N232" s="409"/>
      <c r="O232" s="409"/>
      <c r="P232" s="409"/>
      <c r="Q232" s="409"/>
      <c r="R232" s="409"/>
      <c r="S232" s="409"/>
      <c r="T232" s="409"/>
      <c r="U232" s="409"/>
      <c r="V232" s="409"/>
      <c r="W232" s="13"/>
      <c r="X232" s="334">
        <f>VLOOKUP(X230,rozdzial,3,0)</f>
        <v>7546073</v>
      </c>
      <c r="Y232" s="562">
        <f>VLOOKUP(X230,rozdzial,4,0)</f>
        <v>68</v>
      </c>
      <c r="Z232" s="13"/>
      <c r="AA232" s="486"/>
      <c r="AB232" s="487"/>
      <c r="AC232" s="13"/>
      <c r="AD232" s="342"/>
      <c r="AE232" s="13"/>
      <c r="AF232" s="13"/>
      <c r="AG232" s="13"/>
      <c r="AH232" s="334">
        <f>VLOOKUP(AH230,rozdzial,3,0)</f>
        <v>7775845</v>
      </c>
      <c r="AI232" s="562">
        <f>VLOOKUP(AH230,rozdzial,4,0)</f>
        <v>824</v>
      </c>
      <c r="AJ232" s="13"/>
      <c r="AK232" s="675">
        <f>AL177+AL187</f>
        <v>0</v>
      </c>
      <c r="AL232" s="487"/>
      <c r="AM232" s="13"/>
      <c r="AN232" s="342"/>
      <c r="AO232" s="289"/>
      <c r="AP232" s="409"/>
      <c r="AQ232" s="409"/>
      <c r="AR232" s="409"/>
      <c r="AS232" s="409"/>
      <c r="AT232" s="409"/>
      <c r="AU232" s="409"/>
      <c r="AV232" s="409"/>
      <c r="AW232" s="409"/>
      <c r="AX232" s="409"/>
      <c r="AY232" s="409"/>
      <c r="AZ232" s="409"/>
      <c r="BA232" s="409"/>
      <c r="BB232" s="409"/>
      <c r="BC232" s="409"/>
      <c r="BD232" s="409"/>
      <c r="BE232" s="409"/>
      <c r="BF232" s="409"/>
      <c r="BG232" s="409"/>
      <c r="BH232" s="409"/>
      <c r="BI232" s="266"/>
      <c r="BJ232" s="265"/>
    </row>
    <row r="233" spans="1:62">
      <c r="A233" s="265"/>
      <c r="B233" s="289"/>
      <c r="C233" s="289"/>
      <c r="D233" s="409"/>
      <c r="E233" s="409"/>
      <c r="F233" s="409"/>
      <c r="G233" s="409"/>
      <c r="H233" s="409"/>
      <c r="I233" s="409"/>
      <c r="J233" s="409"/>
      <c r="K233" s="409"/>
      <c r="L233" s="409"/>
      <c r="M233" s="409"/>
      <c r="N233" s="409"/>
      <c r="O233" s="409"/>
      <c r="P233" s="409"/>
      <c r="Q233" s="409"/>
      <c r="R233" s="409"/>
      <c r="S233" s="409"/>
      <c r="T233" s="409"/>
      <c r="U233" s="409"/>
      <c r="V233" s="409"/>
      <c r="W233" s="289"/>
      <c r="X233" s="13"/>
      <c r="Y233" s="13"/>
      <c r="Z233" s="13"/>
      <c r="AA233" s="13"/>
      <c r="AB233" s="13"/>
      <c r="AC233" s="13"/>
      <c r="AD233" s="13"/>
      <c r="AE233" s="13"/>
      <c r="AF233" s="13"/>
      <c r="AG233" s="13"/>
      <c r="AH233" s="340"/>
      <c r="AI233" s="562"/>
      <c r="AJ233" s="289"/>
      <c r="AK233" s="289"/>
      <c r="AL233" s="289"/>
      <c r="AM233" s="289"/>
      <c r="AN233" s="289"/>
      <c r="AO233" s="289"/>
      <c r="AP233" s="409"/>
      <c r="AQ233" s="409"/>
      <c r="AR233" s="409"/>
      <c r="AS233" s="409"/>
      <c r="AT233" s="409"/>
      <c r="AU233" s="409"/>
      <c r="AV233" s="409"/>
      <c r="AW233" s="409"/>
      <c r="AX233" s="409"/>
      <c r="AY233" s="409"/>
      <c r="AZ233" s="409"/>
      <c r="BA233" s="409"/>
      <c r="BB233" s="409"/>
      <c r="BC233" s="409"/>
      <c r="BD233" s="409"/>
      <c r="BE233" s="409"/>
      <c r="BF233" s="409"/>
      <c r="BG233" s="409"/>
      <c r="BH233" s="409"/>
      <c r="BI233" s="266"/>
      <c r="BJ233" s="265"/>
    </row>
    <row r="234" spans="1:62">
      <c r="A234" s="265"/>
      <c r="B234" s="289"/>
      <c r="C234" s="289"/>
      <c r="D234" s="409"/>
      <c r="E234" s="409"/>
      <c r="F234" s="409"/>
      <c r="G234" s="409"/>
      <c r="H234" s="409"/>
      <c r="I234" s="409"/>
      <c r="J234" s="409"/>
      <c r="K234" s="409"/>
      <c r="L234" s="409"/>
      <c r="M234" s="409"/>
      <c r="N234" s="409"/>
      <c r="O234" s="409"/>
      <c r="P234" s="409"/>
      <c r="Q234" s="409"/>
      <c r="R234" s="409"/>
      <c r="S234" s="409"/>
      <c r="T234" s="409"/>
      <c r="U234" s="409"/>
      <c r="V234" s="409"/>
      <c r="W234" s="289"/>
      <c r="X234" s="289"/>
      <c r="Y234" s="289"/>
      <c r="Z234" s="289"/>
      <c r="AA234" s="289"/>
      <c r="AB234" s="289"/>
      <c r="AC234" s="289"/>
      <c r="AD234" s="289"/>
      <c r="AE234" s="289"/>
      <c r="AF234" s="289"/>
      <c r="AG234" s="289"/>
      <c r="AH234" s="289"/>
      <c r="AI234" s="289"/>
      <c r="AJ234" s="289"/>
      <c r="AK234" s="289"/>
      <c r="AL234" s="289"/>
      <c r="AM234" s="289"/>
      <c r="AN234" s="289"/>
      <c r="AO234" s="289"/>
      <c r="AP234" s="409"/>
      <c r="AQ234" s="409"/>
      <c r="AR234" s="409"/>
      <c r="AS234" s="409"/>
      <c r="AT234" s="409"/>
      <c r="AU234" s="409"/>
      <c r="AV234" s="409"/>
      <c r="AW234" s="409"/>
      <c r="AX234" s="409"/>
      <c r="AY234" s="409"/>
      <c r="AZ234" s="409"/>
      <c r="BA234" s="409"/>
      <c r="BB234" s="409"/>
      <c r="BC234" s="409"/>
      <c r="BD234" s="409"/>
      <c r="BE234" s="409"/>
      <c r="BF234" s="409"/>
      <c r="BG234" s="409"/>
      <c r="BH234" s="409"/>
      <c r="BI234" s="266"/>
      <c r="BJ234" s="265"/>
    </row>
    <row r="235" spans="1:62" ht="21">
      <c r="A235" s="261"/>
      <c r="B235" s="263"/>
      <c r="C235" s="567" t="str">
        <f>Dane!S241</f>
        <v>Autor:</v>
      </c>
      <c r="D235" s="264"/>
      <c r="E235" s="264"/>
      <c r="F235" s="264"/>
      <c r="G235" s="264"/>
      <c r="H235" s="567" t="str">
        <f>Dane!T241</f>
        <v>PanD, 2023</v>
      </c>
      <c r="I235" s="264"/>
      <c r="J235" s="264"/>
      <c r="K235" s="264"/>
      <c r="L235" s="264"/>
      <c r="M235" s="264"/>
      <c r="N235" s="264"/>
      <c r="O235" s="264"/>
      <c r="P235" s="264"/>
      <c r="Q235" s="264"/>
      <c r="R235" s="264"/>
      <c r="S235" s="264"/>
      <c r="T235" s="264"/>
      <c r="U235" s="264"/>
      <c r="V235" s="264"/>
      <c r="W235" s="264"/>
      <c r="X235" s="264"/>
      <c r="Y235" s="264"/>
      <c r="Z235" s="264"/>
      <c r="AA235" s="264"/>
      <c r="AB235" s="264"/>
      <c r="AC235" s="264"/>
      <c r="AD235" s="264"/>
      <c r="AE235" s="264"/>
      <c r="AF235" s="264"/>
      <c r="AG235" s="264"/>
      <c r="AH235" s="566"/>
      <c r="AI235" s="264"/>
      <c r="AJ235" s="264" t="s">
        <v>468</v>
      </c>
      <c r="AK235" s="775">
        <f>AD137+IFERROR(VLOOKUP(X145,rozdzial,4,0),0)+AD154+IFERROR(VLOOKUP(X158,rozdzial,4,0),0)+AD167+AM167+AM172+AD172+AD177+AM177+AD182+AD201+AD206+AM201+AM206+AD220+AM220+AD225+AM225+AM230+AD230+AD187+AD192+AM182+AM187+AM192</f>
        <v>28399</v>
      </c>
      <c r="AL235" s="776"/>
      <c r="AM235" s="565" t="str">
        <f>"R "&amp;AM236&amp;" %"</f>
        <v>R 0 %</v>
      </c>
      <c r="AN235" s="264"/>
      <c r="AO235" s="604" t="s">
        <v>536</v>
      </c>
      <c r="AP235" s="263"/>
      <c r="AQ235" s="263"/>
      <c r="AR235" s="263"/>
      <c r="AS235" s="263"/>
      <c r="AT235" s="263"/>
      <c r="AU235" s="263"/>
      <c r="AV235" s="263"/>
      <c r="AW235" s="263"/>
      <c r="AX235" s="263"/>
      <c r="AY235" s="263"/>
      <c r="AZ235" s="263"/>
      <c r="BA235" s="263"/>
      <c r="BB235" s="263"/>
      <c r="BC235" s="263"/>
      <c r="BD235" s="263"/>
      <c r="BE235" s="263"/>
      <c r="BF235" s="263"/>
      <c r="BG235" s="263"/>
      <c r="BH235" s="263"/>
      <c r="BI235" s="263"/>
      <c r="BJ235" s="265"/>
    </row>
    <row r="236" spans="1:62" ht="12" hidden="1" customHeight="1">
      <c r="A236" s="261"/>
      <c r="B236" s="263"/>
      <c r="C236" s="566"/>
      <c r="D236" s="263"/>
      <c r="E236" s="263"/>
      <c r="F236" s="263"/>
      <c r="G236" s="263"/>
      <c r="H236" s="263"/>
      <c r="I236" s="263"/>
      <c r="J236" s="263"/>
      <c r="K236" s="263"/>
      <c r="L236" s="263"/>
      <c r="M236" s="263"/>
      <c r="N236" s="263"/>
      <c r="O236" s="263"/>
      <c r="P236" s="263"/>
      <c r="Q236" s="263"/>
      <c r="R236" s="263"/>
      <c r="S236" s="263"/>
      <c r="T236" s="263"/>
      <c r="U236" s="263"/>
      <c r="V236" s="263"/>
      <c r="W236" s="263"/>
      <c r="X236" s="263"/>
      <c r="Y236" s="263"/>
      <c r="Z236" s="263"/>
      <c r="AA236" s="263"/>
      <c r="AB236" s="263"/>
      <c r="AC236" s="263"/>
      <c r="AD236" s="263"/>
      <c r="AE236" s="263"/>
      <c r="AF236" s="263"/>
      <c r="AG236" s="263"/>
      <c r="AH236" s="566"/>
      <c r="AI236" s="263"/>
      <c r="AJ236" s="263"/>
      <c r="AK236" s="263"/>
      <c r="AL236" s="263"/>
      <c r="AM236" s="569">
        <v>0</v>
      </c>
      <c r="AN236" s="263"/>
      <c r="AO236" s="263"/>
      <c r="AP236" s="263"/>
      <c r="AQ236" s="263"/>
      <c r="AR236" s="263"/>
      <c r="AS236" s="263"/>
      <c r="AT236" s="263"/>
      <c r="AU236" s="263"/>
      <c r="AV236" s="263"/>
      <c r="AW236" s="263"/>
      <c r="AX236" s="263"/>
      <c r="AY236" s="263"/>
      <c r="AZ236" s="263"/>
      <c r="BA236" s="263"/>
      <c r="BB236" s="263"/>
      <c r="BC236" s="263"/>
      <c r="BD236" s="263"/>
      <c r="BE236" s="263"/>
      <c r="BF236" s="263"/>
      <c r="BG236" s="263"/>
      <c r="BH236" s="263"/>
      <c r="BI236" s="263"/>
      <c r="BJ236" s="265"/>
    </row>
    <row r="237" spans="1:62" ht="6.6" customHeight="1">
      <c r="A237" s="265"/>
      <c r="B237" s="265"/>
      <c r="C237" s="265"/>
      <c r="D237" s="265"/>
      <c r="E237" s="265"/>
      <c r="F237" s="265"/>
      <c r="G237" s="265"/>
      <c r="H237" s="265"/>
      <c r="I237" s="265"/>
      <c r="J237" s="265"/>
      <c r="K237" s="265"/>
      <c r="L237" s="265"/>
      <c r="M237" s="265"/>
      <c r="N237" s="265"/>
      <c r="O237" s="265"/>
      <c r="P237" s="265"/>
      <c r="Q237" s="265"/>
      <c r="R237" s="265"/>
      <c r="S237" s="265"/>
      <c r="T237" s="265"/>
      <c r="U237" s="265"/>
      <c r="V237" s="265"/>
      <c r="W237" s="265"/>
      <c r="X237" s="265"/>
      <c r="Y237" s="265"/>
      <c r="Z237" s="265"/>
      <c r="AA237" s="265"/>
      <c r="AB237" s="265"/>
      <c r="AC237" s="265"/>
      <c r="AD237" s="265"/>
      <c r="AE237" s="265"/>
      <c r="AF237" s="265"/>
      <c r="AG237" s="265"/>
      <c r="AH237" s="265"/>
      <c r="AI237" s="265"/>
      <c r="AJ237" s="265"/>
      <c r="AK237" s="265"/>
      <c r="AL237" s="265"/>
      <c r="AM237" s="265"/>
      <c r="AN237" s="265"/>
      <c r="AO237" s="265"/>
      <c r="AP237" s="265"/>
      <c r="AQ237" s="265"/>
      <c r="AR237" s="265"/>
      <c r="AS237" s="265"/>
      <c r="AT237" s="265"/>
      <c r="AU237" s="265"/>
      <c r="AV237" s="265"/>
      <c r="AW237" s="265"/>
      <c r="AX237" s="265"/>
      <c r="AY237" s="265"/>
      <c r="AZ237" s="265"/>
      <c r="BA237" s="265"/>
      <c r="BB237" s="265"/>
      <c r="BC237" s="265"/>
      <c r="BD237" s="265"/>
      <c r="BE237" s="265"/>
      <c r="BF237" s="265"/>
      <c r="BG237" s="265"/>
      <c r="BH237" s="265"/>
      <c r="BI237" s="265"/>
      <c r="BJ237" s="265"/>
    </row>
    <row r="238" spans="1:62" ht="14.4" customHeight="1">
      <c r="A238" s="265"/>
      <c r="B238" s="266"/>
      <c r="C238" s="366"/>
      <c r="D238" s="410"/>
      <c r="E238" s="410"/>
      <c r="F238" s="410"/>
      <c r="G238" s="410"/>
      <c r="H238" s="410"/>
      <c r="I238" s="410"/>
      <c r="J238" s="410"/>
      <c r="K238" s="410"/>
      <c r="L238" s="410"/>
      <c r="M238" s="410"/>
      <c r="N238" s="410"/>
      <c r="O238" s="410"/>
      <c r="P238" s="410"/>
      <c r="Q238" s="410"/>
      <c r="R238" s="410"/>
      <c r="S238" s="410"/>
      <c r="T238" s="410"/>
      <c r="U238" s="410"/>
      <c r="V238" s="410"/>
      <c r="W238" s="290"/>
      <c r="X238" s="290"/>
      <c r="Y238" s="290"/>
      <c r="Z238" s="290"/>
      <c r="AA238" s="383"/>
      <c r="AB238" s="385"/>
      <c r="AC238" s="13"/>
      <c r="AD238" s="390"/>
      <c r="AE238" s="388"/>
      <c r="AF238" s="388"/>
      <c r="AG238" s="386"/>
      <c r="AH238" s="389"/>
      <c r="AI238" s="386"/>
      <c r="AJ238" s="13"/>
      <c r="AK238" s="387"/>
      <c r="AL238" s="387"/>
      <c r="AM238" s="386"/>
      <c r="AN238" s="266"/>
      <c r="AO238" s="366" t="str">
        <f>IF(Obliczenia!AP10&lt;&gt;0,Obliczenia!AP10,"")</f>
        <v/>
      </c>
      <c r="AP238" s="410"/>
      <c r="AQ238" s="410"/>
      <c r="AR238" s="410"/>
      <c r="AS238" s="410"/>
      <c r="AT238" s="410"/>
      <c r="AU238" s="410"/>
      <c r="AV238" s="410"/>
      <c r="AW238" s="410"/>
      <c r="AX238" s="410"/>
      <c r="AY238" s="410"/>
      <c r="AZ238" s="410"/>
      <c r="BA238" s="410"/>
      <c r="BB238" s="410"/>
      <c r="BC238" s="410"/>
      <c r="BD238" s="410"/>
      <c r="BE238" s="410"/>
      <c r="BF238" s="410"/>
      <c r="BG238" s="410"/>
      <c r="BH238" s="410"/>
      <c r="BI238" s="266"/>
      <c r="BJ238" s="266"/>
    </row>
    <row r="239" spans="1:62" ht="14.4" customHeight="1">
      <c r="A239" s="265"/>
      <c r="B239" s="266"/>
      <c r="C239" s="366"/>
      <c r="D239" s="410"/>
      <c r="E239" s="410"/>
      <c r="F239" s="410"/>
      <c r="G239" s="410"/>
      <c r="H239" s="410"/>
      <c r="I239" s="410"/>
      <c r="J239" s="410"/>
      <c r="K239" s="410"/>
      <c r="L239" s="410"/>
      <c r="M239" s="410"/>
      <c r="N239" s="410"/>
      <c r="O239" s="410"/>
      <c r="P239" s="410"/>
      <c r="Q239" s="410"/>
      <c r="R239" s="410"/>
      <c r="S239" s="410"/>
      <c r="T239" s="410"/>
      <c r="U239" s="410"/>
      <c r="V239" s="410"/>
      <c r="W239" s="290"/>
      <c r="X239" s="290"/>
      <c r="Y239" s="290"/>
      <c r="Z239" s="290"/>
      <c r="AA239" s="383"/>
      <c r="AB239" s="385"/>
      <c r="AC239" s="13"/>
      <c r="AD239" s="390"/>
      <c r="AE239" s="388"/>
      <c r="AF239" s="388"/>
      <c r="AG239" s="386"/>
      <c r="AH239" s="389"/>
      <c r="AI239" s="386"/>
      <c r="AJ239" s="13"/>
      <c r="AK239" s="387"/>
      <c r="AL239" s="387"/>
      <c r="AM239" s="386"/>
      <c r="AN239" s="266"/>
      <c r="AO239" s="366"/>
      <c r="AP239" s="410"/>
      <c r="AQ239" s="410"/>
      <c r="AR239" s="410"/>
      <c r="AS239" s="410"/>
      <c r="AT239" s="410"/>
      <c r="AU239" s="410"/>
      <c r="AV239" s="410"/>
      <c r="AW239" s="410"/>
      <c r="AX239" s="410"/>
      <c r="AY239" s="410"/>
      <c r="AZ239" s="410"/>
      <c r="BA239" s="410"/>
      <c r="BB239" s="410"/>
      <c r="BC239" s="410"/>
      <c r="BD239" s="410"/>
      <c r="BE239" s="410"/>
      <c r="BF239" s="410"/>
      <c r="BG239" s="410"/>
      <c r="BH239" s="410"/>
      <c r="BI239" s="266"/>
      <c r="BJ239" s="266"/>
    </row>
    <row r="240" spans="1:62" ht="14.4" customHeight="1">
      <c r="A240" s="265"/>
      <c r="B240" s="266"/>
      <c r="C240" s="366"/>
      <c r="D240" s="410"/>
      <c r="E240" s="410"/>
      <c r="F240" s="410"/>
      <c r="G240" s="410"/>
      <c r="H240" s="410"/>
      <c r="I240" s="410"/>
      <c r="J240" s="410"/>
      <c r="K240" s="410"/>
      <c r="L240" s="410"/>
      <c r="M240" s="410"/>
      <c r="N240" s="410"/>
      <c r="O240" s="410"/>
      <c r="P240" s="410"/>
      <c r="Q240" s="410"/>
      <c r="R240" s="410"/>
      <c r="S240" s="410"/>
      <c r="T240" s="410"/>
      <c r="U240" s="410"/>
      <c r="V240" s="410"/>
      <c r="W240" s="290"/>
      <c r="X240" s="290"/>
      <c r="Y240" s="290"/>
      <c r="Z240" s="290"/>
      <c r="AA240" s="384"/>
      <c r="AB240" s="385"/>
      <c r="AC240" s="13"/>
      <c r="AD240" s="390"/>
      <c r="AE240" s="388"/>
      <c r="AF240" s="388"/>
      <c r="AG240" s="386"/>
      <c r="AH240" s="389"/>
      <c r="AI240" s="386"/>
      <c r="AJ240" s="13"/>
      <c r="AK240" s="386"/>
      <c r="AL240" s="386"/>
      <c r="AM240" s="386"/>
      <c r="AN240" s="266"/>
      <c r="AO240" s="366">
        <f>IF(Obliczenia!AP11&lt;&gt;0,Obliczenia!AP11,"")</f>
        <v>3</v>
      </c>
      <c r="AP240" s="410"/>
      <c r="AQ240" s="410"/>
      <c r="AR240" s="410"/>
      <c r="AS240" s="410"/>
      <c r="AT240" s="410"/>
      <c r="AU240" s="410"/>
      <c r="AV240" s="410"/>
      <c r="AW240" s="410"/>
      <c r="AX240" s="410"/>
      <c r="AY240" s="410"/>
      <c r="AZ240" s="410"/>
      <c r="BA240" s="410"/>
      <c r="BB240" s="410"/>
      <c r="BC240" s="410"/>
      <c r="BD240" s="410"/>
      <c r="BE240" s="410"/>
      <c r="BF240" s="410"/>
      <c r="BG240" s="410"/>
      <c r="BH240" s="410"/>
      <c r="BI240" s="266"/>
      <c r="BJ240" s="266"/>
    </row>
    <row r="241" spans="1:62" ht="14.4" customHeight="1">
      <c r="A241" s="265"/>
      <c r="B241" s="266"/>
      <c r="C241" s="366"/>
      <c r="D241" s="410"/>
      <c r="E241" s="410"/>
      <c r="F241" s="410"/>
      <c r="G241" s="410"/>
      <c r="H241" s="410"/>
      <c r="I241" s="410"/>
      <c r="J241" s="410"/>
      <c r="K241" s="410"/>
      <c r="L241" s="410"/>
      <c r="M241" s="410"/>
      <c r="N241" s="410"/>
      <c r="O241" s="410"/>
      <c r="P241" s="410"/>
      <c r="Q241" s="410"/>
      <c r="R241" s="410"/>
      <c r="S241" s="410"/>
      <c r="T241" s="410"/>
      <c r="U241" s="410"/>
      <c r="V241" s="410"/>
      <c r="W241" s="290"/>
      <c r="X241" s="290"/>
      <c r="Y241" s="290"/>
      <c r="Z241" s="290"/>
      <c r="AA241" s="384"/>
      <c r="AB241" s="385"/>
      <c r="AC241" s="13"/>
      <c r="AD241" s="390"/>
      <c r="AE241" s="388"/>
      <c r="AF241" s="388"/>
      <c r="AG241" s="386"/>
      <c r="AH241" s="389"/>
      <c r="AI241" s="386"/>
      <c r="AJ241" s="13"/>
      <c r="AK241" s="386"/>
      <c r="AL241" s="386"/>
      <c r="AM241" s="386"/>
      <c r="AN241" s="266"/>
      <c r="AO241" s="366"/>
      <c r="AP241" s="410"/>
      <c r="AQ241" s="410"/>
      <c r="AR241" s="410"/>
      <c r="AS241" s="410"/>
      <c r="AT241" s="410"/>
      <c r="AU241" s="410"/>
      <c r="AV241" s="410"/>
      <c r="AW241" s="410"/>
      <c r="AX241" s="410"/>
      <c r="AY241" s="410"/>
      <c r="AZ241" s="410"/>
      <c r="BA241" s="410"/>
      <c r="BB241" s="410"/>
      <c r="BC241" s="410"/>
      <c r="BD241" s="410"/>
      <c r="BE241" s="410"/>
      <c r="BF241" s="410"/>
      <c r="BG241" s="410"/>
      <c r="BH241" s="410"/>
      <c r="BI241" s="266"/>
      <c r="BJ241" s="266"/>
    </row>
    <row r="242" spans="1:62" ht="14.4" customHeight="1">
      <c r="A242" s="265"/>
      <c r="B242" s="266"/>
      <c r="C242" s="366"/>
      <c r="D242" s="410"/>
      <c r="E242" s="410"/>
      <c r="F242" s="410"/>
      <c r="G242" s="410"/>
      <c r="H242" s="410"/>
      <c r="I242" s="410"/>
      <c r="J242" s="410"/>
      <c r="K242" s="410"/>
      <c r="L242" s="410"/>
      <c r="M242" s="410"/>
      <c r="N242" s="410"/>
      <c r="O242" s="410"/>
      <c r="P242" s="410"/>
      <c r="Q242" s="410"/>
      <c r="R242" s="410"/>
      <c r="S242" s="410"/>
      <c r="T242" s="410"/>
      <c r="U242" s="410"/>
      <c r="V242" s="410"/>
      <c r="W242" s="290"/>
      <c r="X242" s="290"/>
      <c r="Y242" s="290"/>
      <c r="Z242" s="290"/>
      <c r="AA242" s="290"/>
      <c r="AB242" s="385"/>
      <c r="AC242" s="13"/>
      <c r="AD242" s="390"/>
      <c r="AE242" s="388"/>
      <c r="AF242" s="388"/>
      <c r="AG242" s="386"/>
      <c r="AH242" s="389"/>
      <c r="AI242" s="386"/>
      <c r="AJ242" s="13"/>
      <c r="AK242" s="266"/>
      <c r="AL242" s="266"/>
      <c r="AM242" s="266"/>
      <c r="AN242" s="266"/>
      <c r="AO242" s="366" t="str">
        <f>IF(Obliczenia!AP12&lt;&gt;0,Obliczenia!AP12,"")</f>
        <v/>
      </c>
      <c r="AP242" s="410"/>
      <c r="AQ242" s="410"/>
      <c r="AR242" s="410"/>
      <c r="AS242" s="410"/>
      <c r="AT242" s="410"/>
      <c r="AU242" s="410"/>
      <c r="AV242" s="410"/>
      <c r="AW242" s="410"/>
      <c r="AX242" s="410"/>
      <c r="AY242" s="410"/>
      <c r="AZ242" s="410"/>
      <c r="BA242" s="410"/>
      <c r="BB242" s="410"/>
      <c r="BC242" s="410"/>
      <c r="BD242" s="410"/>
      <c r="BE242" s="410"/>
      <c r="BF242" s="410"/>
      <c r="BG242" s="410"/>
      <c r="BH242" s="410"/>
      <c r="BI242" s="266"/>
      <c r="BJ242" s="266"/>
    </row>
    <row r="243" spans="1:62" ht="14.4" customHeight="1">
      <c r="A243" s="265"/>
      <c r="B243" s="266"/>
      <c r="C243" s="366"/>
      <c r="D243" s="410"/>
      <c r="E243" s="410"/>
      <c r="F243" s="410"/>
      <c r="G243" s="410"/>
      <c r="H243" s="410"/>
      <c r="I243" s="410"/>
      <c r="J243" s="410"/>
      <c r="K243" s="410"/>
      <c r="L243" s="410"/>
      <c r="M243" s="410"/>
      <c r="N243" s="410"/>
      <c r="O243" s="410"/>
      <c r="P243" s="410"/>
      <c r="Q243" s="410"/>
      <c r="R243" s="410"/>
      <c r="S243" s="410"/>
      <c r="T243" s="410"/>
      <c r="U243" s="410"/>
      <c r="V243" s="410"/>
      <c r="W243" s="290"/>
      <c r="X243" s="290"/>
      <c r="Y243" s="290"/>
      <c r="Z243" s="290"/>
      <c r="AA243" s="290"/>
      <c r="AB243" s="385"/>
      <c r="AC243" s="13"/>
      <c r="AD243" s="390"/>
      <c r="AE243" s="388"/>
      <c r="AF243" s="388"/>
      <c r="AG243" s="386"/>
      <c r="AH243" s="389"/>
      <c r="AI243" s="386"/>
      <c r="AJ243" s="13"/>
      <c r="AK243" s="266"/>
      <c r="AL243" s="266"/>
      <c r="AM243" s="266"/>
      <c r="AN243" s="266"/>
      <c r="AO243" s="366"/>
      <c r="AP243" s="410"/>
      <c r="AQ243" s="410"/>
      <c r="AR243" s="410"/>
      <c r="AS243" s="410"/>
      <c r="AT243" s="410"/>
      <c r="AU243" s="410"/>
      <c r="AV243" s="410"/>
      <c r="AW243" s="410"/>
      <c r="AX243" s="410"/>
      <c r="AY243" s="410"/>
      <c r="AZ243" s="410"/>
      <c r="BA243" s="410"/>
      <c r="BB243" s="410"/>
      <c r="BC243" s="410"/>
      <c r="BD243" s="410"/>
      <c r="BE243" s="410"/>
      <c r="BF243" s="410"/>
      <c r="BG243" s="410"/>
      <c r="BH243" s="410"/>
      <c r="BI243" s="266"/>
      <c r="BJ243" s="266"/>
    </row>
    <row r="244" spans="1:62" ht="14.4" customHeight="1">
      <c r="A244" s="265"/>
      <c r="B244" s="266"/>
      <c r="C244" s="366"/>
      <c r="D244" s="410"/>
      <c r="E244" s="410"/>
      <c r="F244" s="410"/>
      <c r="G244" s="410"/>
      <c r="H244" s="410"/>
      <c r="I244" s="410"/>
      <c r="J244" s="410"/>
      <c r="K244" s="410"/>
      <c r="L244" s="410"/>
      <c r="M244" s="410"/>
      <c r="N244" s="410"/>
      <c r="O244" s="410"/>
      <c r="P244" s="410"/>
      <c r="Q244" s="410"/>
      <c r="R244" s="410"/>
      <c r="S244" s="410"/>
      <c r="T244" s="410"/>
      <c r="U244" s="410"/>
      <c r="V244" s="410"/>
      <c r="W244" s="290"/>
      <c r="X244" s="290"/>
      <c r="Y244" s="290"/>
      <c r="Z244" s="290"/>
      <c r="AA244" s="290"/>
      <c r="AB244" s="385"/>
      <c r="AC244" s="13"/>
      <c r="AD244" s="390"/>
      <c r="AE244" s="388"/>
      <c r="AF244" s="388"/>
      <c r="AG244" s="386"/>
      <c r="AH244" s="389"/>
      <c r="AI244" s="386"/>
      <c r="AJ244" s="13"/>
      <c r="AK244" s="266"/>
      <c r="AL244" s="266"/>
      <c r="AM244" s="266"/>
      <c r="AN244" s="266"/>
      <c r="AO244" s="366">
        <f>IF(Obliczenia!AP13&lt;&gt;0,Obliczenia!AP13,"")</f>
        <v>1</v>
      </c>
      <c r="AP244" s="410"/>
      <c r="AQ244" s="410"/>
      <c r="AR244" s="410"/>
      <c r="AS244" s="410"/>
      <c r="AT244" s="410"/>
      <c r="AU244" s="410"/>
      <c r="AV244" s="410"/>
      <c r="AW244" s="410"/>
      <c r="AX244" s="410"/>
      <c r="AY244" s="410"/>
      <c r="AZ244" s="410"/>
      <c r="BA244" s="410"/>
      <c r="BB244" s="410"/>
      <c r="BC244" s="410"/>
      <c r="BD244" s="410"/>
      <c r="BE244" s="410"/>
      <c r="BF244" s="410"/>
      <c r="BG244" s="410"/>
      <c r="BH244" s="410"/>
      <c r="BI244" s="266"/>
      <c r="BJ244" s="266"/>
    </row>
    <row r="245" spans="1:62" ht="14.4" customHeight="1">
      <c r="A245" s="265"/>
      <c r="B245" s="266"/>
      <c r="C245" s="366"/>
      <c r="D245" s="410"/>
      <c r="E245" s="410"/>
      <c r="F245" s="410"/>
      <c r="G245" s="410"/>
      <c r="H245" s="410"/>
      <c r="I245" s="410"/>
      <c r="J245" s="410"/>
      <c r="K245" s="410"/>
      <c r="L245" s="410"/>
      <c r="M245" s="410"/>
      <c r="N245" s="410"/>
      <c r="O245" s="410"/>
      <c r="P245" s="410"/>
      <c r="Q245" s="410"/>
      <c r="R245" s="410"/>
      <c r="S245" s="410"/>
      <c r="T245" s="410"/>
      <c r="U245" s="410"/>
      <c r="V245" s="410"/>
      <c r="W245" s="290"/>
      <c r="X245" s="290"/>
      <c r="Y245" s="290"/>
      <c r="Z245" s="290"/>
      <c r="AA245" s="290"/>
      <c r="AB245" s="385"/>
      <c r="AC245" s="13"/>
      <c r="AD245" s="390"/>
      <c r="AE245" s="388"/>
      <c r="AF245" s="388"/>
      <c r="AG245" s="386"/>
      <c r="AH245" s="389"/>
      <c r="AI245" s="386"/>
      <c r="AJ245" s="13"/>
      <c r="AK245" s="266"/>
      <c r="AL245" s="266"/>
      <c r="AM245" s="266"/>
      <c r="AN245" s="266"/>
      <c r="AO245" s="366"/>
      <c r="AP245" s="410"/>
      <c r="AQ245" s="410"/>
      <c r="AR245" s="410"/>
      <c r="AS245" s="410"/>
      <c r="AT245" s="410"/>
      <c r="AU245" s="410"/>
      <c r="AV245" s="410"/>
      <c r="AW245" s="410"/>
      <c r="AX245" s="410"/>
      <c r="AY245" s="410"/>
      <c r="AZ245" s="410"/>
      <c r="BA245" s="410"/>
      <c r="BB245" s="410"/>
      <c r="BC245" s="410"/>
      <c r="BD245" s="410"/>
      <c r="BE245" s="410"/>
      <c r="BF245" s="410"/>
      <c r="BG245" s="410"/>
      <c r="BH245" s="410"/>
      <c r="BI245" s="266"/>
      <c r="BJ245" s="266"/>
    </row>
    <row r="246" spans="1:62" ht="14.4" customHeight="1">
      <c r="A246" s="265"/>
      <c r="B246" s="266"/>
      <c r="C246" s="366"/>
      <c r="D246" s="410"/>
      <c r="E246" s="410"/>
      <c r="F246" s="410"/>
      <c r="G246" s="410"/>
      <c r="H246" s="410"/>
      <c r="I246" s="410"/>
      <c r="J246" s="410"/>
      <c r="K246" s="410"/>
      <c r="L246" s="410"/>
      <c r="M246" s="410"/>
      <c r="N246" s="410"/>
      <c r="O246" s="410"/>
      <c r="P246" s="410"/>
      <c r="Q246" s="410"/>
      <c r="R246" s="410"/>
      <c r="S246" s="410"/>
      <c r="T246" s="410"/>
      <c r="U246" s="410"/>
      <c r="V246" s="410"/>
      <c r="W246" s="290"/>
      <c r="X246" s="290"/>
      <c r="Y246" s="290"/>
      <c r="Z246" s="290"/>
      <c r="AA246" s="290"/>
      <c r="AB246" s="385"/>
      <c r="AC246" s="13"/>
      <c r="AD246" s="390"/>
      <c r="AE246" s="388"/>
      <c r="AF246" s="388"/>
      <c r="AG246" s="386"/>
      <c r="AH246" s="389"/>
      <c r="AI246" s="386"/>
      <c r="AJ246" s="13"/>
      <c r="AK246" s="266"/>
      <c r="AL246" s="266"/>
      <c r="AM246" s="266"/>
      <c r="AN246" s="266"/>
      <c r="AO246" s="366"/>
      <c r="AP246" s="410"/>
      <c r="AQ246" s="410"/>
      <c r="AR246" s="410"/>
      <c r="AS246" s="410"/>
      <c r="AT246" s="410"/>
      <c r="AU246" s="410"/>
      <c r="AV246" s="410"/>
      <c r="AW246" s="410"/>
      <c r="AX246" s="410"/>
      <c r="AY246" s="410"/>
      <c r="AZ246" s="410"/>
      <c r="BA246" s="410"/>
      <c r="BB246" s="410"/>
      <c r="BC246" s="410"/>
      <c r="BD246" s="410"/>
      <c r="BE246" s="410"/>
      <c r="BF246" s="410"/>
      <c r="BG246" s="410"/>
      <c r="BH246" s="410"/>
      <c r="BI246" s="266"/>
      <c r="BJ246" s="266"/>
    </row>
    <row r="247" spans="1:62" ht="14.4" customHeight="1">
      <c r="A247" s="265"/>
      <c r="B247" s="266"/>
      <c r="C247" s="366"/>
      <c r="D247" s="410"/>
      <c r="E247" s="410"/>
      <c r="F247" s="410"/>
      <c r="G247" s="410"/>
      <c r="H247" s="410"/>
      <c r="I247" s="410"/>
      <c r="J247" s="410"/>
      <c r="K247" s="410"/>
      <c r="L247" s="410"/>
      <c r="M247" s="410"/>
      <c r="N247" s="410"/>
      <c r="O247" s="410"/>
      <c r="P247" s="410"/>
      <c r="Q247" s="410"/>
      <c r="R247" s="410"/>
      <c r="S247" s="410"/>
      <c r="T247" s="410"/>
      <c r="U247" s="410"/>
      <c r="V247" s="410"/>
      <c r="W247" s="290"/>
      <c r="X247" s="290"/>
      <c r="Y247" s="290"/>
      <c r="Z247" s="290"/>
      <c r="AA247" s="290"/>
      <c r="AB247" s="385"/>
      <c r="AC247" s="13"/>
      <c r="AD247" s="390"/>
      <c r="AE247" s="388"/>
      <c r="AF247" s="388"/>
      <c r="AG247" s="386"/>
      <c r="AH247" s="389"/>
      <c r="AI247" s="386"/>
      <c r="AJ247" s="13"/>
      <c r="AK247" s="266"/>
      <c r="AL247" s="266"/>
      <c r="AM247" s="266"/>
      <c r="AN247" s="266"/>
      <c r="AO247" s="366"/>
      <c r="AP247" s="410"/>
      <c r="AQ247" s="410"/>
      <c r="AR247" s="410"/>
      <c r="AS247" s="410"/>
      <c r="AT247" s="410"/>
      <c r="AU247" s="410"/>
      <c r="AV247" s="410"/>
      <c r="AW247" s="410"/>
      <c r="AX247" s="410"/>
      <c r="AY247" s="410"/>
      <c r="AZ247" s="410"/>
      <c r="BA247" s="410"/>
      <c r="BB247" s="410"/>
      <c r="BC247" s="410"/>
      <c r="BD247" s="410"/>
      <c r="BE247" s="410"/>
      <c r="BF247" s="410"/>
      <c r="BG247" s="410"/>
      <c r="BH247" s="410"/>
      <c r="BI247" s="266"/>
      <c r="BJ247" s="266"/>
    </row>
    <row r="248" spans="1:62" ht="14.4" customHeight="1">
      <c r="A248" s="265"/>
      <c r="B248" s="266"/>
      <c r="C248" s="366"/>
      <c r="D248" s="410"/>
      <c r="E248" s="410"/>
      <c r="F248" s="410"/>
      <c r="G248" s="410"/>
      <c r="H248" s="410"/>
      <c r="I248" s="410"/>
      <c r="J248" s="410"/>
      <c r="K248" s="410"/>
      <c r="L248" s="410"/>
      <c r="M248" s="410"/>
      <c r="N248" s="410"/>
      <c r="O248" s="410"/>
      <c r="P248" s="410"/>
      <c r="Q248" s="410"/>
      <c r="R248" s="410"/>
      <c r="S248" s="410"/>
      <c r="T248" s="410"/>
      <c r="U248" s="410"/>
      <c r="V248" s="410"/>
      <c r="W248" s="290"/>
      <c r="X248" s="290"/>
      <c r="Y248" s="290"/>
      <c r="Z248" s="290"/>
      <c r="AA248" s="290"/>
      <c r="AB248" s="385"/>
      <c r="AC248" s="13"/>
      <c r="AD248" s="390"/>
      <c r="AE248" s="388"/>
      <c r="AF248" s="388"/>
      <c r="AG248" s="386"/>
      <c r="AH248" s="389"/>
      <c r="AI248" s="386"/>
      <c r="AJ248" s="13"/>
      <c r="AK248" s="266"/>
      <c r="AL248" s="266"/>
      <c r="AM248" s="266"/>
      <c r="AN248" s="266"/>
      <c r="AO248" s="366"/>
      <c r="AP248" s="410"/>
      <c r="AQ248" s="410"/>
      <c r="AR248" s="410"/>
      <c r="AS248" s="410"/>
      <c r="AT248" s="410"/>
      <c r="AU248" s="410"/>
      <c r="AV248" s="410"/>
      <c r="AW248" s="410"/>
      <c r="AX248" s="410"/>
      <c r="AY248" s="410"/>
      <c r="AZ248" s="410"/>
      <c r="BA248" s="410"/>
      <c r="BB248" s="410"/>
      <c r="BC248" s="410"/>
      <c r="BD248" s="410"/>
      <c r="BE248" s="410"/>
      <c r="BF248" s="410"/>
      <c r="BG248" s="410"/>
      <c r="BH248" s="410"/>
      <c r="BI248" s="266"/>
      <c r="BJ248" s="266"/>
    </row>
    <row r="249" spans="1:62" ht="14.4" customHeight="1">
      <c r="A249" s="265"/>
      <c r="B249" s="266"/>
      <c r="C249" s="366"/>
      <c r="D249" s="410"/>
      <c r="E249" s="410"/>
      <c r="F249" s="410"/>
      <c r="G249" s="410"/>
      <c r="H249" s="410"/>
      <c r="I249" s="410"/>
      <c r="J249" s="410"/>
      <c r="K249" s="410"/>
      <c r="L249" s="410"/>
      <c r="M249" s="410"/>
      <c r="N249" s="410"/>
      <c r="O249" s="410"/>
      <c r="P249" s="410"/>
      <c r="Q249" s="410"/>
      <c r="R249" s="410"/>
      <c r="S249" s="410"/>
      <c r="T249" s="410"/>
      <c r="U249" s="410"/>
      <c r="V249" s="410"/>
      <c r="W249" s="290"/>
      <c r="X249" s="290"/>
      <c r="Y249" s="290"/>
      <c r="Z249" s="290"/>
      <c r="AA249" s="290"/>
      <c r="AB249" s="385"/>
      <c r="AC249" s="13"/>
      <c r="AD249" s="390"/>
      <c r="AE249" s="388"/>
      <c r="AF249" s="388"/>
      <c r="AG249" s="386"/>
      <c r="AH249" s="389"/>
      <c r="AI249" s="386"/>
      <c r="AJ249" s="13"/>
      <c r="AK249" s="266"/>
      <c r="AL249" s="266"/>
      <c r="AM249" s="266"/>
      <c r="AN249" s="266"/>
      <c r="AO249" s="366"/>
      <c r="AP249" s="410"/>
      <c r="AQ249" s="410"/>
      <c r="AR249" s="410"/>
      <c r="AS249" s="410"/>
      <c r="AT249" s="410"/>
      <c r="AU249" s="410"/>
      <c r="AV249" s="410"/>
      <c r="AW249" s="410"/>
      <c r="AX249" s="410"/>
      <c r="AY249" s="410"/>
      <c r="AZ249" s="410"/>
      <c r="BA249" s="410"/>
      <c r="BB249" s="410"/>
      <c r="BC249" s="410"/>
      <c r="BD249" s="410"/>
      <c r="BE249" s="410"/>
      <c r="BF249" s="410"/>
      <c r="BG249" s="410"/>
      <c r="BH249" s="410"/>
      <c r="BI249" s="266"/>
      <c r="BJ249" s="266"/>
    </row>
    <row r="250" spans="1:62" ht="14.4" customHeight="1">
      <c r="A250" s="265"/>
      <c r="B250" s="266"/>
      <c r="C250" s="366"/>
      <c r="D250" s="410"/>
      <c r="E250" s="410"/>
      <c r="F250" s="410"/>
      <c r="G250" s="410"/>
      <c r="H250" s="410"/>
      <c r="I250" s="410"/>
      <c r="J250" s="410"/>
      <c r="K250" s="410"/>
      <c r="L250" s="410"/>
      <c r="M250" s="410"/>
      <c r="N250" s="410"/>
      <c r="O250" s="410"/>
      <c r="P250" s="410"/>
      <c r="Q250" s="410"/>
      <c r="R250" s="410"/>
      <c r="S250" s="410"/>
      <c r="T250" s="410"/>
      <c r="U250" s="410"/>
      <c r="V250" s="410"/>
      <c r="W250" s="290"/>
      <c r="X250" s="290"/>
      <c r="Y250" s="290"/>
      <c r="Z250" s="290"/>
      <c r="AA250" s="290"/>
      <c r="AB250" s="385"/>
      <c r="AC250" s="13"/>
      <c r="AD250" s="390"/>
      <c r="AE250" s="388"/>
      <c r="AF250" s="388"/>
      <c r="AG250" s="386"/>
      <c r="AH250" s="389"/>
      <c r="AI250" s="386"/>
      <c r="AJ250" s="13"/>
      <c r="AK250" s="266"/>
      <c r="AL250" s="266"/>
      <c r="AM250" s="266"/>
      <c r="AN250" s="266"/>
      <c r="AO250" s="366"/>
      <c r="AP250" s="410"/>
      <c r="AQ250" s="410"/>
      <c r="AR250" s="410"/>
      <c r="AS250" s="410"/>
      <c r="AT250" s="410"/>
      <c r="AU250" s="410"/>
      <c r="AV250" s="410"/>
      <c r="AW250" s="410"/>
      <c r="AX250" s="410"/>
      <c r="AY250" s="410"/>
      <c r="AZ250" s="410"/>
      <c r="BA250" s="410"/>
      <c r="BB250" s="410"/>
      <c r="BC250" s="410"/>
      <c r="BD250" s="410"/>
      <c r="BE250" s="410"/>
      <c r="BF250" s="410"/>
      <c r="BG250" s="410"/>
      <c r="BH250" s="410"/>
      <c r="BI250" s="266"/>
      <c r="BJ250" s="266"/>
    </row>
    <row r="251" spans="1:62" ht="14.4" customHeight="1">
      <c r="A251" s="265"/>
      <c r="B251" s="266"/>
      <c r="C251" s="366"/>
      <c r="D251" s="410"/>
      <c r="E251" s="410"/>
      <c r="F251" s="410"/>
      <c r="G251" s="410"/>
      <c r="H251" s="410"/>
      <c r="I251" s="410"/>
      <c r="J251" s="410"/>
      <c r="K251" s="410"/>
      <c r="L251" s="410"/>
      <c r="M251" s="410"/>
      <c r="N251" s="410"/>
      <c r="O251" s="410"/>
      <c r="P251" s="410"/>
      <c r="Q251" s="410"/>
      <c r="R251" s="410"/>
      <c r="S251" s="410"/>
      <c r="T251" s="410"/>
      <c r="U251" s="410"/>
      <c r="V251" s="410"/>
      <c r="W251" s="290"/>
      <c r="X251" s="290"/>
      <c r="Y251" s="290"/>
      <c r="Z251" s="290"/>
      <c r="AA251" s="290"/>
      <c r="AB251" s="290"/>
      <c r="AC251" s="290"/>
      <c r="AD251" s="266"/>
      <c r="AE251" s="266"/>
      <c r="AF251" s="266"/>
      <c r="AG251" s="266"/>
      <c r="AH251" s="386"/>
      <c r="AI251" s="266"/>
      <c r="AJ251" s="13"/>
      <c r="AK251" s="266"/>
      <c r="AL251" s="266"/>
      <c r="AM251" s="266"/>
      <c r="AN251" s="266"/>
      <c r="AO251" s="366" t="str">
        <f>IF(Obliczenia!AP14&lt;&gt;0,Obliczenia!AP14,"")</f>
        <v/>
      </c>
      <c r="AP251" s="410"/>
      <c r="AQ251" s="410"/>
      <c r="AR251" s="410"/>
      <c r="AS251" s="410"/>
      <c r="AT251" s="410"/>
      <c r="AU251" s="410"/>
      <c r="AV251" s="410"/>
      <c r="AW251" s="410"/>
      <c r="AX251" s="410"/>
      <c r="AY251" s="410"/>
      <c r="AZ251" s="410"/>
      <c r="BA251" s="410"/>
      <c r="BB251" s="410"/>
      <c r="BC251" s="410"/>
      <c r="BD251" s="410"/>
      <c r="BE251" s="410"/>
      <c r="BF251" s="410"/>
      <c r="BG251" s="410"/>
      <c r="BH251" s="410"/>
      <c r="BI251" s="266"/>
      <c r="BJ251" s="266"/>
    </row>
    <row r="252" spans="1:62" ht="14.4" customHeight="1">
      <c r="A252" s="265"/>
      <c r="B252" s="266"/>
      <c r="C252" s="366"/>
      <c r="D252" s="410"/>
      <c r="E252" s="410"/>
      <c r="F252" s="410"/>
      <c r="G252" s="410"/>
      <c r="H252" s="410"/>
      <c r="I252" s="410"/>
      <c r="J252" s="410"/>
      <c r="K252" s="410"/>
      <c r="L252" s="410"/>
      <c r="M252" s="410"/>
      <c r="N252" s="410"/>
      <c r="O252" s="410"/>
      <c r="P252" s="410"/>
      <c r="Q252" s="410"/>
      <c r="R252" s="410"/>
      <c r="S252" s="410"/>
      <c r="T252" s="410"/>
      <c r="U252" s="410"/>
      <c r="V252" s="410"/>
      <c r="W252" s="290"/>
      <c r="X252" s="290"/>
      <c r="Y252" s="290"/>
      <c r="Z252" s="290"/>
      <c r="AA252" s="290"/>
      <c r="AB252" s="290"/>
      <c r="AC252" s="290"/>
      <c r="AD252" s="266"/>
      <c r="AE252" s="266"/>
      <c r="AF252" s="266"/>
      <c r="AG252" s="266"/>
      <c r="AH252" s="386"/>
      <c r="AI252" s="266"/>
      <c r="AJ252" s="13"/>
      <c r="AK252" s="266"/>
      <c r="AL252" s="266"/>
      <c r="AM252" s="266"/>
      <c r="AN252" s="266"/>
      <c r="AO252" s="366">
        <f>IF(Obliczenia!AP15&lt;&gt;0,Obliczenia!AP15,"")</f>
        <v>1</v>
      </c>
      <c r="AP252" s="410"/>
      <c r="AQ252" s="410"/>
      <c r="AR252" s="410"/>
      <c r="AS252" s="410"/>
      <c r="AT252" s="410"/>
      <c r="AU252" s="410"/>
      <c r="AV252" s="410"/>
      <c r="AW252" s="410"/>
      <c r="AX252" s="410"/>
      <c r="AY252" s="410"/>
      <c r="AZ252" s="410"/>
      <c r="BA252" s="410"/>
      <c r="BB252" s="410"/>
      <c r="BC252" s="410"/>
      <c r="BD252" s="410"/>
      <c r="BE252" s="410"/>
      <c r="BF252" s="410"/>
      <c r="BG252" s="410"/>
      <c r="BH252" s="410"/>
      <c r="BI252" s="266"/>
      <c r="BJ252" s="266"/>
    </row>
    <row r="253" spans="1:62" ht="14.4" customHeight="1">
      <c r="A253" s="265"/>
      <c r="B253" s="266"/>
      <c r="C253" s="366"/>
      <c r="D253" s="410"/>
      <c r="E253" s="410"/>
      <c r="F253" s="410"/>
      <c r="G253" s="410"/>
      <c r="H253" s="410"/>
      <c r="I253" s="410"/>
      <c r="J253" s="410"/>
      <c r="K253" s="410"/>
      <c r="L253" s="410"/>
      <c r="M253" s="410"/>
      <c r="N253" s="410"/>
      <c r="O253" s="410"/>
      <c r="P253" s="410"/>
      <c r="Q253" s="410"/>
      <c r="R253" s="410"/>
      <c r="S253" s="410"/>
      <c r="T253" s="410"/>
      <c r="U253" s="410"/>
      <c r="V253" s="410"/>
      <c r="W253" s="290"/>
      <c r="X253" s="290"/>
      <c r="Y253" s="290"/>
      <c r="Z253" s="290"/>
      <c r="AA253" s="290"/>
      <c r="AB253" s="290"/>
      <c r="AC253" s="290"/>
      <c r="AD253" s="266"/>
      <c r="AE253" s="266"/>
      <c r="AF253" s="266"/>
      <c r="AG253" s="266"/>
      <c r="AH253" s="386"/>
      <c r="AI253" s="266"/>
      <c r="AJ253" s="13"/>
      <c r="AK253" s="266"/>
      <c r="AL253" s="386"/>
      <c r="AM253" s="386"/>
      <c r="AN253" s="266"/>
      <c r="AO253" s="366">
        <f>IF(Obliczenia!AP16&lt;&gt;0,Obliczenia!AP16,"")</f>
        <v>2</v>
      </c>
      <c r="AP253" s="410"/>
      <c r="AQ253" s="410"/>
      <c r="AR253" s="410"/>
      <c r="AS253" s="410"/>
      <c r="AT253" s="410"/>
      <c r="AU253" s="410"/>
      <c r="AV253" s="410"/>
      <c r="AW253" s="410"/>
      <c r="AX253" s="410"/>
      <c r="AY253" s="410"/>
      <c r="AZ253" s="410"/>
      <c r="BA253" s="410"/>
      <c r="BB253" s="410"/>
      <c r="BC253" s="410"/>
      <c r="BD253" s="410"/>
      <c r="BE253" s="410"/>
      <c r="BF253" s="410"/>
      <c r="BG253" s="410"/>
      <c r="BH253" s="410"/>
      <c r="BI253" s="266"/>
      <c r="BJ253" s="266"/>
    </row>
    <row r="254" spans="1:62" ht="14.4" customHeight="1">
      <c r="A254" s="265"/>
      <c r="B254" s="266"/>
      <c r="C254" s="366"/>
      <c r="D254" s="410"/>
      <c r="E254" s="410"/>
      <c r="F254" s="410"/>
      <c r="G254" s="410"/>
      <c r="H254" s="410"/>
      <c r="I254" s="410"/>
      <c r="J254" s="410"/>
      <c r="K254" s="410"/>
      <c r="L254" s="410"/>
      <c r="M254" s="410"/>
      <c r="N254" s="410"/>
      <c r="O254" s="410"/>
      <c r="P254" s="410"/>
      <c r="Q254" s="410"/>
      <c r="R254" s="410"/>
      <c r="S254" s="410"/>
      <c r="T254" s="410"/>
      <c r="U254" s="410"/>
      <c r="V254" s="410"/>
      <c r="W254" s="290"/>
      <c r="X254" s="290"/>
      <c r="Y254" s="290"/>
      <c r="Z254" s="290"/>
      <c r="AA254" s="290"/>
      <c r="AB254" s="290"/>
      <c r="AC254" s="290"/>
      <c r="AD254" s="266"/>
      <c r="AE254" s="266"/>
      <c r="AF254" s="266"/>
      <c r="AG254" s="266"/>
      <c r="AH254" s="386"/>
      <c r="AI254" s="386"/>
      <c r="AJ254" s="13"/>
      <c r="AK254" s="266"/>
      <c r="AL254" s="266"/>
      <c r="AM254" s="386"/>
      <c r="AN254" s="266"/>
      <c r="AO254" s="366" t="str">
        <f>IF(Obliczenia!AP17&lt;&gt;0,Obliczenia!AP17,"")</f>
        <v/>
      </c>
      <c r="AP254" s="410"/>
      <c r="AQ254" s="410"/>
      <c r="AR254" s="410"/>
      <c r="AS254" s="410"/>
      <c r="AT254" s="410"/>
      <c r="AU254" s="410"/>
      <c r="AV254" s="410"/>
      <c r="AW254" s="410"/>
      <c r="AX254" s="410"/>
      <c r="AY254" s="410"/>
      <c r="AZ254" s="410"/>
      <c r="BA254" s="410"/>
      <c r="BB254" s="410"/>
      <c r="BC254" s="410"/>
      <c r="BD254" s="410"/>
      <c r="BE254" s="410"/>
      <c r="BF254" s="410"/>
      <c r="BG254" s="410"/>
      <c r="BH254" s="410"/>
      <c r="BI254" s="266"/>
      <c r="BJ254" s="266"/>
    </row>
    <row r="255" spans="1:62" ht="14.4" customHeight="1">
      <c r="A255" s="265"/>
      <c r="B255" s="266"/>
      <c r="C255" s="366"/>
      <c r="D255" s="410"/>
      <c r="E255" s="410"/>
      <c r="F255" s="410"/>
      <c r="G255" s="410"/>
      <c r="H255" s="410"/>
      <c r="I255" s="410"/>
      <c r="J255" s="410"/>
      <c r="K255" s="410"/>
      <c r="L255" s="410"/>
      <c r="M255" s="410"/>
      <c r="N255" s="410"/>
      <c r="O255" s="410"/>
      <c r="P255" s="410"/>
      <c r="Q255" s="410"/>
      <c r="R255" s="410"/>
      <c r="S255" s="410"/>
      <c r="T255" s="410"/>
      <c r="U255" s="410"/>
      <c r="V255" s="410"/>
      <c r="W255" s="290"/>
      <c r="X255" s="290"/>
      <c r="Y255" s="290"/>
      <c r="Z255" s="290"/>
      <c r="AA255" s="290"/>
      <c r="AB255" s="290"/>
      <c r="AC255" s="290"/>
      <c r="AD255" s="266"/>
      <c r="AE255" s="266"/>
      <c r="AF255" s="266"/>
      <c r="AG255" s="266"/>
      <c r="AH255" s="386"/>
      <c r="AI255" s="386"/>
      <c r="AJ255" s="13"/>
      <c r="AK255" s="266"/>
      <c r="AL255" s="266"/>
      <c r="AM255" s="386"/>
      <c r="AN255" s="266"/>
      <c r="AO255" s="366" t="str">
        <f>IF(Obliczenia!AP18&lt;&gt;0,Obliczenia!AP18,"")</f>
        <v/>
      </c>
      <c r="AP255" s="410"/>
      <c r="AQ255" s="410"/>
      <c r="AR255" s="410"/>
      <c r="AS255" s="410"/>
      <c r="AT255" s="410"/>
      <c r="AU255" s="410"/>
      <c r="AV255" s="410"/>
      <c r="AW255" s="410"/>
      <c r="AX255" s="410"/>
      <c r="AY255" s="410"/>
      <c r="AZ255" s="410"/>
      <c r="BA255" s="410"/>
      <c r="BB255" s="410"/>
      <c r="BC255" s="410"/>
      <c r="BD255" s="410"/>
      <c r="BE255" s="410"/>
      <c r="BF255" s="410"/>
      <c r="BG255" s="410"/>
      <c r="BH255" s="410"/>
      <c r="BI255" s="266"/>
      <c r="BJ255" s="266"/>
    </row>
    <row r="256" spans="1:62" ht="14.4" customHeight="1">
      <c r="A256" s="265"/>
      <c r="B256" s="266"/>
      <c r="C256" s="366"/>
      <c r="D256" s="410"/>
      <c r="E256" s="410"/>
      <c r="F256" s="410"/>
      <c r="G256" s="410"/>
      <c r="H256" s="410"/>
      <c r="I256" s="410"/>
      <c r="J256" s="410"/>
      <c r="K256" s="410"/>
      <c r="L256" s="410"/>
      <c r="M256" s="410"/>
      <c r="N256" s="410"/>
      <c r="O256" s="410"/>
      <c r="P256" s="410"/>
      <c r="Q256" s="410"/>
      <c r="R256" s="410"/>
      <c r="S256" s="410"/>
      <c r="T256" s="410"/>
      <c r="U256" s="410"/>
      <c r="V256" s="410"/>
      <c r="W256" s="290"/>
      <c r="X256" s="290"/>
      <c r="Y256" s="290"/>
      <c r="Z256" s="290"/>
      <c r="AA256" s="290"/>
      <c r="AB256" s="290"/>
      <c r="AC256" s="290"/>
      <c r="AD256" s="266"/>
      <c r="AE256" s="266"/>
      <c r="AF256" s="266"/>
      <c r="AG256" s="266"/>
      <c r="AH256" s="386"/>
      <c r="AI256" s="386"/>
      <c r="AJ256" s="13"/>
      <c r="AK256" s="266"/>
      <c r="AL256" s="266"/>
      <c r="AM256" s="266"/>
      <c r="AN256" s="266"/>
      <c r="AO256" s="366"/>
      <c r="AP256" s="410"/>
      <c r="AQ256" s="410"/>
      <c r="AR256" s="410"/>
      <c r="AS256" s="410"/>
      <c r="AT256" s="410"/>
      <c r="AU256" s="410"/>
      <c r="AV256" s="410"/>
      <c r="AW256" s="410"/>
      <c r="AX256" s="410"/>
      <c r="AY256" s="410"/>
      <c r="AZ256" s="410"/>
      <c r="BA256" s="410"/>
      <c r="BB256" s="410"/>
      <c r="BC256" s="410"/>
      <c r="BD256" s="410"/>
      <c r="BE256" s="410"/>
      <c r="BF256" s="410"/>
      <c r="BG256" s="410"/>
      <c r="BH256" s="410"/>
      <c r="BI256" s="266"/>
      <c r="BJ256" s="266"/>
    </row>
    <row r="257" spans="4:60" s="13" customFormat="1">
      <c r="D257" s="595"/>
      <c r="E257" s="595"/>
      <c r="F257" s="595"/>
      <c r="G257" s="595"/>
      <c r="H257" s="595"/>
      <c r="I257" s="595"/>
      <c r="J257" s="595"/>
      <c r="K257" s="595"/>
      <c r="L257" s="595"/>
      <c r="M257" s="595"/>
      <c r="N257" s="595"/>
      <c r="O257" s="595"/>
      <c r="P257" s="595"/>
      <c r="Q257" s="595"/>
      <c r="R257" s="595"/>
      <c r="S257" s="595"/>
      <c r="T257" s="595"/>
      <c r="U257" s="595"/>
      <c r="V257" s="595"/>
      <c r="AP257" s="595"/>
      <c r="AQ257" s="595"/>
      <c r="AR257" s="595"/>
      <c r="AS257" s="595"/>
      <c r="AT257" s="595"/>
      <c r="AU257" s="595"/>
      <c r="AV257" s="595"/>
      <c r="AW257" s="595"/>
      <c r="AX257" s="595"/>
      <c r="AY257" s="595"/>
      <c r="AZ257" s="595"/>
      <c r="BA257" s="595"/>
      <c r="BB257" s="595"/>
      <c r="BC257" s="595"/>
      <c r="BD257" s="595"/>
      <c r="BE257" s="595"/>
      <c r="BF257" s="595"/>
      <c r="BG257" s="595"/>
      <c r="BH257" s="595"/>
    </row>
    <row r="258" spans="4:60" s="13" customFormat="1">
      <c r="D258" s="595"/>
      <c r="E258" s="595"/>
      <c r="F258" s="595"/>
      <c r="G258" s="595"/>
      <c r="H258" s="595"/>
      <c r="I258" s="595"/>
      <c r="J258" s="595"/>
      <c r="K258" s="595"/>
      <c r="L258" s="595"/>
      <c r="M258" s="595"/>
      <c r="N258" s="595"/>
      <c r="O258" s="595"/>
      <c r="P258" s="595"/>
      <c r="Q258" s="595"/>
      <c r="R258" s="595"/>
      <c r="S258" s="595"/>
      <c r="T258" s="595"/>
      <c r="U258" s="595"/>
      <c r="V258" s="595"/>
      <c r="AP258" s="595"/>
      <c r="AQ258" s="595"/>
      <c r="AR258" s="595"/>
      <c r="AS258" s="595"/>
      <c r="AT258" s="595"/>
      <c r="AU258" s="595"/>
      <c r="AV258" s="595"/>
      <c r="AW258" s="595"/>
      <c r="AX258" s="595"/>
      <c r="AY258" s="595"/>
      <c r="AZ258" s="595"/>
      <c r="BA258" s="595"/>
      <c r="BB258" s="595"/>
      <c r="BC258" s="595"/>
      <c r="BD258" s="595"/>
      <c r="BE258" s="595"/>
      <c r="BF258" s="595"/>
      <c r="BG258" s="595"/>
      <c r="BH258" s="595"/>
    </row>
    <row r="259" spans="4:60" s="13" customFormat="1">
      <c r="D259" s="595"/>
      <c r="E259" s="595"/>
      <c r="F259" s="595"/>
      <c r="G259" s="595"/>
      <c r="H259" s="595"/>
      <c r="I259" s="595"/>
      <c r="J259" s="595"/>
      <c r="K259" s="595"/>
      <c r="L259" s="595"/>
      <c r="M259" s="595"/>
      <c r="N259" s="595"/>
      <c r="O259" s="595"/>
      <c r="P259" s="595"/>
      <c r="Q259" s="595"/>
      <c r="R259" s="595"/>
      <c r="S259" s="595"/>
      <c r="T259" s="595"/>
      <c r="U259" s="595"/>
      <c r="V259" s="595"/>
      <c r="AP259" s="595"/>
      <c r="AQ259" s="595"/>
      <c r="AR259" s="595"/>
      <c r="AS259" s="595"/>
      <c r="AT259" s="595"/>
      <c r="AU259" s="595"/>
      <c r="AV259" s="595"/>
      <c r="AW259" s="595"/>
      <c r="AX259" s="595"/>
      <c r="AY259" s="595"/>
      <c r="AZ259" s="595"/>
      <c r="BA259" s="595"/>
      <c r="BB259" s="595"/>
      <c r="BC259" s="595"/>
      <c r="BD259" s="595"/>
      <c r="BE259" s="595"/>
      <c r="BF259" s="595"/>
      <c r="BG259" s="595"/>
      <c r="BH259" s="595"/>
    </row>
    <row r="260" spans="4:60" s="13" customFormat="1">
      <c r="D260" s="595"/>
      <c r="E260" s="595"/>
      <c r="F260" s="595"/>
      <c r="G260" s="595"/>
      <c r="H260" s="595"/>
      <c r="I260" s="595"/>
      <c r="J260" s="595"/>
      <c r="K260" s="595"/>
      <c r="L260" s="595"/>
      <c r="M260" s="595"/>
      <c r="N260" s="595"/>
      <c r="O260" s="595"/>
      <c r="P260" s="595"/>
      <c r="Q260" s="595"/>
      <c r="R260" s="595"/>
      <c r="S260" s="595"/>
      <c r="T260" s="595"/>
      <c r="U260" s="595"/>
      <c r="V260" s="595"/>
      <c r="AP260" s="595"/>
      <c r="AQ260" s="595"/>
      <c r="AR260" s="595"/>
      <c r="AS260" s="595"/>
      <c r="AT260" s="595"/>
      <c r="AU260" s="595"/>
      <c r="AV260" s="595"/>
      <c r="AW260" s="595"/>
      <c r="AX260" s="595"/>
      <c r="AY260" s="595"/>
      <c r="AZ260" s="595"/>
      <c r="BA260" s="595"/>
      <c r="BB260" s="595"/>
      <c r="BC260" s="595"/>
      <c r="BD260" s="595"/>
      <c r="BE260" s="595"/>
      <c r="BF260" s="595"/>
      <c r="BG260" s="595"/>
      <c r="BH260" s="595"/>
    </row>
    <row r="261" spans="4:60" s="13" customFormat="1">
      <c r="D261" s="595"/>
      <c r="E261" s="595"/>
      <c r="F261" s="595"/>
      <c r="G261" s="595"/>
      <c r="H261" s="595"/>
      <c r="I261" s="595"/>
      <c r="J261" s="595"/>
      <c r="K261" s="595"/>
      <c r="L261" s="595"/>
      <c r="M261" s="595"/>
      <c r="N261" s="595"/>
      <c r="O261" s="595"/>
      <c r="P261" s="595"/>
      <c r="Q261" s="595"/>
      <c r="R261" s="595"/>
      <c r="S261" s="595"/>
      <c r="T261" s="595"/>
      <c r="U261" s="595"/>
      <c r="V261" s="595"/>
      <c r="AP261" s="595"/>
      <c r="AQ261" s="595"/>
      <c r="AR261" s="595"/>
      <c r="AS261" s="595"/>
      <c r="AT261" s="595"/>
      <c r="AU261" s="595"/>
      <c r="AV261" s="595"/>
      <c r="AW261" s="595"/>
      <c r="AX261" s="595"/>
      <c r="AY261" s="595"/>
      <c r="AZ261" s="595"/>
      <c r="BA261" s="595"/>
      <c r="BB261" s="595"/>
      <c r="BC261" s="595"/>
      <c r="BD261" s="595"/>
      <c r="BE261" s="595"/>
      <c r="BF261" s="595"/>
      <c r="BG261" s="595"/>
      <c r="BH261" s="595"/>
    </row>
    <row r="262" spans="4:60" s="13" customFormat="1">
      <c r="D262" s="595"/>
      <c r="E262" s="595"/>
      <c r="F262" s="595"/>
      <c r="G262" s="595"/>
      <c r="H262" s="595"/>
      <c r="I262" s="595"/>
      <c r="J262" s="595"/>
      <c r="K262" s="595"/>
      <c r="L262" s="595"/>
      <c r="M262" s="595"/>
      <c r="N262" s="595"/>
      <c r="O262" s="595"/>
      <c r="P262" s="595"/>
      <c r="Q262" s="595"/>
      <c r="R262" s="595"/>
      <c r="S262" s="595"/>
      <c r="T262" s="595"/>
      <c r="U262" s="595"/>
      <c r="V262" s="595"/>
      <c r="AP262" s="595"/>
      <c r="AQ262" s="595"/>
      <c r="AR262" s="595"/>
      <c r="AS262" s="595"/>
      <c r="AT262" s="595"/>
      <c r="AU262" s="595"/>
      <c r="AV262" s="595"/>
      <c r="AW262" s="595"/>
      <c r="AX262" s="595"/>
      <c r="AY262" s="595"/>
      <c r="AZ262" s="595"/>
      <c r="BA262" s="595"/>
      <c r="BB262" s="595"/>
      <c r="BC262" s="595"/>
      <c r="BD262" s="595"/>
      <c r="BE262" s="595"/>
      <c r="BF262" s="595"/>
      <c r="BG262" s="595"/>
      <c r="BH262" s="595"/>
    </row>
    <row r="263" spans="4:60" s="13" customFormat="1">
      <c r="D263" s="595"/>
      <c r="E263" s="595"/>
      <c r="F263" s="595"/>
      <c r="G263" s="595"/>
      <c r="H263" s="595"/>
      <c r="I263" s="595"/>
      <c r="J263" s="595"/>
      <c r="K263" s="595"/>
      <c r="L263" s="595"/>
      <c r="M263" s="595"/>
      <c r="N263" s="595"/>
      <c r="O263" s="595"/>
      <c r="P263" s="595"/>
      <c r="Q263" s="595"/>
      <c r="R263" s="595"/>
      <c r="S263" s="595"/>
      <c r="T263" s="595"/>
      <c r="U263" s="595"/>
      <c r="V263" s="595"/>
      <c r="AP263" s="595"/>
      <c r="AQ263" s="595"/>
      <c r="AR263" s="595"/>
      <c r="AS263" s="595"/>
      <c r="AT263" s="595"/>
      <c r="AU263" s="595"/>
      <c r="AV263" s="595"/>
      <c r="AW263" s="595"/>
      <c r="AX263" s="595"/>
      <c r="AY263" s="595"/>
      <c r="AZ263" s="595"/>
      <c r="BA263" s="595"/>
      <c r="BB263" s="595"/>
      <c r="BC263" s="595"/>
      <c r="BD263" s="595"/>
      <c r="BE263" s="595"/>
      <c r="BF263" s="595"/>
      <c r="BG263" s="595"/>
      <c r="BH263" s="595"/>
    </row>
    <row r="264" spans="4:60" s="13" customFormat="1">
      <c r="D264" s="595"/>
      <c r="E264" s="595"/>
      <c r="F264" s="595"/>
      <c r="G264" s="595"/>
      <c r="H264" s="595"/>
      <c r="I264" s="595"/>
      <c r="J264" s="595"/>
      <c r="K264" s="595"/>
      <c r="L264" s="595"/>
      <c r="M264" s="595"/>
      <c r="N264" s="595"/>
      <c r="O264" s="595"/>
      <c r="P264" s="595"/>
      <c r="Q264" s="595"/>
      <c r="R264" s="595"/>
      <c r="S264" s="595"/>
      <c r="T264" s="595"/>
      <c r="U264" s="595"/>
      <c r="V264" s="595"/>
      <c r="AP264" s="595"/>
      <c r="AQ264" s="595"/>
      <c r="AR264" s="595"/>
      <c r="AS264" s="595"/>
      <c r="AT264" s="595"/>
      <c r="AU264" s="595"/>
      <c r="AV264" s="595"/>
      <c r="AW264" s="595"/>
      <c r="AX264" s="595"/>
      <c r="AY264" s="595"/>
      <c r="AZ264" s="595"/>
      <c r="BA264" s="595"/>
      <c r="BB264" s="595"/>
      <c r="BC264" s="595"/>
      <c r="BD264" s="595"/>
      <c r="BE264" s="595"/>
      <c r="BF264" s="595"/>
      <c r="BG264" s="595"/>
      <c r="BH264" s="595"/>
    </row>
    <row r="265" spans="4:60" s="13" customFormat="1">
      <c r="D265" s="595"/>
      <c r="E265" s="595"/>
      <c r="F265" s="595"/>
      <c r="G265" s="595"/>
      <c r="H265" s="595"/>
      <c r="I265" s="595"/>
      <c r="J265" s="595"/>
      <c r="K265" s="595"/>
      <c r="L265" s="595"/>
      <c r="M265" s="595"/>
      <c r="N265" s="595"/>
      <c r="O265" s="595"/>
      <c r="P265" s="595"/>
      <c r="Q265" s="595"/>
      <c r="R265" s="595"/>
      <c r="S265" s="595"/>
      <c r="T265" s="595"/>
      <c r="U265" s="595"/>
      <c r="V265" s="595"/>
      <c r="AP265" s="595"/>
      <c r="AQ265" s="595"/>
      <c r="AR265" s="595"/>
      <c r="AS265" s="595"/>
      <c r="AT265" s="595"/>
      <c r="AU265" s="595"/>
      <c r="AV265" s="595"/>
      <c r="AW265" s="595"/>
      <c r="AX265" s="595"/>
      <c r="AY265" s="595"/>
      <c r="AZ265" s="595"/>
      <c r="BA265" s="595"/>
      <c r="BB265" s="595"/>
      <c r="BC265" s="595"/>
      <c r="BD265" s="595"/>
      <c r="BE265" s="595"/>
      <c r="BF265" s="595"/>
      <c r="BG265" s="595"/>
      <c r="BH265" s="595"/>
    </row>
    <row r="266" spans="4:60" s="13" customFormat="1">
      <c r="D266" s="595"/>
      <c r="E266" s="595"/>
      <c r="F266" s="595"/>
      <c r="G266" s="595"/>
      <c r="H266" s="595"/>
      <c r="I266" s="595"/>
      <c r="J266" s="595"/>
      <c r="K266" s="595"/>
      <c r="L266" s="595"/>
      <c r="M266" s="595"/>
      <c r="N266" s="595"/>
      <c r="O266" s="595"/>
      <c r="P266" s="595"/>
      <c r="Q266" s="595"/>
      <c r="R266" s="595"/>
      <c r="S266" s="595"/>
      <c r="T266" s="595"/>
      <c r="U266" s="595"/>
      <c r="V266" s="595"/>
      <c r="AP266" s="595"/>
      <c r="AQ266" s="595"/>
      <c r="AR266" s="595"/>
      <c r="AS266" s="595"/>
      <c r="AT266" s="595"/>
      <c r="AU266" s="595"/>
      <c r="AV266" s="595"/>
      <c r="AW266" s="595"/>
      <c r="AX266" s="595"/>
      <c r="AY266" s="595"/>
      <c r="AZ266" s="595"/>
      <c r="BA266" s="595"/>
      <c r="BB266" s="595"/>
      <c r="BC266" s="595"/>
      <c r="BD266" s="595"/>
      <c r="BE266" s="595"/>
      <c r="BF266" s="595"/>
      <c r="BG266" s="595"/>
      <c r="BH266" s="595"/>
    </row>
    <row r="267" spans="4:60" s="13" customFormat="1">
      <c r="D267" s="595"/>
      <c r="E267" s="595"/>
      <c r="F267" s="595"/>
      <c r="G267" s="595"/>
      <c r="H267" s="595"/>
      <c r="I267" s="595"/>
      <c r="J267" s="595"/>
      <c r="K267" s="595"/>
      <c r="L267" s="595"/>
      <c r="M267" s="595"/>
      <c r="N267" s="595"/>
      <c r="O267" s="595"/>
      <c r="P267" s="595"/>
      <c r="Q267" s="595"/>
      <c r="R267" s="595"/>
      <c r="S267" s="595"/>
      <c r="T267" s="595"/>
      <c r="U267" s="595"/>
      <c r="V267" s="595"/>
      <c r="AP267" s="595"/>
      <c r="AQ267" s="595"/>
      <c r="AR267" s="595"/>
      <c r="AS267" s="595"/>
      <c r="AT267" s="595"/>
      <c r="AU267" s="595"/>
      <c r="AV267" s="595"/>
      <c r="AW267" s="595"/>
      <c r="AX267" s="595"/>
      <c r="AY267" s="595"/>
      <c r="AZ267" s="595"/>
      <c r="BA267" s="595"/>
      <c r="BB267" s="595"/>
      <c r="BC267" s="595"/>
      <c r="BD267" s="595"/>
      <c r="BE267" s="595"/>
      <c r="BF267" s="595"/>
      <c r="BG267" s="595"/>
      <c r="BH267" s="595"/>
    </row>
    <row r="268" spans="4:60" s="13" customFormat="1">
      <c r="D268" s="595"/>
      <c r="E268" s="595"/>
      <c r="F268" s="595"/>
      <c r="G268" s="595"/>
      <c r="H268" s="595"/>
      <c r="I268" s="595"/>
      <c r="J268" s="595"/>
      <c r="K268" s="595"/>
      <c r="L268" s="595"/>
      <c r="M268" s="595"/>
      <c r="N268" s="595"/>
      <c r="O268" s="595"/>
      <c r="P268" s="595"/>
      <c r="Q268" s="595"/>
      <c r="R268" s="595"/>
      <c r="S268" s="595"/>
      <c r="T268" s="595"/>
      <c r="U268" s="595"/>
      <c r="V268" s="595"/>
      <c r="AP268" s="595"/>
      <c r="AQ268" s="595"/>
      <c r="AR268" s="595"/>
      <c r="AS268" s="595"/>
      <c r="AT268" s="595"/>
      <c r="AU268" s="595"/>
      <c r="AV268" s="595"/>
      <c r="AW268" s="595"/>
      <c r="AX268" s="595"/>
      <c r="AY268" s="595"/>
      <c r="AZ268" s="595"/>
      <c r="BA268" s="595"/>
      <c r="BB268" s="595"/>
      <c r="BC268" s="595"/>
      <c r="BD268" s="595"/>
      <c r="BE268" s="595"/>
      <c r="BF268" s="595"/>
      <c r="BG268" s="595"/>
      <c r="BH268" s="595"/>
    </row>
    <row r="269" spans="4:60" s="13" customFormat="1">
      <c r="D269" s="595"/>
      <c r="E269" s="595"/>
      <c r="F269" s="595"/>
      <c r="G269" s="595"/>
      <c r="H269" s="595"/>
      <c r="I269" s="595"/>
      <c r="J269" s="595"/>
      <c r="K269" s="595"/>
      <c r="L269" s="595"/>
      <c r="M269" s="595"/>
      <c r="N269" s="595"/>
      <c r="O269" s="595"/>
      <c r="P269" s="595"/>
      <c r="Q269" s="595"/>
      <c r="R269" s="595"/>
      <c r="S269" s="595"/>
      <c r="T269" s="595"/>
      <c r="U269" s="595"/>
      <c r="V269" s="595"/>
      <c r="AP269" s="595"/>
      <c r="AQ269" s="595"/>
      <c r="AR269" s="595"/>
      <c r="AS269" s="595"/>
      <c r="AT269" s="595"/>
      <c r="AU269" s="595"/>
      <c r="AV269" s="595"/>
      <c r="AW269" s="595"/>
      <c r="AX269" s="595"/>
      <c r="AY269" s="595"/>
      <c r="AZ269" s="595"/>
      <c r="BA269" s="595"/>
      <c r="BB269" s="595"/>
      <c r="BC269" s="595"/>
      <c r="BD269" s="595"/>
      <c r="BE269" s="595"/>
      <c r="BF269" s="595"/>
      <c r="BG269" s="595"/>
      <c r="BH269" s="595"/>
    </row>
    <row r="270" spans="4:60" s="13" customFormat="1">
      <c r="D270" s="595"/>
      <c r="E270" s="595"/>
      <c r="F270" s="595"/>
      <c r="G270" s="595"/>
      <c r="H270" s="595"/>
      <c r="I270" s="595"/>
      <c r="J270" s="595"/>
      <c r="K270" s="595"/>
      <c r="L270" s="595"/>
      <c r="M270" s="595"/>
      <c r="N270" s="595"/>
      <c r="O270" s="595"/>
      <c r="P270" s="595"/>
      <c r="Q270" s="595"/>
      <c r="R270" s="595"/>
      <c r="S270" s="595"/>
      <c r="T270" s="595"/>
      <c r="U270" s="595"/>
      <c r="V270" s="595"/>
      <c r="AP270" s="595"/>
      <c r="AQ270" s="595"/>
      <c r="AR270" s="595"/>
      <c r="AS270" s="595"/>
      <c r="AT270" s="595"/>
      <c r="AU270" s="595"/>
      <c r="AV270" s="595"/>
      <c r="AW270" s="595"/>
      <c r="AX270" s="595"/>
      <c r="AY270" s="595"/>
      <c r="AZ270" s="595"/>
      <c r="BA270" s="595"/>
      <c r="BB270" s="595"/>
      <c r="BC270" s="595"/>
      <c r="BD270" s="595"/>
      <c r="BE270" s="595"/>
      <c r="BF270" s="595"/>
      <c r="BG270" s="595"/>
      <c r="BH270" s="595"/>
    </row>
    <row r="271" spans="4:60" s="13" customFormat="1">
      <c r="D271" s="595"/>
      <c r="E271" s="595"/>
      <c r="F271" s="595"/>
      <c r="G271" s="595"/>
      <c r="H271" s="595"/>
      <c r="I271" s="595"/>
      <c r="J271" s="595"/>
      <c r="K271" s="595"/>
      <c r="L271" s="595"/>
      <c r="M271" s="595"/>
      <c r="N271" s="595"/>
      <c r="O271" s="595"/>
      <c r="P271" s="595"/>
      <c r="Q271" s="595"/>
      <c r="R271" s="595"/>
      <c r="S271" s="595"/>
      <c r="T271" s="595"/>
      <c r="U271" s="595"/>
      <c r="V271" s="595"/>
      <c r="AP271" s="595"/>
      <c r="AQ271" s="595"/>
      <c r="AR271" s="595"/>
      <c r="AS271" s="595"/>
      <c r="AT271" s="595"/>
      <c r="AU271" s="595"/>
      <c r="AV271" s="595"/>
      <c r="AW271" s="595"/>
      <c r="AX271" s="595"/>
      <c r="AY271" s="595"/>
      <c r="AZ271" s="595"/>
      <c r="BA271" s="595"/>
      <c r="BB271" s="595"/>
      <c r="BC271" s="595"/>
      <c r="BD271" s="595"/>
      <c r="BE271" s="595"/>
      <c r="BF271" s="595"/>
      <c r="BG271" s="595"/>
      <c r="BH271" s="595"/>
    </row>
    <row r="272" spans="4:60" s="13" customFormat="1">
      <c r="D272" s="595"/>
      <c r="E272" s="595"/>
      <c r="F272" s="595"/>
      <c r="G272" s="595"/>
      <c r="H272" s="595"/>
      <c r="I272" s="595"/>
      <c r="J272" s="595"/>
      <c r="K272" s="595"/>
      <c r="L272" s="595"/>
      <c r="M272" s="595"/>
      <c r="N272" s="595"/>
      <c r="O272" s="595"/>
      <c r="P272" s="595"/>
      <c r="Q272" s="595"/>
      <c r="R272" s="595"/>
      <c r="S272" s="595"/>
      <c r="T272" s="595"/>
      <c r="U272" s="595"/>
      <c r="V272" s="595"/>
      <c r="AP272" s="595"/>
      <c r="AQ272" s="595"/>
      <c r="AR272" s="595"/>
      <c r="AS272" s="595"/>
      <c r="AT272" s="595"/>
      <c r="AU272" s="595"/>
      <c r="AV272" s="595"/>
      <c r="AW272" s="595"/>
      <c r="AX272" s="595"/>
      <c r="AY272" s="595"/>
      <c r="AZ272" s="595"/>
      <c r="BA272" s="595"/>
      <c r="BB272" s="595"/>
      <c r="BC272" s="595"/>
      <c r="BD272" s="595"/>
      <c r="BE272" s="595"/>
      <c r="BF272" s="595"/>
      <c r="BG272" s="595"/>
      <c r="BH272" s="595"/>
    </row>
    <row r="273" spans="4:60" s="13" customFormat="1">
      <c r="D273" s="595"/>
      <c r="E273" s="595"/>
      <c r="F273" s="595"/>
      <c r="G273" s="595"/>
      <c r="H273" s="595"/>
      <c r="I273" s="595"/>
      <c r="J273" s="595"/>
      <c r="K273" s="595"/>
      <c r="L273" s="595"/>
      <c r="M273" s="595"/>
      <c r="N273" s="595"/>
      <c r="O273" s="595"/>
      <c r="P273" s="595"/>
      <c r="Q273" s="595"/>
      <c r="R273" s="595"/>
      <c r="S273" s="595"/>
      <c r="T273" s="595"/>
      <c r="U273" s="595"/>
      <c r="V273" s="595"/>
      <c r="AP273" s="595"/>
      <c r="AQ273" s="595"/>
      <c r="AR273" s="595"/>
      <c r="AS273" s="595"/>
      <c r="AT273" s="595"/>
      <c r="AU273" s="595"/>
      <c r="AV273" s="595"/>
      <c r="AW273" s="595"/>
      <c r="AX273" s="595"/>
      <c r="AY273" s="595"/>
      <c r="AZ273" s="595"/>
      <c r="BA273" s="595"/>
      <c r="BB273" s="595"/>
      <c r="BC273" s="595"/>
      <c r="BD273" s="595"/>
      <c r="BE273" s="595"/>
      <c r="BF273" s="595"/>
      <c r="BG273" s="595"/>
      <c r="BH273" s="595"/>
    </row>
    <row r="274" spans="4:60" s="13" customFormat="1">
      <c r="D274" s="595"/>
      <c r="E274" s="595"/>
      <c r="F274" s="595"/>
      <c r="G274" s="595"/>
      <c r="H274" s="595"/>
      <c r="I274" s="595"/>
      <c r="J274" s="595"/>
      <c r="K274" s="595"/>
      <c r="L274" s="595"/>
      <c r="M274" s="595"/>
      <c r="N274" s="595"/>
      <c r="O274" s="595"/>
      <c r="P274" s="595"/>
      <c r="Q274" s="595"/>
      <c r="R274" s="595"/>
      <c r="S274" s="595"/>
      <c r="T274" s="595"/>
      <c r="U274" s="595"/>
      <c r="V274" s="595"/>
      <c r="AP274" s="595"/>
      <c r="AQ274" s="595"/>
      <c r="AR274" s="595"/>
      <c r="AS274" s="595"/>
      <c r="AT274" s="595"/>
      <c r="AU274" s="595"/>
      <c r="AV274" s="595"/>
      <c r="AW274" s="595"/>
      <c r="AX274" s="595"/>
      <c r="AY274" s="595"/>
      <c r="AZ274" s="595"/>
      <c r="BA274" s="595"/>
      <c r="BB274" s="595"/>
      <c r="BC274" s="595"/>
      <c r="BD274" s="595"/>
      <c r="BE274" s="595"/>
      <c r="BF274" s="595"/>
      <c r="BG274" s="595"/>
      <c r="BH274" s="595"/>
    </row>
    <row r="275" spans="4:60" s="13" customFormat="1">
      <c r="D275" s="595"/>
      <c r="E275" s="595"/>
      <c r="F275" s="595"/>
      <c r="G275" s="595"/>
      <c r="H275" s="595"/>
      <c r="I275" s="595"/>
      <c r="J275" s="595"/>
      <c r="K275" s="595"/>
      <c r="L275" s="595"/>
      <c r="M275" s="595"/>
      <c r="N275" s="595"/>
      <c r="O275" s="595"/>
      <c r="P275" s="595"/>
      <c r="Q275" s="595"/>
      <c r="R275" s="595"/>
      <c r="S275" s="595"/>
      <c r="T275" s="595"/>
      <c r="U275" s="595"/>
      <c r="V275" s="595"/>
      <c r="AP275" s="595"/>
      <c r="AQ275" s="595"/>
      <c r="AR275" s="595"/>
      <c r="AS275" s="595"/>
      <c r="AT275" s="595"/>
      <c r="AU275" s="595"/>
      <c r="AV275" s="595"/>
      <c r="AW275" s="595"/>
      <c r="AX275" s="595"/>
      <c r="AY275" s="595"/>
      <c r="AZ275" s="595"/>
      <c r="BA275" s="595"/>
      <c r="BB275" s="595"/>
      <c r="BC275" s="595"/>
      <c r="BD275" s="595"/>
      <c r="BE275" s="595"/>
      <c r="BF275" s="595"/>
      <c r="BG275" s="595"/>
      <c r="BH275" s="595"/>
    </row>
    <row r="276" spans="4:60" s="13" customFormat="1">
      <c r="D276" s="595"/>
      <c r="E276" s="595"/>
      <c r="F276" s="595"/>
      <c r="G276" s="595"/>
      <c r="H276" s="595"/>
      <c r="I276" s="595"/>
      <c r="J276" s="595"/>
      <c r="K276" s="595"/>
      <c r="L276" s="595"/>
      <c r="M276" s="595"/>
      <c r="N276" s="595"/>
      <c r="O276" s="595"/>
      <c r="P276" s="595"/>
      <c r="Q276" s="595"/>
      <c r="R276" s="595"/>
      <c r="S276" s="595"/>
      <c r="T276" s="595"/>
      <c r="U276" s="595"/>
      <c r="V276" s="595"/>
      <c r="AP276" s="595"/>
      <c r="AQ276" s="595"/>
      <c r="AR276" s="595"/>
      <c r="AS276" s="595"/>
      <c r="AT276" s="595"/>
      <c r="AU276" s="595"/>
      <c r="AV276" s="595"/>
      <c r="AW276" s="595"/>
      <c r="AX276" s="595"/>
      <c r="AY276" s="595"/>
      <c r="AZ276" s="595"/>
      <c r="BA276" s="595"/>
      <c r="BB276" s="595"/>
      <c r="BC276" s="595"/>
      <c r="BD276" s="595"/>
      <c r="BE276" s="595"/>
      <c r="BF276" s="595"/>
      <c r="BG276" s="595"/>
      <c r="BH276" s="595"/>
    </row>
    <row r="277" spans="4:60" s="13" customFormat="1">
      <c r="D277" s="595"/>
      <c r="E277" s="595"/>
      <c r="F277" s="595"/>
      <c r="G277" s="595"/>
      <c r="H277" s="595"/>
      <c r="I277" s="595"/>
      <c r="J277" s="595"/>
      <c r="K277" s="595"/>
      <c r="L277" s="595"/>
      <c r="M277" s="595"/>
      <c r="N277" s="595"/>
      <c r="O277" s="595"/>
      <c r="P277" s="595"/>
      <c r="Q277" s="595"/>
      <c r="R277" s="595"/>
      <c r="S277" s="595"/>
      <c r="T277" s="595"/>
      <c r="U277" s="595"/>
      <c r="V277" s="595"/>
      <c r="AP277" s="595"/>
      <c r="AQ277" s="595"/>
      <c r="AR277" s="595"/>
      <c r="AS277" s="595"/>
      <c r="AT277" s="595"/>
      <c r="AU277" s="595"/>
      <c r="AV277" s="595"/>
      <c r="AW277" s="595"/>
      <c r="AX277" s="595"/>
      <c r="AY277" s="595"/>
      <c r="AZ277" s="595"/>
      <c r="BA277" s="595"/>
      <c r="BB277" s="595"/>
      <c r="BC277" s="595"/>
      <c r="BD277" s="595"/>
      <c r="BE277" s="595"/>
      <c r="BF277" s="595"/>
      <c r="BG277" s="595"/>
      <c r="BH277" s="595"/>
    </row>
    <row r="278" spans="4:60" s="13" customFormat="1">
      <c r="D278" s="595"/>
      <c r="E278" s="595"/>
      <c r="F278" s="595"/>
      <c r="G278" s="595"/>
      <c r="H278" s="595"/>
      <c r="I278" s="595"/>
      <c r="J278" s="595"/>
      <c r="K278" s="595"/>
      <c r="L278" s="595"/>
      <c r="M278" s="595"/>
      <c r="N278" s="595"/>
      <c r="O278" s="595"/>
      <c r="P278" s="595"/>
      <c r="Q278" s="595"/>
      <c r="R278" s="595"/>
      <c r="S278" s="595"/>
      <c r="T278" s="595"/>
      <c r="U278" s="595"/>
      <c r="V278" s="595"/>
      <c r="AP278" s="595"/>
      <c r="AQ278" s="595"/>
      <c r="AR278" s="595"/>
      <c r="AS278" s="595"/>
      <c r="AT278" s="595"/>
      <c r="AU278" s="595"/>
      <c r="AV278" s="595"/>
      <c r="AW278" s="595"/>
      <c r="AX278" s="595"/>
      <c r="AY278" s="595"/>
      <c r="AZ278" s="595"/>
      <c r="BA278" s="595"/>
      <c r="BB278" s="595"/>
      <c r="BC278" s="595"/>
      <c r="BD278" s="595"/>
      <c r="BE278" s="595"/>
      <c r="BF278" s="595"/>
      <c r="BG278" s="595"/>
      <c r="BH278" s="595"/>
    </row>
    <row r="279" spans="4:60" s="13" customFormat="1">
      <c r="D279" s="595"/>
      <c r="E279" s="595"/>
      <c r="F279" s="595"/>
      <c r="G279" s="595"/>
      <c r="H279" s="595"/>
      <c r="I279" s="595"/>
      <c r="J279" s="595"/>
      <c r="K279" s="595"/>
      <c r="L279" s="595"/>
      <c r="M279" s="595"/>
      <c r="N279" s="595"/>
      <c r="O279" s="595"/>
      <c r="P279" s="595"/>
      <c r="Q279" s="595"/>
      <c r="R279" s="595"/>
      <c r="S279" s="595"/>
      <c r="T279" s="595"/>
      <c r="U279" s="595"/>
      <c r="V279" s="595"/>
      <c r="AP279" s="595"/>
      <c r="AQ279" s="595"/>
      <c r="AR279" s="595"/>
      <c r="AS279" s="595"/>
      <c r="AT279" s="595"/>
      <c r="AU279" s="595"/>
      <c r="AV279" s="595"/>
      <c r="AW279" s="595"/>
      <c r="AX279" s="595"/>
      <c r="AY279" s="595"/>
      <c r="AZ279" s="595"/>
      <c r="BA279" s="595"/>
      <c r="BB279" s="595"/>
      <c r="BC279" s="595"/>
      <c r="BD279" s="595"/>
      <c r="BE279" s="595"/>
      <c r="BF279" s="595"/>
      <c r="BG279" s="595"/>
      <c r="BH279" s="595"/>
    </row>
    <row r="280" spans="4:60" s="13" customFormat="1">
      <c r="D280" s="595"/>
      <c r="E280" s="595"/>
      <c r="F280" s="595"/>
      <c r="G280" s="595"/>
      <c r="H280" s="595"/>
      <c r="I280" s="595"/>
      <c r="J280" s="595"/>
      <c r="K280" s="595"/>
      <c r="L280" s="595"/>
      <c r="M280" s="595"/>
      <c r="N280" s="595"/>
      <c r="O280" s="595"/>
      <c r="P280" s="595"/>
      <c r="Q280" s="595"/>
      <c r="R280" s="595"/>
      <c r="S280" s="595"/>
      <c r="T280" s="595"/>
      <c r="U280" s="595"/>
      <c r="V280" s="595"/>
      <c r="AP280" s="595"/>
      <c r="AQ280" s="595"/>
      <c r="AR280" s="595"/>
      <c r="AS280" s="595"/>
      <c r="AT280" s="595"/>
      <c r="AU280" s="595"/>
      <c r="AV280" s="595"/>
      <c r="AW280" s="595"/>
      <c r="AX280" s="595"/>
      <c r="AY280" s="595"/>
      <c r="AZ280" s="595"/>
      <c r="BA280" s="595"/>
      <c r="BB280" s="595"/>
      <c r="BC280" s="595"/>
      <c r="BD280" s="595"/>
      <c r="BE280" s="595"/>
      <c r="BF280" s="595"/>
      <c r="BG280" s="595"/>
      <c r="BH280" s="595"/>
    </row>
    <row r="281" spans="4:60" s="13" customFormat="1">
      <c r="D281" s="595"/>
      <c r="E281" s="595"/>
      <c r="F281" s="595"/>
      <c r="G281" s="595"/>
      <c r="H281" s="595"/>
      <c r="I281" s="595"/>
      <c r="J281" s="595"/>
      <c r="K281" s="595"/>
      <c r="L281" s="595"/>
      <c r="M281" s="595"/>
      <c r="N281" s="595"/>
      <c r="O281" s="595"/>
      <c r="P281" s="595"/>
      <c r="Q281" s="595"/>
      <c r="R281" s="595"/>
      <c r="S281" s="595"/>
      <c r="T281" s="595"/>
      <c r="U281" s="595"/>
      <c r="V281" s="595"/>
      <c r="AP281" s="595"/>
      <c r="AQ281" s="595"/>
      <c r="AR281" s="595"/>
      <c r="AS281" s="595"/>
      <c r="AT281" s="595"/>
      <c r="AU281" s="595"/>
      <c r="AV281" s="595"/>
      <c r="AW281" s="595"/>
      <c r="AX281" s="595"/>
      <c r="AY281" s="595"/>
      <c r="AZ281" s="595"/>
      <c r="BA281" s="595"/>
      <c r="BB281" s="595"/>
      <c r="BC281" s="595"/>
      <c r="BD281" s="595"/>
      <c r="BE281" s="595"/>
      <c r="BF281" s="595"/>
      <c r="BG281" s="595"/>
      <c r="BH281" s="595"/>
    </row>
    <row r="282" spans="4:60" s="13" customFormat="1">
      <c r="D282" s="595"/>
      <c r="E282" s="595"/>
      <c r="F282" s="595"/>
      <c r="G282" s="595"/>
      <c r="H282" s="595"/>
      <c r="I282" s="595"/>
      <c r="J282" s="595"/>
      <c r="K282" s="595"/>
      <c r="L282" s="595"/>
      <c r="M282" s="595"/>
      <c r="N282" s="595"/>
      <c r="O282" s="595"/>
      <c r="P282" s="595"/>
      <c r="Q282" s="595"/>
      <c r="R282" s="595"/>
      <c r="S282" s="595"/>
      <c r="T282" s="595"/>
      <c r="U282" s="595"/>
      <c r="V282" s="595"/>
      <c r="AP282" s="595"/>
      <c r="AQ282" s="595"/>
      <c r="AR282" s="595"/>
      <c r="AS282" s="595"/>
      <c r="AT282" s="595"/>
      <c r="AU282" s="595"/>
      <c r="AV282" s="595"/>
      <c r="AW282" s="595"/>
      <c r="AX282" s="595"/>
      <c r="AY282" s="595"/>
      <c r="AZ282" s="595"/>
      <c r="BA282" s="595"/>
      <c r="BB282" s="595"/>
      <c r="BC282" s="595"/>
      <c r="BD282" s="595"/>
      <c r="BE282" s="595"/>
      <c r="BF282" s="595"/>
      <c r="BG282" s="595"/>
      <c r="BH282" s="595"/>
    </row>
    <row r="283" spans="4:60" s="13" customFormat="1">
      <c r="D283" s="595"/>
      <c r="E283" s="595"/>
      <c r="F283" s="595"/>
      <c r="G283" s="595"/>
      <c r="H283" s="595"/>
      <c r="I283" s="595"/>
      <c r="J283" s="595"/>
      <c r="K283" s="595"/>
      <c r="L283" s="595"/>
      <c r="M283" s="595"/>
      <c r="N283" s="595"/>
      <c r="O283" s="595"/>
      <c r="P283" s="595"/>
      <c r="Q283" s="595"/>
      <c r="R283" s="595"/>
      <c r="S283" s="595"/>
      <c r="T283" s="595"/>
      <c r="U283" s="595"/>
      <c r="V283" s="595"/>
      <c r="AP283" s="595"/>
      <c r="AQ283" s="595"/>
      <c r="AR283" s="595"/>
      <c r="AS283" s="595"/>
      <c r="AT283" s="595"/>
      <c r="AU283" s="595"/>
      <c r="AV283" s="595"/>
      <c r="AW283" s="595"/>
      <c r="AX283" s="595"/>
      <c r="AY283" s="595"/>
      <c r="AZ283" s="595"/>
      <c r="BA283" s="595"/>
      <c r="BB283" s="595"/>
      <c r="BC283" s="595"/>
      <c r="BD283" s="595"/>
      <c r="BE283" s="595"/>
      <c r="BF283" s="595"/>
      <c r="BG283" s="595"/>
      <c r="BH283" s="595"/>
    </row>
    <row r="284" spans="4:60" s="13" customFormat="1">
      <c r="D284" s="595"/>
      <c r="E284" s="595"/>
      <c r="F284" s="595"/>
      <c r="G284" s="595"/>
      <c r="H284" s="595"/>
      <c r="I284" s="595"/>
      <c r="J284" s="595"/>
      <c r="K284" s="595"/>
      <c r="L284" s="595"/>
      <c r="M284" s="595"/>
      <c r="N284" s="595"/>
      <c r="O284" s="595"/>
      <c r="P284" s="595"/>
      <c r="Q284" s="595"/>
      <c r="R284" s="595"/>
      <c r="S284" s="595"/>
      <c r="T284" s="595"/>
      <c r="U284" s="595"/>
      <c r="V284" s="595"/>
      <c r="AP284" s="595"/>
      <c r="AQ284" s="595"/>
      <c r="AR284" s="595"/>
      <c r="AS284" s="595"/>
      <c r="AT284" s="595"/>
      <c r="AU284" s="595"/>
      <c r="AV284" s="595"/>
      <c r="AW284" s="595"/>
      <c r="AX284" s="595"/>
      <c r="AY284" s="595"/>
      <c r="AZ284" s="595"/>
      <c r="BA284" s="595"/>
      <c r="BB284" s="595"/>
      <c r="BC284" s="595"/>
      <c r="BD284" s="595"/>
      <c r="BE284" s="595"/>
      <c r="BF284" s="595"/>
      <c r="BG284" s="595"/>
      <c r="BH284" s="595"/>
    </row>
    <row r="285" spans="4:60" s="13" customFormat="1">
      <c r="D285" s="595"/>
      <c r="E285" s="595"/>
      <c r="F285" s="595"/>
      <c r="G285" s="595"/>
      <c r="H285" s="595"/>
      <c r="I285" s="595"/>
      <c r="J285" s="595"/>
      <c r="K285" s="595"/>
      <c r="L285" s="595"/>
      <c r="M285" s="595"/>
      <c r="N285" s="595"/>
      <c r="O285" s="595"/>
      <c r="P285" s="595"/>
      <c r="Q285" s="595"/>
      <c r="R285" s="595"/>
      <c r="S285" s="595"/>
      <c r="T285" s="595"/>
      <c r="U285" s="595"/>
      <c r="V285" s="595"/>
      <c r="AP285" s="595"/>
      <c r="AQ285" s="595"/>
      <c r="AR285" s="595"/>
      <c r="AS285" s="595"/>
      <c r="AT285" s="595"/>
      <c r="AU285" s="595"/>
      <c r="AV285" s="595"/>
      <c r="AW285" s="595"/>
      <c r="AX285" s="595"/>
      <c r="AY285" s="595"/>
      <c r="AZ285" s="595"/>
      <c r="BA285" s="595"/>
      <c r="BB285" s="595"/>
      <c r="BC285" s="595"/>
      <c r="BD285" s="595"/>
      <c r="BE285" s="595"/>
      <c r="BF285" s="595"/>
      <c r="BG285" s="595"/>
      <c r="BH285" s="595"/>
    </row>
    <row r="286" spans="4:60" s="13" customFormat="1">
      <c r="D286" s="595"/>
      <c r="E286" s="595"/>
      <c r="F286" s="595"/>
      <c r="G286" s="595"/>
      <c r="H286" s="595"/>
      <c r="I286" s="595"/>
      <c r="J286" s="595"/>
      <c r="K286" s="595"/>
      <c r="L286" s="595"/>
      <c r="M286" s="595"/>
      <c r="N286" s="595"/>
      <c r="O286" s="595"/>
      <c r="P286" s="595"/>
      <c r="Q286" s="595"/>
      <c r="R286" s="595"/>
      <c r="S286" s="595"/>
      <c r="T286" s="595"/>
      <c r="U286" s="595"/>
      <c r="V286" s="595"/>
      <c r="AP286" s="595"/>
      <c r="AQ286" s="595"/>
      <c r="AR286" s="595"/>
      <c r="AS286" s="595"/>
      <c r="AT286" s="595"/>
      <c r="AU286" s="595"/>
      <c r="AV286" s="595"/>
      <c r="AW286" s="595"/>
      <c r="AX286" s="595"/>
      <c r="AY286" s="595"/>
      <c r="AZ286" s="595"/>
      <c r="BA286" s="595"/>
      <c r="BB286" s="595"/>
      <c r="BC286" s="595"/>
      <c r="BD286" s="595"/>
      <c r="BE286" s="595"/>
      <c r="BF286" s="595"/>
      <c r="BG286" s="595"/>
      <c r="BH286" s="595"/>
    </row>
    <row r="287" spans="4:60" s="13" customFormat="1">
      <c r="D287" s="595"/>
      <c r="E287" s="595"/>
      <c r="F287" s="595"/>
      <c r="G287" s="595"/>
      <c r="H287" s="595"/>
      <c r="I287" s="595"/>
      <c r="J287" s="595"/>
      <c r="K287" s="595"/>
      <c r="L287" s="595"/>
      <c r="M287" s="595"/>
      <c r="N287" s="595"/>
      <c r="O287" s="595"/>
      <c r="P287" s="595"/>
      <c r="Q287" s="595"/>
      <c r="R287" s="595"/>
      <c r="S287" s="595"/>
      <c r="T287" s="595"/>
      <c r="U287" s="595"/>
      <c r="V287" s="595"/>
      <c r="AP287" s="595"/>
      <c r="AQ287" s="595"/>
      <c r="AR287" s="595"/>
      <c r="AS287" s="595"/>
      <c r="AT287" s="595"/>
      <c r="AU287" s="595"/>
      <c r="AV287" s="595"/>
      <c r="AW287" s="595"/>
      <c r="AX287" s="595"/>
      <c r="AY287" s="595"/>
      <c r="AZ287" s="595"/>
      <c r="BA287" s="595"/>
      <c r="BB287" s="595"/>
      <c r="BC287" s="595"/>
      <c r="BD287" s="595"/>
      <c r="BE287" s="595"/>
      <c r="BF287" s="595"/>
      <c r="BG287" s="595"/>
      <c r="BH287" s="595"/>
    </row>
    <row r="288" spans="4:60" s="13" customFormat="1">
      <c r="D288" s="595"/>
      <c r="E288" s="595"/>
      <c r="F288" s="595"/>
      <c r="G288" s="595"/>
      <c r="H288" s="595"/>
      <c r="I288" s="595"/>
      <c r="J288" s="595"/>
      <c r="K288" s="595"/>
      <c r="L288" s="595"/>
      <c r="M288" s="595"/>
      <c r="N288" s="595"/>
      <c r="O288" s="595"/>
      <c r="P288" s="595"/>
      <c r="Q288" s="595"/>
      <c r="R288" s="595"/>
      <c r="S288" s="595"/>
      <c r="T288" s="595"/>
      <c r="U288" s="595"/>
      <c r="V288" s="595"/>
      <c r="AP288" s="595"/>
      <c r="AQ288" s="595"/>
      <c r="AR288" s="595"/>
      <c r="AS288" s="595"/>
      <c r="AT288" s="595"/>
      <c r="AU288" s="595"/>
      <c r="AV288" s="595"/>
      <c r="AW288" s="595"/>
      <c r="AX288" s="595"/>
      <c r="AY288" s="595"/>
      <c r="AZ288" s="595"/>
      <c r="BA288" s="595"/>
      <c r="BB288" s="595"/>
      <c r="BC288" s="595"/>
      <c r="BD288" s="595"/>
      <c r="BE288" s="595"/>
      <c r="BF288" s="595"/>
      <c r="BG288" s="595"/>
      <c r="BH288" s="595"/>
    </row>
    <row r="289" spans="4:60" s="13" customFormat="1">
      <c r="D289" s="595"/>
      <c r="E289" s="595"/>
      <c r="F289" s="595"/>
      <c r="G289" s="595"/>
      <c r="H289" s="595"/>
      <c r="I289" s="595"/>
      <c r="J289" s="595"/>
      <c r="K289" s="595"/>
      <c r="L289" s="595"/>
      <c r="M289" s="595"/>
      <c r="N289" s="595"/>
      <c r="O289" s="595"/>
      <c r="P289" s="595"/>
      <c r="Q289" s="595"/>
      <c r="R289" s="595"/>
      <c r="S289" s="595"/>
      <c r="T289" s="595"/>
      <c r="U289" s="595"/>
      <c r="V289" s="595"/>
      <c r="AP289" s="595"/>
      <c r="AQ289" s="595"/>
      <c r="AR289" s="595"/>
      <c r="AS289" s="595"/>
      <c r="AT289" s="595"/>
      <c r="AU289" s="595"/>
      <c r="AV289" s="595"/>
      <c r="AW289" s="595"/>
      <c r="AX289" s="595"/>
      <c r="AY289" s="595"/>
      <c r="AZ289" s="595"/>
      <c r="BA289" s="595"/>
      <c r="BB289" s="595"/>
      <c r="BC289" s="595"/>
      <c r="BD289" s="595"/>
      <c r="BE289" s="595"/>
      <c r="BF289" s="595"/>
      <c r="BG289" s="595"/>
      <c r="BH289" s="595"/>
    </row>
    <row r="290" spans="4:60" s="13" customFormat="1">
      <c r="D290" s="595"/>
      <c r="E290" s="595"/>
      <c r="F290" s="595"/>
      <c r="G290" s="595"/>
      <c r="H290" s="595"/>
      <c r="I290" s="595"/>
      <c r="J290" s="595"/>
      <c r="K290" s="595"/>
      <c r="L290" s="595"/>
      <c r="M290" s="595"/>
      <c r="N290" s="595"/>
      <c r="O290" s="595"/>
      <c r="P290" s="595"/>
      <c r="Q290" s="595"/>
      <c r="R290" s="595"/>
      <c r="S290" s="595"/>
      <c r="T290" s="595"/>
      <c r="U290" s="595"/>
      <c r="V290" s="595"/>
      <c r="AP290" s="595"/>
      <c r="AQ290" s="595"/>
      <c r="AR290" s="595"/>
      <c r="AS290" s="595"/>
      <c r="AT290" s="595"/>
      <c r="AU290" s="595"/>
      <c r="AV290" s="595"/>
      <c r="AW290" s="595"/>
      <c r="AX290" s="595"/>
      <c r="AY290" s="595"/>
      <c r="AZ290" s="595"/>
      <c r="BA290" s="595"/>
      <c r="BB290" s="595"/>
      <c r="BC290" s="595"/>
      <c r="BD290" s="595"/>
      <c r="BE290" s="595"/>
      <c r="BF290" s="595"/>
      <c r="BG290" s="595"/>
      <c r="BH290" s="595"/>
    </row>
    <row r="291" spans="4:60" s="13" customFormat="1">
      <c r="D291" s="595"/>
      <c r="E291" s="595"/>
      <c r="F291" s="595"/>
      <c r="G291" s="595"/>
      <c r="H291" s="595"/>
      <c r="I291" s="595"/>
      <c r="J291" s="595"/>
      <c r="K291" s="595"/>
      <c r="L291" s="595"/>
      <c r="M291" s="595"/>
      <c r="N291" s="595"/>
      <c r="O291" s="595"/>
      <c r="P291" s="595"/>
      <c r="Q291" s="595"/>
      <c r="R291" s="595"/>
      <c r="S291" s="595"/>
      <c r="T291" s="595"/>
      <c r="U291" s="595"/>
      <c r="V291" s="595"/>
      <c r="AP291" s="595"/>
      <c r="AQ291" s="595"/>
      <c r="AR291" s="595"/>
      <c r="AS291" s="595"/>
      <c r="AT291" s="595"/>
      <c r="AU291" s="595"/>
      <c r="AV291" s="595"/>
      <c r="AW291" s="595"/>
      <c r="AX291" s="595"/>
      <c r="AY291" s="595"/>
      <c r="AZ291" s="595"/>
      <c r="BA291" s="595"/>
      <c r="BB291" s="595"/>
      <c r="BC291" s="595"/>
      <c r="BD291" s="595"/>
      <c r="BE291" s="595"/>
      <c r="BF291" s="595"/>
      <c r="BG291" s="595"/>
      <c r="BH291" s="595"/>
    </row>
    <row r="292" spans="4:60" s="13" customFormat="1">
      <c r="D292" s="595"/>
      <c r="E292" s="595"/>
      <c r="F292" s="595"/>
      <c r="G292" s="595"/>
      <c r="H292" s="595"/>
      <c r="I292" s="595"/>
      <c r="J292" s="595"/>
      <c r="K292" s="595"/>
      <c r="L292" s="595"/>
      <c r="M292" s="595"/>
      <c r="N292" s="595"/>
      <c r="O292" s="595"/>
      <c r="P292" s="595"/>
      <c r="Q292" s="595"/>
      <c r="R292" s="595"/>
      <c r="S292" s="595"/>
      <c r="T292" s="595"/>
      <c r="U292" s="595"/>
      <c r="V292" s="595"/>
      <c r="AP292" s="595"/>
      <c r="AQ292" s="595"/>
      <c r="AR292" s="595"/>
      <c r="AS292" s="595"/>
      <c r="AT292" s="595"/>
      <c r="AU292" s="595"/>
      <c r="AV292" s="595"/>
      <c r="AW292" s="595"/>
      <c r="AX292" s="595"/>
      <c r="AY292" s="595"/>
      <c r="AZ292" s="595"/>
      <c r="BA292" s="595"/>
      <c r="BB292" s="595"/>
      <c r="BC292" s="595"/>
      <c r="BD292" s="595"/>
      <c r="BE292" s="595"/>
      <c r="BF292" s="595"/>
      <c r="BG292" s="595"/>
      <c r="BH292" s="595"/>
    </row>
    <row r="293" spans="4:60" s="13" customFormat="1">
      <c r="D293" s="595"/>
      <c r="E293" s="595"/>
      <c r="F293" s="595"/>
      <c r="G293" s="595"/>
      <c r="H293" s="595"/>
      <c r="I293" s="595"/>
      <c r="J293" s="595"/>
      <c r="K293" s="595"/>
      <c r="L293" s="595"/>
      <c r="M293" s="595"/>
      <c r="N293" s="595"/>
      <c r="O293" s="595"/>
      <c r="P293" s="595"/>
      <c r="Q293" s="595"/>
      <c r="R293" s="595"/>
      <c r="S293" s="595"/>
      <c r="T293" s="595"/>
      <c r="U293" s="595"/>
      <c r="V293" s="595"/>
      <c r="AP293" s="595"/>
      <c r="AQ293" s="595"/>
      <c r="AR293" s="595"/>
      <c r="AS293" s="595"/>
      <c r="AT293" s="595"/>
      <c r="AU293" s="595"/>
      <c r="AV293" s="595"/>
      <c r="AW293" s="595"/>
      <c r="AX293" s="595"/>
      <c r="AY293" s="595"/>
      <c r="AZ293" s="595"/>
      <c r="BA293" s="595"/>
      <c r="BB293" s="595"/>
      <c r="BC293" s="595"/>
      <c r="BD293" s="595"/>
      <c r="BE293" s="595"/>
      <c r="BF293" s="595"/>
      <c r="BG293" s="595"/>
      <c r="BH293" s="595"/>
    </row>
    <row r="294" spans="4:60" s="13" customFormat="1">
      <c r="D294" s="595"/>
      <c r="E294" s="595"/>
      <c r="F294" s="595"/>
      <c r="G294" s="595"/>
      <c r="H294" s="595"/>
      <c r="I294" s="595"/>
      <c r="J294" s="595"/>
      <c r="K294" s="595"/>
      <c r="L294" s="595"/>
      <c r="M294" s="595"/>
      <c r="N294" s="595"/>
      <c r="O294" s="595"/>
      <c r="P294" s="595"/>
      <c r="Q294" s="595"/>
      <c r="R294" s="595"/>
      <c r="S294" s="595"/>
      <c r="T294" s="595"/>
      <c r="U294" s="595"/>
      <c r="V294" s="595"/>
      <c r="AP294" s="595"/>
      <c r="AQ294" s="595"/>
      <c r="AR294" s="595"/>
      <c r="AS294" s="595"/>
      <c r="AT294" s="595"/>
      <c r="AU294" s="595"/>
      <c r="AV294" s="595"/>
      <c r="AW294" s="595"/>
      <c r="AX294" s="595"/>
      <c r="AY294" s="595"/>
      <c r="AZ294" s="595"/>
      <c r="BA294" s="595"/>
      <c r="BB294" s="595"/>
      <c r="BC294" s="595"/>
      <c r="BD294" s="595"/>
      <c r="BE294" s="595"/>
      <c r="BF294" s="595"/>
      <c r="BG294" s="595"/>
      <c r="BH294" s="595"/>
    </row>
    <row r="295" spans="4:60" s="13" customFormat="1">
      <c r="D295" s="595"/>
      <c r="E295" s="595"/>
      <c r="F295" s="595"/>
      <c r="G295" s="595"/>
      <c r="H295" s="595"/>
      <c r="I295" s="595"/>
      <c r="J295" s="595"/>
      <c r="K295" s="595"/>
      <c r="L295" s="595"/>
      <c r="M295" s="595"/>
      <c r="N295" s="595"/>
      <c r="O295" s="595"/>
      <c r="P295" s="595"/>
      <c r="Q295" s="595"/>
      <c r="R295" s="595"/>
      <c r="S295" s="595"/>
      <c r="T295" s="595"/>
      <c r="U295" s="595"/>
      <c r="V295" s="595"/>
      <c r="AP295" s="595"/>
      <c r="AQ295" s="595"/>
      <c r="AR295" s="595"/>
      <c r="AS295" s="595"/>
      <c r="AT295" s="595"/>
      <c r="AU295" s="595"/>
      <c r="AV295" s="595"/>
      <c r="AW295" s="595"/>
      <c r="AX295" s="595"/>
      <c r="AY295" s="595"/>
      <c r="AZ295" s="595"/>
      <c r="BA295" s="595"/>
      <c r="BB295" s="595"/>
      <c r="BC295" s="595"/>
      <c r="BD295" s="595"/>
      <c r="BE295" s="595"/>
      <c r="BF295" s="595"/>
      <c r="BG295" s="595"/>
      <c r="BH295" s="595"/>
    </row>
    <row r="296" spans="4:60" s="13" customFormat="1">
      <c r="D296" s="595"/>
      <c r="E296" s="595"/>
      <c r="F296" s="595"/>
      <c r="G296" s="595"/>
      <c r="H296" s="595"/>
      <c r="I296" s="595"/>
      <c r="J296" s="595"/>
      <c r="K296" s="595"/>
      <c r="L296" s="595"/>
      <c r="M296" s="595"/>
      <c r="N296" s="595"/>
      <c r="O296" s="595"/>
      <c r="P296" s="595"/>
      <c r="Q296" s="595"/>
      <c r="R296" s="595"/>
      <c r="S296" s="595"/>
      <c r="T296" s="595"/>
      <c r="U296" s="595"/>
      <c r="V296" s="595"/>
      <c r="AP296" s="595"/>
      <c r="AQ296" s="595"/>
      <c r="AR296" s="595"/>
      <c r="AS296" s="595"/>
      <c r="AT296" s="595"/>
      <c r="AU296" s="595"/>
      <c r="AV296" s="595"/>
      <c r="AW296" s="595"/>
      <c r="AX296" s="595"/>
      <c r="AY296" s="595"/>
      <c r="AZ296" s="595"/>
      <c r="BA296" s="595"/>
      <c r="BB296" s="595"/>
      <c r="BC296" s="595"/>
      <c r="BD296" s="595"/>
      <c r="BE296" s="595"/>
      <c r="BF296" s="595"/>
      <c r="BG296" s="595"/>
      <c r="BH296" s="595"/>
    </row>
    <row r="297" spans="4:60" s="13" customFormat="1">
      <c r="D297" s="595"/>
      <c r="E297" s="595"/>
      <c r="F297" s="595"/>
      <c r="G297" s="595"/>
      <c r="H297" s="595"/>
      <c r="I297" s="595"/>
      <c r="J297" s="595"/>
      <c r="K297" s="595"/>
      <c r="L297" s="595"/>
      <c r="M297" s="595"/>
      <c r="N297" s="595"/>
      <c r="O297" s="595"/>
      <c r="P297" s="595"/>
      <c r="Q297" s="595"/>
      <c r="R297" s="595"/>
      <c r="S297" s="595"/>
      <c r="T297" s="595"/>
      <c r="U297" s="595"/>
      <c r="V297" s="595"/>
      <c r="AP297" s="595"/>
      <c r="AQ297" s="595"/>
      <c r="AR297" s="595"/>
      <c r="AS297" s="595"/>
      <c r="AT297" s="595"/>
      <c r="AU297" s="595"/>
      <c r="AV297" s="595"/>
      <c r="AW297" s="595"/>
      <c r="AX297" s="595"/>
      <c r="AY297" s="595"/>
      <c r="AZ297" s="595"/>
      <c r="BA297" s="595"/>
      <c r="BB297" s="595"/>
      <c r="BC297" s="595"/>
      <c r="BD297" s="595"/>
      <c r="BE297" s="595"/>
      <c r="BF297" s="595"/>
      <c r="BG297" s="595"/>
      <c r="BH297" s="595"/>
    </row>
    <row r="298" spans="4:60" s="13" customFormat="1">
      <c r="D298" s="595"/>
      <c r="E298" s="595"/>
      <c r="F298" s="595"/>
      <c r="G298" s="595"/>
      <c r="H298" s="595"/>
      <c r="I298" s="595"/>
      <c r="J298" s="595"/>
      <c r="K298" s="595"/>
      <c r="L298" s="595"/>
      <c r="M298" s="595"/>
      <c r="N298" s="595"/>
      <c r="O298" s="595"/>
      <c r="P298" s="595"/>
      <c r="Q298" s="595"/>
      <c r="R298" s="595"/>
      <c r="S298" s="595"/>
      <c r="T298" s="595"/>
      <c r="U298" s="595"/>
      <c r="V298" s="595"/>
      <c r="AP298" s="595"/>
      <c r="AQ298" s="595"/>
      <c r="AR298" s="595"/>
      <c r="AS298" s="595"/>
      <c r="AT298" s="595"/>
      <c r="AU298" s="595"/>
      <c r="AV298" s="595"/>
      <c r="AW298" s="595"/>
      <c r="AX298" s="595"/>
      <c r="AY298" s="595"/>
      <c r="AZ298" s="595"/>
      <c r="BA298" s="595"/>
      <c r="BB298" s="595"/>
      <c r="BC298" s="595"/>
      <c r="BD298" s="595"/>
      <c r="BE298" s="595"/>
      <c r="BF298" s="595"/>
      <c r="BG298" s="595"/>
      <c r="BH298" s="595"/>
    </row>
    <row r="299" spans="4:60" s="13" customFormat="1">
      <c r="D299" s="595"/>
      <c r="E299" s="595"/>
      <c r="F299" s="595"/>
      <c r="G299" s="595"/>
      <c r="H299" s="595"/>
      <c r="I299" s="595"/>
      <c r="J299" s="595"/>
      <c r="K299" s="595"/>
      <c r="L299" s="595"/>
      <c r="M299" s="595"/>
      <c r="N299" s="595"/>
      <c r="O299" s="595"/>
      <c r="P299" s="595"/>
      <c r="Q299" s="595"/>
      <c r="R299" s="595"/>
      <c r="S299" s="595"/>
      <c r="T299" s="595"/>
      <c r="U299" s="595"/>
      <c r="V299" s="595"/>
      <c r="AP299" s="595"/>
      <c r="AQ299" s="595"/>
      <c r="AR299" s="595"/>
      <c r="AS299" s="595"/>
      <c r="AT299" s="595"/>
      <c r="AU299" s="595"/>
      <c r="AV299" s="595"/>
      <c r="AW299" s="595"/>
      <c r="AX299" s="595"/>
      <c r="AY299" s="595"/>
      <c r="AZ299" s="595"/>
      <c r="BA299" s="595"/>
      <c r="BB299" s="595"/>
      <c r="BC299" s="595"/>
      <c r="BD299" s="595"/>
      <c r="BE299" s="595"/>
      <c r="BF299" s="595"/>
      <c r="BG299" s="595"/>
      <c r="BH299" s="595"/>
    </row>
    <row r="300" spans="4:60" s="13" customFormat="1">
      <c r="D300" s="595"/>
      <c r="E300" s="595"/>
      <c r="F300" s="595"/>
      <c r="G300" s="595"/>
      <c r="H300" s="595"/>
      <c r="I300" s="595"/>
      <c r="J300" s="595"/>
      <c r="K300" s="595"/>
      <c r="L300" s="595"/>
      <c r="M300" s="595"/>
      <c r="N300" s="595"/>
      <c r="O300" s="595"/>
      <c r="P300" s="595"/>
      <c r="Q300" s="595"/>
      <c r="R300" s="595"/>
      <c r="S300" s="595"/>
      <c r="T300" s="595"/>
      <c r="U300" s="595"/>
      <c r="V300" s="595"/>
      <c r="AP300" s="595"/>
      <c r="AQ300" s="595"/>
      <c r="AR300" s="595"/>
      <c r="AS300" s="595"/>
      <c r="AT300" s="595"/>
      <c r="AU300" s="595"/>
      <c r="AV300" s="595"/>
      <c r="AW300" s="595"/>
      <c r="AX300" s="595"/>
      <c r="AY300" s="595"/>
      <c r="AZ300" s="595"/>
      <c r="BA300" s="595"/>
      <c r="BB300" s="595"/>
      <c r="BC300" s="595"/>
      <c r="BD300" s="595"/>
      <c r="BE300" s="595"/>
      <c r="BF300" s="595"/>
      <c r="BG300" s="595"/>
      <c r="BH300" s="595"/>
    </row>
    <row r="301" spans="4:60" s="13" customFormat="1">
      <c r="D301" s="595"/>
      <c r="E301" s="595"/>
      <c r="F301" s="595"/>
      <c r="G301" s="595"/>
      <c r="H301" s="595"/>
      <c r="I301" s="595"/>
      <c r="J301" s="595"/>
      <c r="K301" s="595"/>
      <c r="L301" s="595"/>
      <c r="M301" s="595"/>
      <c r="N301" s="595"/>
      <c r="O301" s="595"/>
      <c r="P301" s="595"/>
      <c r="Q301" s="595"/>
      <c r="R301" s="595"/>
      <c r="S301" s="595"/>
      <c r="T301" s="595"/>
      <c r="U301" s="595"/>
      <c r="V301" s="595"/>
      <c r="AP301" s="595"/>
      <c r="AQ301" s="595"/>
      <c r="AR301" s="595"/>
      <c r="AS301" s="595"/>
      <c r="AT301" s="595"/>
      <c r="AU301" s="595"/>
      <c r="AV301" s="595"/>
      <c r="AW301" s="595"/>
      <c r="AX301" s="595"/>
      <c r="AY301" s="595"/>
      <c r="AZ301" s="595"/>
      <c r="BA301" s="595"/>
      <c r="BB301" s="595"/>
      <c r="BC301" s="595"/>
      <c r="BD301" s="595"/>
      <c r="BE301" s="595"/>
      <c r="BF301" s="595"/>
      <c r="BG301" s="595"/>
      <c r="BH301" s="595"/>
    </row>
    <row r="302" spans="4:60" s="13" customFormat="1">
      <c r="D302" s="595"/>
      <c r="E302" s="595"/>
      <c r="F302" s="595"/>
      <c r="G302" s="595"/>
      <c r="H302" s="595"/>
      <c r="I302" s="595"/>
      <c r="J302" s="595"/>
      <c r="K302" s="595"/>
      <c r="L302" s="595"/>
      <c r="M302" s="595"/>
      <c r="N302" s="595"/>
      <c r="O302" s="595"/>
      <c r="P302" s="595"/>
      <c r="Q302" s="595"/>
      <c r="R302" s="595"/>
      <c r="S302" s="595"/>
      <c r="T302" s="595"/>
      <c r="U302" s="595"/>
      <c r="V302" s="595"/>
      <c r="AP302" s="595"/>
      <c r="AQ302" s="595"/>
      <c r="AR302" s="595"/>
      <c r="AS302" s="595"/>
      <c r="AT302" s="595"/>
      <c r="AU302" s="595"/>
      <c r="AV302" s="595"/>
      <c r="AW302" s="595"/>
      <c r="AX302" s="595"/>
      <c r="AY302" s="595"/>
      <c r="AZ302" s="595"/>
      <c r="BA302" s="595"/>
      <c r="BB302" s="595"/>
      <c r="BC302" s="595"/>
      <c r="BD302" s="595"/>
      <c r="BE302" s="595"/>
      <c r="BF302" s="595"/>
      <c r="BG302" s="595"/>
      <c r="BH302" s="595"/>
    </row>
    <row r="303" spans="4:60" s="13" customFormat="1">
      <c r="D303" s="595"/>
      <c r="E303" s="595"/>
      <c r="F303" s="595"/>
      <c r="G303" s="595"/>
      <c r="H303" s="595"/>
      <c r="I303" s="595"/>
      <c r="J303" s="595"/>
      <c r="K303" s="595"/>
      <c r="L303" s="595"/>
      <c r="M303" s="595"/>
      <c r="N303" s="595"/>
      <c r="O303" s="595"/>
      <c r="P303" s="595"/>
      <c r="Q303" s="595"/>
      <c r="R303" s="595"/>
      <c r="S303" s="595"/>
      <c r="T303" s="595"/>
      <c r="U303" s="595"/>
      <c r="V303" s="595"/>
      <c r="AP303" s="595"/>
      <c r="AQ303" s="595"/>
      <c r="AR303" s="595"/>
      <c r="AS303" s="595"/>
      <c r="AT303" s="595"/>
      <c r="AU303" s="595"/>
      <c r="AV303" s="595"/>
      <c r="AW303" s="595"/>
      <c r="AX303" s="595"/>
      <c r="AY303" s="595"/>
      <c r="AZ303" s="595"/>
      <c r="BA303" s="595"/>
      <c r="BB303" s="595"/>
      <c r="BC303" s="595"/>
      <c r="BD303" s="595"/>
      <c r="BE303" s="595"/>
      <c r="BF303" s="595"/>
      <c r="BG303" s="595"/>
      <c r="BH303" s="595"/>
    </row>
    <row r="304" spans="4:60" s="13" customFormat="1">
      <c r="D304" s="595"/>
      <c r="E304" s="595"/>
      <c r="F304" s="595"/>
      <c r="G304" s="595"/>
      <c r="H304" s="595"/>
      <c r="I304" s="595"/>
      <c r="J304" s="595"/>
      <c r="K304" s="595"/>
      <c r="L304" s="595"/>
      <c r="M304" s="595"/>
      <c r="N304" s="595"/>
      <c r="O304" s="595"/>
      <c r="P304" s="595"/>
      <c r="Q304" s="595"/>
      <c r="R304" s="595"/>
      <c r="S304" s="595"/>
      <c r="T304" s="595"/>
      <c r="U304" s="595"/>
      <c r="V304" s="595"/>
      <c r="AP304" s="595"/>
      <c r="AQ304" s="595"/>
      <c r="AR304" s="595"/>
      <c r="AS304" s="595"/>
      <c r="AT304" s="595"/>
      <c r="AU304" s="595"/>
      <c r="AV304" s="595"/>
      <c r="AW304" s="595"/>
      <c r="AX304" s="595"/>
      <c r="AY304" s="595"/>
      <c r="AZ304" s="595"/>
      <c r="BA304" s="595"/>
      <c r="BB304" s="595"/>
      <c r="BC304" s="595"/>
      <c r="BD304" s="595"/>
      <c r="BE304" s="595"/>
      <c r="BF304" s="595"/>
      <c r="BG304" s="595"/>
      <c r="BH304" s="595"/>
    </row>
    <row r="305" spans="4:60" s="13" customFormat="1">
      <c r="D305" s="595"/>
      <c r="E305" s="595"/>
      <c r="F305" s="595"/>
      <c r="G305" s="595"/>
      <c r="H305" s="595"/>
      <c r="I305" s="595"/>
      <c r="J305" s="595"/>
      <c r="K305" s="595"/>
      <c r="L305" s="595"/>
      <c r="M305" s="595"/>
      <c r="N305" s="595"/>
      <c r="O305" s="595"/>
      <c r="P305" s="595"/>
      <c r="Q305" s="595"/>
      <c r="R305" s="595"/>
      <c r="S305" s="595"/>
      <c r="T305" s="595"/>
      <c r="U305" s="595"/>
      <c r="V305" s="595"/>
      <c r="AP305" s="595"/>
      <c r="AQ305" s="595"/>
      <c r="AR305" s="595"/>
      <c r="AS305" s="595"/>
      <c r="AT305" s="595"/>
      <c r="AU305" s="595"/>
      <c r="AV305" s="595"/>
      <c r="AW305" s="595"/>
      <c r="AX305" s="595"/>
      <c r="AY305" s="595"/>
      <c r="AZ305" s="595"/>
      <c r="BA305" s="595"/>
      <c r="BB305" s="595"/>
      <c r="BC305" s="595"/>
      <c r="BD305" s="595"/>
      <c r="BE305" s="595"/>
      <c r="BF305" s="595"/>
      <c r="BG305" s="595"/>
      <c r="BH305" s="595"/>
    </row>
    <row r="306" spans="4:60" s="13" customFormat="1">
      <c r="D306" s="595"/>
      <c r="E306" s="595"/>
      <c r="F306" s="595"/>
      <c r="G306" s="595"/>
      <c r="H306" s="595"/>
      <c r="I306" s="595"/>
      <c r="J306" s="595"/>
      <c r="K306" s="595"/>
      <c r="L306" s="595"/>
      <c r="M306" s="595"/>
      <c r="N306" s="595"/>
      <c r="O306" s="595"/>
      <c r="P306" s="595"/>
      <c r="Q306" s="595"/>
      <c r="R306" s="595"/>
      <c r="S306" s="595"/>
      <c r="T306" s="595"/>
      <c r="U306" s="595"/>
      <c r="V306" s="595"/>
      <c r="AP306" s="595"/>
      <c r="AQ306" s="595"/>
      <c r="AR306" s="595"/>
      <c r="AS306" s="595"/>
      <c r="AT306" s="595"/>
      <c r="AU306" s="595"/>
      <c r="AV306" s="595"/>
      <c r="AW306" s="595"/>
      <c r="AX306" s="595"/>
      <c r="AY306" s="595"/>
      <c r="AZ306" s="595"/>
      <c r="BA306" s="595"/>
      <c r="BB306" s="595"/>
      <c r="BC306" s="595"/>
      <c r="BD306" s="595"/>
      <c r="BE306" s="595"/>
      <c r="BF306" s="595"/>
      <c r="BG306" s="595"/>
      <c r="BH306" s="595"/>
    </row>
    <row r="307" spans="4:60" s="13" customFormat="1">
      <c r="D307" s="595"/>
      <c r="E307" s="595"/>
      <c r="F307" s="595"/>
      <c r="G307" s="595"/>
      <c r="H307" s="595"/>
      <c r="I307" s="595"/>
      <c r="J307" s="595"/>
      <c r="K307" s="595"/>
      <c r="L307" s="595"/>
      <c r="M307" s="595"/>
      <c r="N307" s="595"/>
      <c r="O307" s="595"/>
      <c r="P307" s="595"/>
      <c r="Q307" s="595"/>
      <c r="R307" s="595"/>
      <c r="S307" s="595"/>
      <c r="T307" s="595"/>
      <c r="U307" s="595"/>
      <c r="V307" s="595"/>
      <c r="AP307" s="595"/>
      <c r="AQ307" s="595"/>
      <c r="AR307" s="595"/>
      <c r="AS307" s="595"/>
      <c r="AT307" s="595"/>
      <c r="AU307" s="595"/>
      <c r="AV307" s="595"/>
      <c r="AW307" s="595"/>
      <c r="AX307" s="595"/>
      <c r="AY307" s="595"/>
      <c r="AZ307" s="595"/>
      <c r="BA307" s="595"/>
      <c r="BB307" s="595"/>
      <c r="BC307" s="595"/>
      <c r="BD307" s="595"/>
      <c r="BE307" s="595"/>
      <c r="BF307" s="595"/>
      <c r="BG307" s="595"/>
      <c r="BH307" s="595"/>
    </row>
    <row r="308" spans="4:60" s="13" customFormat="1">
      <c r="D308" s="595"/>
      <c r="E308" s="595"/>
      <c r="F308" s="595"/>
      <c r="G308" s="595"/>
      <c r="H308" s="595"/>
      <c r="I308" s="595"/>
      <c r="J308" s="595"/>
      <c r="K308" s="595"/>
      <c r="L308" s="595"/>
      <c r="M308" s="595"/>
      <c r="N308" s="595"/>
      <c r="O308" s="595"/>
      <c r="P308" s="595"/>
      <c r="Q308" s="595"/>
      <c r="R308" s="595"/>
      <c r="S308" s="595"/>
      <c r="T308" s="595"/>
      <c r="U308" s="595"/>
      <c r="V308" s="595"/>
      <c r="AP308" s="595"/>
      <c r="AQ308" s="595"/>
      <c r="AR308" s="595"/>
      <c r="AS308" s="595"/>
      <c r="AT308" s="595"/>
      <c r="AU308" s="595"/>
      <c r="AV308" s="595"/>
      <c r="AW308" s="595"/>
      <c r="AX308" s="595"/>
      <c r="AY308" s="595"/>
      <c r="AZ308" s="595"/>
      <c r="BA308" s="595"/>
      <c r="BB308" s="595"/>
      <c r="BC308" s="595"/>
      <c r="BD308" s="595"/>
      <c r="BE308" s="595"/>
      <c r="BF308" s="595"/>
      <c r="BG308" s="595"/>
      <c r="BH308" s="595"/>
    </row>
    <row r="309" spans="4:60" s="13" customFormat="1">
      <c r="D309" s="595"/>
      <c r="E309" s="595"/>
      <c r="F309" s="595"/>
      <c r="G309" s="595"/>
      <c r="H309" s="595"/>
      <c r="I309" s="595"/>
      <c r="J309" s="595"/>
      <c r="K309" s="595"/>
      <c r="L309" s="595"/>
      <c r="M309" s="595"/>
      <c r="N309" s="595"/>
      <c r="O309" s="595"/>
      <c r="P309" s="595"/>
      <c r="Q309" s="595"/>
      <c r="R309" s="595"/>
      <c r="S309" s="595"/>
      <c r="T309" s="595"/>
      <c r="U309" s="595"/>
      <c r="V309" s="595"/>
      <c r="AP309" s="595"/>
      <c r="AQ309" s="595"/>
      <c r="AR309" s="595"/>
      <c r="AS309" s="595"/>
      <c r="AT309" s="595"/>
      <c r="AU309" s="595"/>
      <c r="AV309" s="595"/>
      <c r="AW309" s="595"/>
      <c r="AX309" s="595"/>
      <c r="AY309" s="595"/>
      <c r="AZ309" s="595"/>
      <c r="BA309" s="595"/>
      <c r="BB309" s="595"/>
      <c r="BC309" s="595"/>
      <c r="BD309" s="595"/>
      <c r="BE309" s="595"/>
      <c r="BF309" s="595"/>
      <c r="BG309" s="595"/>
      <c r="BH309" s="595"/>
    </row>
    <row r="310" spans="4:60" s="13" customFormat="1">
      <c r="D310" s="595"/>
      <c r="E310" s="595"/>
      <c r="F310" s="595"/>
      <c r="G310" s="595"/>
      <c r="H310" s="595"/>
      <c r="I310" s="595"/>
      <c r="J310" s="595"/>
      <c r="K310" s="595"/>
      <c r="L310" s="595"/>
      <c r="M310" s="595"/>
      <c r="N310" s="595"/>
      <c r="O310" s="595"/>
      <c r="P310" s="595"/>
      <c r="Q310" s="595"/>
      <c r="R310" s="595"/>
      <c r="S310" s="595"/>
      <c r="T310" s="595"/>
      <c r="U310" s="595"/>
      <c r="V310" s="595"/>
      <c r="AP310" s="595"/>
      <c r="AQ310" s="595"/>
      <c r="AR310" s="595"/>
      <c r="AS310" s="595"/>
      <c r="AT310" s="595"/>
      <c r="AU310" s="595"/>
      <c r="AV310" s="595"/>
      <c r="AW310" s="595"/>
      <c r="AX310" s="595"/>
      <c r="AY310" s="595"/>
      <c r="AZ310" s="595"/>
      <c r="BA310" s="595"/>
      <c r="BB310" s="595"/>
      <c r="BC310" s="595"/>
      <c r="BD310" s="595"/>
      <c r="BE310" s="595"/>
      <c r="BF310" s="595"/>
      <c r="BG310" s="595"/>
      <c r="BH310" s="595"/>
    </row>
    <row r="311" spans="4:60" s="13" customFormat="1">
      <c r="D311" s="595"/>
      <c r="E311" s="595"/>
      <c r="F311" s="595"/>
      <c r="G311" s="595"/>
      <c r="H311" s="595"/>
      <c r="I311" s="595"/>
      <c r="J311" s="595"/>
      <c r="K311" s="595"/>
      <c r="L311" s="595"/>
      <c r="M311" s="595"/>
      <c r="N311" s="595"/>
      <c r="O311" s="595"/>
      <c r="P311" s="595"/>
      <c r="Q311" s="595"/>
      <c r="R311" s="595"/>
      <c r="S311" s="595"/>
      <c r="T311" s="595"/>
      <c r="U311" s="595"/>
      <c r="V311" s="595"/>
      <c r="AP311" s="595"/>
      <c r="AQ311" s="595"/>
      <c r="AR311" s="595"/>
      <c r="AS311" s="595"/>
      <c r="AT311" s="595"/>
      <c r="AU311" s="595"/>
      <c r="AV311" s="595"/>
      <c r="AW311" s="595"/>
      <c r="AX311" s="595"/>
      <c r="AY311" s="595"/>
      <c r="AZ311" s="595"/>
      <c r="BA311" s="595"/>
      <c r="BB311" s="595"/>
      <c r="BC311" s="595"/>
      <c r="BD311" s="595"/>
      <c r="BE311" s="595"/>
      <c r="BF311" s="595"/>
      <c r="BG311" s="595"/>
      <c r="BH311" s="595"/>
    </row>
    <row r="312" spans="4:60" s="13" customFormat="1">
      <c r="D312" s="595"/>
      <c r="E312" s="595"/>
      <c r="F312" s="595"/>
      <c r="G312" s="595"/>
      <c r="H312" s="595"/>
      <c r="I312" s="595"/>
      <c r="J312" s="595"/>
      <c r="K312" s="595"/>
      <c r="L312" s="595"/>
      <c r="M312" s="595"/>
      <c r="N312" s="595"/>
      <c r="O312" s="595"/>
      <c r="P312" s="595"/>
      <c r="Q312" s="595"/>
      <c r="R312" s="595"/>
      <c r="S312" s="595"/>
      <c r="T312" s="595"/>
      <c r="U312" s="595"/>
      <c r="V312" s="595"/>
      <c r="AP312" s="595"/>
      <c r="AQ312" s="595"/>
      <c r="AR312" s="595"/>
      <c r="AS312" s="595"/>
      <c r="AT312" s="595"/>
      <c r="AU312" s="595"/>
      <c r="AV312" s="595"/>
      <c r="AW312" s="595"/>
      <c r="AX312" s="595"/>
      <c r="AY312" s="595"/>
      <c r="AZ312" s="595"/>
      <c r="BA312" s="595"/>
      <c r="BB312" s="595"/>
      <c r="BC312" s="595"/>
      <c r="BD312" s="595"/>
      <c r="BE312" s="595"/>
      <c r="BF312" s="595"/>
      <c r="BG312" s="595"/>
      <c r="BH312" s="595"/>
    </row>
    <row r="313" spans="4:60" s="13" customFormat="1">
      <c r="D313" s="595"/>
      <c r="E313" s="595"/>
      <c r="F313" s="595"/>
      <c r="G313" s="595"/>
      <c r="H313" s="595"/>
      <c r="I313" s="595"/>
      <c r="J313" s="595"/>
      <c r="K313" s="595"/>
      <c r="L313" s="595"/>
      <c r="M313" s="595"/>
      <c r="N313" s="595"/>
      <c r="O313" s="595"/>
      <c r="P313" s="595"/>
      <c r="Q313" s="595"/>
      <c r="R313" s="595"/>
      <c r="S313" s="595"/>
      <c r="T313" s="595"/>
      <c r="U313" s="595"/>
      <c r="V313" s="595"/>
      <c r="AP313" s="595"/>
      <c r="AQ313" s="595"/>
      <c r="AR313" s="595"/>
      <c r="AS313" s="595"/>
      <c r="AT313" s="595"/>
      <c r="AU313" s="595"/>
      <c r="AV313" s="595"/>
      <c r="AW313" s="595"/>
      <c r="AX313" s="595"/>
      <c r="AY313" s="595"/>
      <c r="AZ313" s="595"/>
      <c r="BA313" s="595"/>
      <c r="BB313" s="595"/>
      <c r="BC313" s="595"/>
      <c r="BD313" s="595"/>
      <c r="BE313" s="595"/>
      <c r="BF313" s="595"/>
      <c r="BG313" s="595"/>
      <c r="BH313" s="595"/>
    </row>
    <row r="314" spans="4:60" s="13" customFormat="1">
      <c r="D314" s="595"/>
      <c r="E314" s="595"/>
      <c r="F314" s="595"/>
      <c r="G314" s="595"/>
      <c r="H314" s="595"/>
      <c r="I314" s="595"/>
      <c r="J314" s="595"/>
      <c r="K314" s="595"/>
      <c r="L314" s="595"/>
      <c r="M314" s="595"/>
      <c r="N314" s="595"/>
      <c r="O314" s="595"/>
      <c r="P314" s="595"/>
      <c r="Q314" s="595"/>
      <c r="R314" s="595"/>
      <c r="S314" s="595"/>
      <c r="T314" s="595"/>
      <c r="U314" s="595"/>
      <c r="V314" s="595"/>
      <c r="AP314" s="595"/>
      <c r="AQ314" s="595"/>
      <c r="AR314" s="595"/>
      <c r="AS314" s="595"/>
      <c r="AT314" s="595"/>
      <c r="AU314" s="595"/>
      <c r="AV314" s="595"/>
      <c r="AW314" s="595"/>
      <c r="AX314" s="595"/>
      <c r="AY314" s="595"/>
      <c r="AZ314" s="595"/>
      <c r="BA314" s="595"/>
      <c r="BB314" s="595"/>
      <c r="BC314" s="595"/>
      <c r="BD314" s="595"/>
      <c r="BE314" s="595"/>
      <c r="BF314" s="595"/>
      <c r="BG314" s="595"/>
      <c r="BH314" s="595"/>
    </row>
    <row r="315" spans="4:60" s="13" customFormat="1">
      <c r="D315" s="595"/>
      <c r="E315" s="595"/>
      <c r="F315" s="595"/>
      <c r="G315" s="595"/>
      <c r="H315" s="595"/>
      <c r="I315" s="595"/>
      <c r="J315" s="595"/>
      <c r="K315" s="595"/>
      <c r="L315" s="595"/>
      <c r="M315" s="595"/>
      <c r="N315" s="595"/>
      <c r="O315" s="595"/>
      <c r="P315" s="595"/>
      <c r="Q315" s="595"/>
      <c r="R315" s="595"/>
      <c r="S315" s="595"/>
      <c r="T315" s="595"/>
      <c r="U315" s="595"/>
      <c r="V315" s="595"/>
      <c r="AP315" s="595"/>
      <c r="AQ315" s="595"/>
      <c r="AR315" s="595"/>
      <c r="AS315" s="595"/>
      <c r="AT315" s="595"/>
      <c r="AU315" s="595"/>
      <c r="AV315" s="595"/>
      <c r="AW315" s="595"/>
      <c r="AX315" s="595"/>
      <c r="AY315" s="595"/>
      <c r="AZ315" s="595"/>
      <c r="BA315" s="595"/>
      <c r="BB315" s="595"/>
      <c r="BC315" s="595"/>
      <c r="BD315" s="595"/>
      <c r="BE315" s="595"/>
      <c r="BF315" s="595"/>
      <c r="BG315" s="595"/>
      <c r="BH315" s="595"/>
    </row>
    <row r="316" spans="4:60" s="13" customFormat="1">
      <c r="D316" s="595"/>
      <c r="E316" s="595"/>
      <c r="F316" s="595"/>
      <c r="G316" s="595"/>
      <c r="H316" s="595"/>
      <c r="I316" s="595"/>
      <c r="J316" s="595"/>
      <c r="K316" s="595"/>
      <c r="L316" s="595"/>
      <c r="M316" s="595"/>
      <c r="N316" s="595"/>
      <c r="O316" s="595"/>
      <c r="P316" s="595"/>
      <c r="Q316" s="595"/>
      <c r="R316" s="595"/>
      <c r="S316" s="595"/>
      <c r="T316" s="595"/>
      <c r="U316" s="595"/>
      <c r="V316" s="595"/>
      <c r="AP316" s="595"/>
      <c r="AQ316" s="595"/>
      <c r="AR316" s="595"/>
      <c r="AS316" s="595"/>
      <c r="AT316" s="595"/>
      <c r="AU316" s="595"/>
      <c r="AV316" s="595"/>
      <c r="AW316" s="595"/>
      <c r="AX316" s="595"/>
      <c r="AY316" s="595"/>
      <c r="AZ316" s="595"/>
      <c r="BA316" s="595"/>
      <c r="BB316" s="595"/>
      <c r="BC316" s="595"/>
      <c r="BD316" s="595"/>
      <c r="BE316" s="595"/>
      <c r="BF316" s="595"/>
      <c r="BG316" s="595"/>
      <c r="BH316" s="595"/>
    </row>
    <row r="317" spans="4:60" s="13" customFormat="1">
      <c r="D317" s="595"/>
      <c r="E317" s="595"/>
      <c r="F317" s="595"/>
      <c r="G317" s="595"/>
      <c r="H317" s="595"/>
      <c r="I317" s="595"/>
      <c r="J317" s="595"/>
      <c r="K317" s="595"/>
      <c r="L317" s="595"/>
      <c r="M317" s="595"/>
      <c r="N317" s="595"/>
      <c r="O317" s="595"/>
      <c r="P317" s="595"/>
      <c r="Q317" s="595"/>
      <c r="R317" s="595"/>
      <c r="S317" s="595"/>
      <c r="T317" s="595"/>
      <c r="U317" s="595"/>
      <c r="V317" s="595"/>
      <c r="AP317" s="595"/>
      <c r="AQ317" s="595"/>
      <c r="AR317" s="595"/>
      <c r="AS317" s="595"/>
      <c r="AT317" s="595"/>
      <c r="AU317" s="595"/>
      <c r="AV317" s="595"/>
      <c r="AW317" s="595"/>
      <c r="AX317" s="595"/>
      <c r="AY317" s="595"/>
      <c r="AZ317" s="595"/>
      <c r="BA317" s="595"/>
      <c r="BB317" s="595"/>
      <c r="BC317" s="595"/>
      <c r="BD317" s="595"/>
      <c r="BE317" s="595"/>
      <c r="BF317" s="595"/>
      <c r="BG317" s="595"/>
      <c r="BH317" s="595"/>
    </row>
    <row r="318" spans="4:60" s="13" customFormat="1">
      <c r="D318" s="595"/>
      <c r="E318" s="595"/>
      <c r="F318" s="595"/>
      <c r="G318" s="595"/>
      <c r="H318" s="595"/>
      <c r="I318" s="595"/>
      <c r="J318" s="595"/>
      <c r="K318" s="595"/>
      <c r="L318" s="595"/>
      <c r="M318" s="595"/>
      <c r="N318" s="595"/>
      <c r="O318" s="595"/>
      <c r="P318" s="595"/>
      <c r="Q318" s="595"/>
      <c r="R318" s="595"/>
      <c r="S318" s="595"/>
      <c r="T318" s="595"/>
      <c r="U318" s="595"/>
      <c r="V318" s="595"/>
      <c r="AP318" s="595"/>
      <c r="AQ318" s="595"/>
      <c r="AR318" s="595"/>
      <c r="AS318" s="595"/>
      <c r="AT318" s="595"/>
      <c r="AU318" s="595"/>
      <c r="AV318" s="595"/>
      <c r="AW318" s="595"/>
      <c r="AX318" s="595"/>
      <c r="AY318" s="595"/>
      <c r="AZ318" s="595"/>
      <c r="BA318" s="595"/>
      <c r="BB318" s="595"/>
      <c r="BC318" s="595"/>
      <c r="BD318" s="595"/>
      <c r="BE318" s="595"/>
      <c r="BF318" s="595"/>
      <c r="BG318" s="595"/>
      <c r="BH318" s="595"/>
    </row>
    <row r="319" spans="4:60" s="13" customFormat="1">
      <c r="D319" s="595"/>
      <c r="E319" s="595"/>
      <c r="F319" s="595"/>
      <c r="G319" s="595"/>
      <c r="H319" s="595"/>
      <c r="I319" s="595"/>
      <c r="J319" s="595"/>
      <c r="K319" s="595"/>
      <c r="L319" s="595"/>
      <c r="M319" s="595"/>
      <c r="N319" s="595"/>
      <c r="O319" s="595"/>
      <c r="P319" s="595"/>
      <c r="Q319" s="595"/>
      <c r="R319" s="595"/>
      <c r="S319" s="595"/>
      <c r="T319" s="595"/>
      <c r="U319" s="595"/>
      <c r="V319" s="595"/>
      <c r="AP319" s="595"/>
      <c r="AQ319" s="595"/>
      <c r="AR319" s="595"/>
      <c r="AS319" s="595"/>
      <c r="AT319" s="595"/>
      <c r="AU319" s="595"/>
      <c r="AV319" s="595"/>
      <c r="AW319" s="595"/>
      <c r="AX319" s="595"/>
      <c r="AY319" s="595"/>
      <c r="AZ319" s="595"/>
      <c r="BA319" s="595"/>
      <c r="BB319" s="595"/>
      <c r="BC319" s="595"/>
      <c r="BD319" s="595"/>
      <c r="BE319" s="595"/>
      <c r="BF319" s="595"/>
      <c r="BG319" s="595"/>
      <c r="BH319" s="595"/>
    </row>
    <row r="320" spans="4:60" s="13" customFormat="1">
      <c r="D320" s="595"/>
      <c r="E320" s="595"/>
      <c r="F320" s="595"/>
      <c r="G320" s="595"/>
      <c r="H320" s="595"/>
      <c r="I320" s="595"/>
      <c r="J320" s="595"/>
      <c r="K320" s="595"/>
      <c r="L320" s="595"/>
      <c r="M320" s="595"/>
      <c r="N320" s="595"/>
      <c r="O320" s="595"/>
      <c r="P320" s="595"/>
      <c r="Q320" s="595"/>
      <c r="R320" s="595"/>
      <c r="S320" s="595"/>
      <c r="T320" s="595"/>
      <c r="U320" s="595"/>
      <c r="V320" s="595"/>
      <c r="AP320" s="595"/>
      <c r="AQ320" s="595"/>
      <c r="AR320" s="595"/>
      <c r="AS320" s="595"/>
      <c r="AT320" s="595"/>
      <c r="AU320" s="595"/>
      <c r="AV320" s="595"/>
      <c r="AW320" s="595"/>
      <c r="AX320" s="595"/>
      <c r="AY320" s="595"/>
      <c r="AZ320" s="595"/>
      <c r="BA320" s="595"/>
      <c r="BB320" s="595"/>
      <c r="BC320" s="595"/>
      <c r="BD320" s="595"/>
      <c r="BE320" s="595"/>
      <c r="BF320" s="595"/>
      <c r="BG320" s="595"/>
      <c r="BH320" s="595"/>
    </row>
    <row r="321" spans="4:60" s="13" customFormat="1">
      <c r="D321" s="595"/>
      <c r="E321" s="595"/>
      <c r="F321" s="595"/>
      <c r="G321" s="595"/>
      <c r="H321" s="595"/>
      <c r="I321" s="595"/>
      <c r="J321" s="595"/>
      <c r="K321" s="595"/>
      <c r="L321" s="595"/>
      <c r="M321" s="595"/>
      <c r="N321" s="595"/>
      <c r="O321" s="595"/>
      <c r="P321" s="595"/>
      <c r="Q321" s="595"/>
      <c r="R321" s="595"/>
      <c r="S321" s="595"/>
      <c r="T321" s="595"/>
      <c r="U321" s="595"/>
      <c r="V321" s="595"/>
      <c r="AP321" s="595"/>
      <c r="AQ321" s="595"/>
      <c r="AR321" s="595"/>
      <c r="AS321" s="595"/>
      <c r="AT321" s="595"/>
      <c r="AU321" s="595"/>
      <c r="AV321" s="595"/>
      <c r="AW321" s="595"/>
      <c r="AX321" s="595"/>
      <c r="AY321" s="595"/>
      <c r="AZ321" s="595"/>
      <c r="BA321" s="595"/>
      <c r="BB321" s="595"/>
      <c r="BC321" s="595"/>
      <c r="BD321" s="595"/>
      <c r="BE321" s="595"/>
      <c r="BF321" s="595"/>
      <c r="BG321" s="595"/>
      <c r="BH321" s="595"/>
    </row>
    <row r="322" spans="4:60" s="13" customFormat="1">
      <c r="D322" s="595"/>
      <c r="E322" s="595"/>
      <c r="F322" s="595"/>
      <c r="G322" s="595"/>
      <c r="H322" s="595"/>
      <c r="I322" s="595"/>
      <c r="J322" s="595"/>
      <c r="K322" s="595"/>
      <c r="L322" s="595"/>
      <c r="M322" s="595"/>
      <c r="N322" s="595"/>
      <c r="O322" s="595"/>
      <c r="P322" s="595"/>
      <c r="Q322" s="595"/>
      <c r="R322" s="595"/>
      <c r="S322" s="595"/>
      <c r="T322" s="595"/>
      <c r="U322" s="595"/>
      <c r="V322" s="595"/>
      <c r="AP322" s="595"/>
      <c r="AQ322" s="595"/>
      <c r="AR322" s="595"/>
      <c r="AS322" s="595"/>
      <c r="AT322" s="595"/>
      <c r="AU322" s="595"/>
      <c r="AV322" s="595"/>
      <c r="AW322" s="595"/>
      <c r="AX322" s="595"/>
      <c r="AY322" s="595"/>
      <c r="AZ322" s="595"/>
      <c r="BA322" s="595"/>
      <c r="BB322" s="595"/>
      <c r="BC322" s="595"/>
      <c r="BD322" s="595"/>
      <c r="BE322" s="595"/>
      <c r="BF322" s="595"/>
      <c r="BG322" s="595"/>
      <c r="BH322" s="595"/>
    </row>
    <row r="323" spans="4:60" s="13" customFormat="1">
      <c r="D323" s="595"/>
      <c r="E323" s="595"/>
      <c r="F323" s="595"/>
      <c r="G323" s="595"/>
      <c r="H323" s="595"/>
      <c r="I323" s="595"/>
      <c r="J323" s="595"/>
      <c r="K323" s="595"/>
      <c r="L323" s="595"/>
      <c r="M323" s="595"/>
      <c r="N323" s="595"/>
      <c r="O323" s="595"/>
      <c r="P323" s="595"/>
      <c r="Q323" s="595"/>
      <c r="R323" s="595"/>
      <c r="S323" s="595"/>
      <c r="T323" s="595"/>
      <c r="U323" s="595"/>
      <c r="V323" s="595"/>
      <c r="AP323" s="595"/>
      <c r="AQ323" s="595"/>
      <c r="AR323" s="595"/>
      <c r="AS323" s="595"/>
      <c r="AT323" s="595"/>
      <c r="AU323" s="595"/>
      <c r="AV323" s="595"/>
      <c r="AW323" s="595"/>
      <c r="AX323" s="595"/>
      <c r="AY323" s="595"/>
      <c r="AZ323" s="595"/>
      <c r="BA323" s="595"/>
      <c r="BB323" s="595"/>
      <c r="BC323" s="595"/>
      <c r="BD323" s="595"/>
      <c r="BE323" s="595"/>
      <c r="BF323" s="595"/>
      <c r="BG323" s="595"/>
      <c r="BH323" s="595"/>
    </row>
    <row r="324" spans="4:60" s="13" customFormat="1">
      <c r="D324" s="595"/>
      <c r="E324" s="595"/>
      <c r="F324" s="595"/>
      <c r="G324" s="595"/>
      <c r="H324" s="595"/>
      <c r="I324" s="595"/>
      <c r="J324" s="595"/>
      <c r="K324" s="595"/>
      <c r="L324" s="595"/>
      <c r="M324" s="595"/>
      <c r="N324" s="595"/>
      <c r="O324" s="595"/>
      <c r="P324" s="595"/>
      <c r="Q324" s="595"/>
      <c r="R324" s="595"/>
      <c r="S324" s="595"/>
      <c r="T324" s="595"/>
      <c r="U324" s="595"/>
      <c r="V324" s="595"/>
      <c r="AP324" s="595"/>
      <c r="AQ324" s="595"/>
      <c r="AR324" s="595"/>
      <c r="AS324" s="595"/>
      <c r="AT324" s="595"/>
      <c r="AU324" s="595"/>
      <c r="AV324" s="595"/>
      <c r="AW324" s="595"/>
      <c r="AX324" s="595"/>
      <c r="AY324" s="595"/>
      <c r="AZ324" s="595"/>
      <c r="BA324" s="595"/>
      <c r="BB324" s="595"/>
      <c r="BC324" s="595"/>
      <c r="BD324" s="595"/>
      <c r="BE324" s="595"/>
      <c r="BF324" s="595"/>
      <c r="BG324" s="595"/>
      <c r="BH324" s="595"/>
    </row>
    <row r="325" spans="4:60" s="13" customFormat="1">
      <c r="D325" s="595"/>
      <c r="E325" s="595"/>
      <c r="F325" s="595"/>
      <c r="G325" s="595"/>
      <c r="H325" s="595"/>
      <c r="I325" s="595"/>
      <c r="J325" s="595"/>
      <c r="K325" s="595"/>
      <c r="L325" s="595"/>
      <c r="M325" s="595"/>
      <c r="N325" s="595"/>
      <c r="O325" s="595"/>
      <c r="P325" s="595"/>
      <c r="Q325" s="595"/>
      <c r="R325" s="595"/>
      <c r="S325" s="595"/>
      <c r="T325" s="595"/>
      <c r="U325" s="595"/>
      <c r="V325" s="595"/>
      <c r="AP325" s="595"/>
      <c r="AQ325" s="595"/>
      <c r="AR325" s="595"/>
      <c r="AS325" s="595"/>
      <c r="AT325" s="595"/>
      <c r="AU325" s="595"/>
      <c r="AV325" s="595"/>
      <c r="AW325" s="595"/>
      <c r="AX325" s="595"/>
      <c r="AY325" s="595"/>
      <c r="AZ325" s="595"/>
      <c r="BA325" s="595"/>
      <c r="BB325" s="595"/>
      <c r="BC325" s="595"/>
      <c r="BD325" s="595"/>
      <c r="BE325" s="595"/>
      <c r="BF325" s="595"/>
      <c r="BG325" s="595"/>
      <c r="BH325" s="595"/>
    </row>
    <row r="326" spans="4:60" s="13" customFormat="1">
      <c r="D326" s="595"/>
      <c r="E326" s="595"/>
      <c r="F326" s="595"/>
      <c r="G326" s="595"/>
      <c r="H326" s="595"/>
      <c r="I326" s="595"/>
      <c r="J326" s="595"/>
      <c r="K326" s="595"/>
      <c r="L326" s="595"/>
      <c r="M326" s="595"/>
      <c r="N326" s="595"/>
      <c r="O326" s="595"/>
      <c r="P326" s="595"/>
      <c r="Q326" s="595"/>
      <c r="R326" s="595"/>
      <c r="S326" s="595"/>
      <c r="T326" s="595"/>
      <c r="U326" s="595"/>
      <c r="V326" s="595"/>
      <c r="AP326" s="595"/>
      <c r="AQ326" s="595"/>
      <c r="AR326" s="595"/>
      <c r="AS326" s="595"/>
      <c r="AT326" s="595"/>
      <c r="AU326" s="595"/>
      <c r="AV326" s="595"/>
      <c r="AW326" s="595"/>
      <c r="AX326" s="595"/>
      <c r="AY326" s="595"/>
      <c r="AZ326" s="595"/>
      <c r="BA326" s="595"/>
      <c r="BB326" s="595"/>
      <c r="BC326" s="595"/>
      <c r="BD326" s="595"/>
      <c r="BE326" s="595"/>
      <c r="BF326" s="595"/>
      <c r="BG326" s="595"/>
      <c r="BH326" s="595"/>
    </row>
    <row r="327" spans="4:60" s="13" customFormat="1">
      <c r="D327" s="595"/>
      <c r="E327" s="595"/>
      <c r="F327" s="595"/>
      <c r="G327" s="595"/>
      <c r="H327" s="595"/>
      <c r="I327" s="595"/>
      <c r="J327" s="595"/>
      <c r="K327" s="595"/>
      <c r="L327" s="595"/>
      <c r="M327" s="595"/>
      <c r="N327" s="595"/>
      <c r="O327" s="595"/>
      <c r="P327" s="595"/>
      <c r="Q327" s="595"/>
      <c r="R327" s="595"/>
      <c r="S327" s="595"/>
      <c r="T327" s="595"/>
      <c r="U327" s="595"/>
      <c r="V327" s="595"/>
      <c r="AP327" s="595"/>
      <c r="AQ327" s="595"/>
      <c r="AR327" s="595"/>
      <c r="AS327" s="595"/>
      <c r="AT327" s="595"/>
      <c r="AU327" s="595"/>
      <c r="AV327" s="595"/>
      <c r="AW327" s="595"/>
      <c r="AX327" s="595"/>
      <c r="AY327" s="595"/>
      <c r="AZ327" s="595"/>
      <c r="BA327" s="595"/>
      <c r="BB327" s="595"/>
      <c r="BC327" s="595"/>
      <c r="BD327" s="595"/>
      <c r="BE327" s="595"/>
      <c r="BF327" s="595"/>
      <c r="BG327" s="595"/>
      <c r="BH327" s="595"/>
    </row>
    <row r="328" spans="4:60" s="13" customFormat="1">
      <c r="D328" s="595"/>
      <c r="E328" s="595"/>
      <c r="F328" s="595"/>
      <c r="G328" s="595"/>
      <c r="H328" s="595"/>
      <c r="I328" s="595"/>
      <c r="J328" s="595"/>
      <c r="K328" s="595"/>
      <c r="L328" s="595"/>
      <c r="M328" s="595"/>
      <c r="N328" s="595"/>
      <c r="O328" s="595"/>
      <c r="P328" s="595"/>
      <c r="Q328" s="595"/>
      <c r="R328" s="595"/>
      <c r="S328" s="595"/>
      <c r="T328" s="595"/>
      <c r="U328" s="595"/>
      <c r="V328" s="595"/>
      <c r="AP328" s="595"/>
      <c r="AQ328" s="595"/>
      <c r="AR328" s="595"/>
      <c r="AS328" s="595"/>
      <c r="AT328" s="595"/>
      <c r="AU328" s="595"/>
      <c r="AV328" s="595"/>
      <c r="AW328" s="595"/>
      <c r="AX328" s="595"/>
      <c r="AY328" s="595"/>
      <c r="AZ328" s="595"/>
      <c r="BA328" s="595"/>
      <c r="BB328" s="595"/>
      <c r="BC328" s="595"/>
      <c r="BD328" s="595"/>
      <c r="BE328" s="595"/>
      <c r="BF328" s="595"/>
      <c r="BG328" s="595"/>
      <c r="BH328" s="595"/>
    </row>
    <row r="329" spans="4:60" s="13" customFormat="1">
      <c r="D329" s="595"/>
      <c r="E329" s="595"/>
      <c r="F329" s="595"/>
      <c r="G329" s="595"/>
      <c r="H329" s="595"/>
      <c r="I329" s="595"/>
      <c r="J329" s="595"/>
      <c r="K329" s="595"/>
      <c r="L329" s="595"/>
      <c r="M329" s="595"/>
      <c r="N329" s="595"/>
      <c r="O329" s="595"/>
      <c r="P329" s="595"/>
      <c r="Q329" s="595"/>
      <c r="R329" s="595"/>
      <c r="S329" s="595"/>
      <c r="T329" s="595"/>
      <c r="U329" s="595"/>
      <c r="V329" s="595"/>
      <c r="AP329" s="595"/>
      <c r="AQ329" s="595"/>
      <c r="AR329" s="595"/>
      <c r="AS329" s="595"/>
      <c r="AT329" s="595"/>
      <c r="AU329" s="595"/>
      <c r="AV329" s="595"/>
      <c r="AW329" s="595"/>
      <c r="AX329" s="595"/>
      <c r="AY329" s="595"/>
      <c r="AZ329" s="595"/>
      <c r="BA329" s="595"/>
      <c r="BB329" s="595"/>
      <c r="BC329" s="595"/>
      <c r="BD329" s="595"/>
      <c r="BE329" s="595"/>
      <c r="BF329" s="595"/>
      <c r="BG329" s="595"/>
      <c r="BH329" s="595"/>
    </row>
    <row r="330" spans="4:60" s="13" customFormat="1">
      <c r="D330" s="595"/>
      <c r="E330" s="595"/>
      <c r="F330" s="595"/>
      <c r="G330" s="595"/>
      <c r="H330" s="595"/>
      <c r="I330" s="595"/>
      <c r="J330" s="595"/>
      <c r="K330" s="595"/>
      <c r="L330" s="595"/>
      <c r="M330" s="595"/>
      <c r="N330" s="595"/>
      <c r="O330" s="595"/>
      <c r="P330" s="595"/>
      <c r="Q330" s="595"/>
      <c r="R330" s="595"/>
      <c r="S330" s="595"/>
      <c r="T330" s="595"/>
      <c r="U330" s="595"/>
      <c r="V330" s="595"/>
      <c r="AP330" s="595"/>
      <c r="AQ330" s="595"/>
      <c r="AR330" s="595"/>
      <c r="AS330" s="595"/>
      <c r="AT330" s="595"/>
      <c r="AU330" s="595"/>
      <c r="AV330" s="595"/>
      <c r="AW330" s="595"/>
      <c r="AX330" s="595"/>
      <c r="AY330" s="595"/>
      <c r="AZ330" s="595"/>
      <c r="BA330" s="595"/>
      <c r="BB330" s="595"/>
      <c r="BC330" s="595"/>
      <c r="BD330" s="595"/>
      <c r="BE330" s="595"/>
      <c r="BF330" s="595"/>
      <c r="BG330" s="595"/>
      <c r="BH330" s="595"/>
    </row>
    <row r="331" spans="4:60" s="13" customFormat="1">
      <c r="D331" s="595"/>
      <c r="E331" s="595"/>
      <c r="F331" s="595"/>
      <c r="G331" s="595"/>
      <c r="H331" s="595"/>
      <c r="I331" s="595"/>
      <c r="J331" s="595"/>
      <c r="K331" s="595"/>
      <c r="L331" s="595"/>
      <c r="M331" s="595"/>
      <c r="N331" s="595"/>
      <c r="O331" s="595"/>
      <c r="P331" s="595"/>
      <c r="Q331" s="595"/>
      <c r="R331" s="595"/>
      <c r="S331" s="595"/>
      <c r="T331" s="595"/>
      <c r="U331" s="595"/>
      <c r="V331" s="595"/>
      <c r="AP331" s="595"/>
      <c r="AQ331" s="595"/>
      <c r="AR331" s="595"/>
      <c r="AS331" s="595"/>
      <c r="AT331" s="595"/>
      <c r="AU331" s="595"/>
      <c r="AV331" s="595"/>
      <c r="AW331" s="595"/>
      <c r="AX331" s="595"/>
      <c r="AY331" s="595"/>
      <c r="AZ331" s="595"/>
      <c r="BA331" s="595"/>
      <c r="BB331" s="595"/>
      <c r="BC331" s="595"/>
      <c r="BD331" s="595"/>
      <c r="BE331" s="595"/>
      <c r="BF331" s="595"/>
      <c r="BG331" s="595"/>
      <c r="BH331" s="595"/>
    </row>
    <row r="332" spans="4:60" s="13" customFormat="1">
      <c r="D332" s="595"/>
      <c r="E332" s="595"/>
      <c r="F332" s="595"/>
      <c r="G332" s="595"/>
      <c r="H332" s="595"/>
      <c r="I332" s="595"/>
      <c r="J332" s="595"/>
      <c r="K332" s="595"/>
      <c r="L332" s="595"/>
      <c r="M332" s="595"/>
      <c r="N332" s="595"/>
      <c r="O332" s="595"/>
      <c r="P332" s="595"/>
      <c r="Q332" s="595"/>
      <c r="R332" s="595"/>
      <c r="S332" s="595"/>
      <c r="T332" s="595"/>
      <c r="U332" s="595"/>
      <c r="V332" s="595"/>
      <c r="AP332" s="595"/>
      <c r="AQ332" s="595"/>
      <c r="AR332" s="595"/>
      <c r="AS332" s="595"/>
      <c r="AT332" s="595"/>
      <c r="AU332" s="595"/>
      <c r="AV332" s="595"/>
      <c r="AW332" s="595"/>
      <c r="AX332" s="595"/>
      <c r="AY332" s="595"/>
      <c r="AZ332" s="595"/>
      <c r="BA332" s="595"/>
      <c r="BB332" s="595"/>
      <c r="BC332" s="595"/>
      <c r="BD332" s="595"/>
      <c r="BE332" s="595"/>
      <c r="BF332" s="595"/>
      <c r="BG332" s="595"/>
      <c r="BH332" s="595"/>
    </row>
    <row r="333" spans="4:60" s="13" customFormat="1">
      <c r="D333" s="595"/>
      <c r="E333" s="595"/>
      <c r="F333" s="595"/>
      <c r="G333" s="595"/>
      <c r="H333" s="595"/>
      <c r="I333" s="595"/>
      <c r="J333" s="595"/>
      <c r="K333" s="595"/>
      <c r="L333" s="595"/>
      <c r="M333" s="595"/>
      <c r="N333" s="595"/>
      <c r="O333" s="595"/>
      <c r="P333" s="595"/>
      <c r="Q333" s="595"/>
      <c r="R333" s="595"/>
      <c r="S333" s="595"/>
      <c r="T333" s="595"/>
      <c r="U333" s="595"/>
      <c r="V333" s="595"/>
      <c r="AP333" s="595"/>
      <c r="AQ333" s="595"/>
      <c r="AR333" s="595"/>
      <c r="AS333" s="595"/>
      <c r="AT333" s="595"/>
      <c r="AU333" s="595"/>
      <c r="AV333" s="595"/>
      <c r="AW333" s="595"/>
      <c r="AX333" s="595"/>
      <c r="AY333" s="595"/>
      <c r="AZ333" s="595"/>
      <c r="BA333" s="595"/>
      <c r="BB333" s="595"/>
      <c r="BC333" s="595"/>
      <c r="BD333" s="595"/>
      <c r="BE333" s="595"/>
      <c r="BF333" s="595"/>
      <c r="BG333" s="595"/>
      <c r="BH333" s="595"/>
    </row>
    <row r="334" spans="4:60" s="13" customFormat="1">
      <c r="D334" s="595"/>
      <c r="E334" s="595"/>
      <c r="F334" s="595"/>
      <c r="G334" s="595"/>
      <c r="H334" s="595"/>
      <c r="I334" s="595"/>
      <c r="J334" s="595"/>
      <c r="K334" s="595"/>
      <c r="L334" s="595"/>
      <c r="M334" s="595"/>
      <c r="N334" s="595"/>
      <c r="O334" s="595"/>
      <c r="P334" s="595"/>
      <c r="Q334" s="595"/>
      <c r="R334" s="595"/>
      <c r="S334" s="595"/>
      <c r="T334" s="595"/>
      <c r="U334" s="595"/>
      <c r="V334" s="595"/>
      <c r="AP334" s="595"/>
      <c r="AQ334" s="595"/>
      <c r="AR334" s="595"/>
      <c r="AS334" s="595"/>
      <c r="AT334" s="595"/>
      <c r="AU334" s="595"/>
      <c r="AV334" s="595"/>
      <c r="AW334" s="595"/>
      <c r="AX334" s="595"/>
      <c r="AY334" s="595"/>
      <c r="AZ334" s="595"/>
      <c r="BA334" s="595"/>
      <c r="BB334" s="595"/>
      <c r="BC334" s="595"/>
      <c r="BD334" s="595"/>
      <c r="BE334" s="595"/>
      <c r="BF334" s="595"/>
      <c r="BG334" s="595"/>
      <c r="BH334" s="595"/>
    </row>
    <row r="335" spans="4:60" s="13" customFormat="1">
      <c r="D335" s="595"/>
      <c r="E335" s="595"/>
      <c r="F335" s="595"/>
      <c r="G335" s="595"/>
      <c r="H335" s="595"/>
      <c r="I335" s="595"/>
      <c r="J335" s="595"/>
      <c r="K335" s="595"/>
      <c r="L335" s="595"/>
      <c r="M335" s="595"/>
      <c r="N335" s="595"/>
      <c r="O335" s="595"/>
      <c r="P335" s="595"/>
      <c r="Q335" s="595"/>
      <c r="R335" s="595"/>
      <c r="S335" s="595"/>
      <c r="T335" s="595"/>
      <c r="U335" s="595"/>
      <c r="V335" s="595"/>
      <c r="AP335" s="595"/>
      <c r="AQ335" s="595"/>
      <c r="AR335" s="595"/>
      <c r="AS335" s="595"/>
      <c r="AT335" s="595"/>
      <c r="AU335" s="595"/>
      <c r="AV335" s="595"/>
      <c r="AW335" s="595"/>
      <c r="AX335" s="595"/>
      <c r="AY335" s="595"/>
      <c r="AZ335" s="595"/>
      <c r="BA335" s="595"/>
      <c r="BB335" s="595"/>
      <c r="BC335" s="595"/>
      <c r="BD335" s="595"/>
      <c r="BE335" s="595"/>
      <c r="BF335" s="595"/>
      <c r="BG335" s="595"/>
      <c r="BH335" s="595"/>
    </row>
    <row r="336" spans="4:60" s="13" customFormat="1">
      <c r="D336" s="595"/>
      <c r="E336" s="595"/>
      <c r="F336" s="595"/>
      <c r="G336" s="595"/>
      <c r="H336" s="595"/>
      <c r="I336" s="595"/>
      <c r="J336" s="595"/>
      <c r="K336" s="595"/>
      <c r="L336" s="595"/>
      <c r="M336" s="595"/>
      <c r="N336" s="595"/>
      <c r="O336" s="595"/>
      <c r="P336" s="595"/>
      <c r="Q336" s="595"/>
      <c r="R336" s="595"/>
      <c r="S336" s="595"/>
      <c r="T336" s="595"/>
      <c r="U336" s="595"/>
      <c r="V336" s="595"/>
      <c r="AP336" s="595"/>
      <c r="AQ336" s="595"/>
      <c r="AR336" s="595"/>
      <c r="AS336" s="595"/>
      <c r="AT336" s="595"/>
      <c r="AU336" s="595"/>
      <c r="AV336" s="595"/>
      <c r="AW336" s="595"/>
      <c r="AX336" s="595"/>
      <c r="AY336" s="595"/>
      <c r="AZ336" s="595"/>
      <c r="BA336" s="595"/>
      <c r="BB336" s="595"/>
      <c r="BC336" s="595"/>
      <c r="BD336" s="595"/>
      <c r="BE336" s="595"/>
      <c r="BF336" s="595"/>
      <c r="BG336" s="595"/>
      <c r="BH336" s="595"/>
    </row>
    <row r="337" spans="4:60" s="13" customFormat="1">
      <c r="D337" s="595"/>
      <c r="E337" s="595"/>
      <c r="F337" s="595"/>
      <c r="G337" s="595"/>
      <c r="H337" s="595"/>
      <c r="I337" s="595"/>
      <c r="J337" s="595"/>
      <c r="K337" s="595"/>
      <c r="L337" s="595"/>
      <c r="M337" s="595"/>
      <c r="N337" s="595"/>
      <c r="O337" s="595"/>
      <c r="P337" s="595"/>
      <c r="Q337" s="595"/>
      <c r="R337" s="595"/>
      <c r="S337" s="595"/>
      <c r="T337" s="595"/>
      <c r="U337" s="595"/>
      <c r="V337" s="595"/>
      <c r="AP337" s="595"/>
      <c r="AQ337" s="595"/>
      <c r="AR337" s="595"/>
      <c r="AS337" s="595"/>
      <c r="AT337" s="595"/>
      <c r="AU337" s="595"/>
      <c r="AV337" s="595"/>
      <c r="AW337" s="595"/>
      <c r="AX337" s="595"/>
      <c r="AY337" s="595"/>
      <c r="AZ337" s="595"/>
      <c r="BA337" s="595"/>
      <c r="BB337" s="595"/>
      <c r="BC337" s="595"/>
      <c r="BD337" s="595"/>
      <c r="BE337" s="595"/>
      <c r="BF337" s="595"/>
      <c r="BG337" s="595"/>
      <c r="BH337" s="595"/>
    </row>
    <row r="338" spans="4:60" s="13" customFormat="1">
      <c r="D338" s="595"/>
      <c r="E338" s="595"/>
      <c r="F338" s="595"/>
      <c r="G338" s="595"/>
      <c r="H338" s="595"/>
      <c r="I338" s="595"/>
      <c r="J338" s="595"/>
      <c r="K338" s="595"/>
      <c r="L338" s="595"/>
      <c r="M338" s="595"/>
      <c r="N338" s="595"/>
      <c r="O338" s="595"/>
      <c r="P338" s="595"/>
      <c r="Q338" s="595"/>
      <c r="R338" s="595"/>
      <c r="S338" s="595"/>
      <c r="T338" s="595"/>
      <c r="U338" s="595"/>
      <c r="V338" s="595"/>
      <c r="AP338" s="595"/>
      <c r="AQ338" s="595"/>
      <c r="AR338" s="595"/>
      <c r="AS338" s="595"/>
      <c r="AT338" s="595"/>
      <c r="AU338" s="595"/>
      <c r="AV338" s="595"/>
      <c r="AW338" s="595"/>
      <c r="AX338" s="595"/>
      <c r="AY338" s="595"/>
      <c r="AZ338" s="595"/>
      <c r="BA338" s="595"/>
      <c r="BB338" s="595"/>
      <c r="BC338" s="595"/>
      <c r="BD338" s="595"/>
      <c r="BE338" s="595"/>
      <c r="BF338" s="595"/>
      <c r="BG338" s="595"/>
      <c r="BH338" s="595"/>
    </row>
    <row r="339" spans="4:60" s="13" customFormat="1">
      <c r="D339" s="595"/>
      <c r="E339" s="595"/>
      <c r="F339" s="595"/>
      <c r="G339" s="595"/>
      <c r="H339" s="595"/>
      <c r="I339" s="595"/>
      <c r="J339" s="595"/>
      <c r="K339" s="595"/>
      <c r="L339" s="595"/>
      <c r="M339" s="595"/>
      <c r="N339" s="595"/>
      <c r="O339" s="595"/>
      <c r="P339" s="595"/>
      <c r="Q339" s="595"/>
      <c r="R339" s="595"/>
      <c r="S339" s="595"/>
      <c r="T339" s="595"/>
      <c r="U339" s="595"/>
      <c r="V339" s="595"/>
      <c r="AP339" s="595"/>
      <c r="AQ339" s="595"/>
      <c r="AR339" s="595"/>
      <c r="AS339" s="595"/>
      <c r="AT339" s="595"/>
      <c r="AU339" s="595"/>
      <c r="AV339" s="595"/>
      <c r="AW339" s="595"/>
      <c r="AX339" s="595"/>
      <c r="AY339" s="595"/>
      <c r="AZ339" s="595"/>
      <c r="BA339" s="595"/>
      <c r="BB339" s="595"/>
      <c r="BC339" s="595"/>
      <c r="BD339" s="595"/>
      <c r="BE339" s="595"/>
      <c r="BF339" s="595"/>
      <c r="BG339" s="595"/>
      <c r="BH339" s="595"/>
    </row>
    <row r="340" spans="4:60" s="13" customFormat="1">
      <c r="D340" s="595"/>
      <c r="E340" s="595"/>
      <c r="F340" s="595"/>
      <c r="G340" s="595"/>
      <c r="H340" s="595"/>
      <c r="I340" s="595"/>
      <c r="J340" s="595"/>
      <c r="K340" s="595"/>
      <c r="L340" s="595"/>
      <c r="M340" s="595"/>
      <c r="N340" s="595"/>
      <c r="O340" s="595"/>
      <c r="P340" s="595"/>
      <c r="Q340" s="595"/>
      <c r="R340" s="595"/>
      <c r="S340" s="595"/>
      <c r="T340" s="595"/>
      <c r="U340" s="595"/>
      <c r="V340" s="595"/>
      <c r="AP340" s="595"/>
      <c r="AQ340" s="595"/>
      <c r="AR340" s="595"/>
      <c r="AS340" s="595"/>
      <c r="AT340" s="595"/>
      <c r="AU340" s="595"/>
      <c r="AV340" s="595"/>
      <c r="AW340" s="595"/>
      <c r="AX340" s="595"/>
      <c r="AY340" s="595"/>
      <c r="AZ340" s="595"/>
      <c r="BA340" s="595"/>
      <c r="BB340" s="595"/>
      <c r="BC340" s="595"/>
      <c r="BD340" s="595"/>
      <c r="BE340" s="595"/>
      <c r="BF340" s="595"/>
      <c r="BG340" s="595"/>
      <c r="BH340" s="595"/>
    </row>
    <row r="341" spans="4:60" s="13" customFormat="1">
      <c r="D341" s="595"/>
      <c r="E341" s="595"/>
      <c r="F341" s="595"/>
      <c r="G341" s="595"/>
      <c r="H341" s="595"/>
      <c r="I341" s="595"/>
      <c r="J341" s="595"/>
      <c r="K341" s="595"/>
      <c r="L341" s="595"/>
      <c r="M341" s="595"/>
      <c r="N341" s="595"/>
      <c r="O341" s="595"/>
      <c r="P341" s="595"/>
      <c r="Q341" s="595"/>
      <c r="R341" s="595"/>
      <c r="S341" s="595"/>
      <c r="T341" s="595"/>
      <c r="U341" s="595"/>
      <c r="V341" s="595"/>
      <c r="AP341" s="595"/>
      <c r="AQ341" s="595"/>
      <c r="AR341" s="595"/>
      <c r="AS341" s="595"/>
      <c r="AT341" s="595"/>
      <c r="AU341" s="595"/>
      <c r="AV341" s="595"/>
      <c r="AW341" s="595"/>
      <c r="AX341" s="595"/>
      <c r="AY341" s="595"/>
      <c r="AZ341" s="595"/>
      <c r="BA341" s="595"/>
      <c r="BB341" s="595"/>
      <c r="BC341" s="595"/>
      <c r="BD341" s="595"/>
      <c r="BE341" s="595"/>
      <c r="BF341" s="595"/>
      <c r="BG341" s="595"/>
      <c r="BH341" s="595"/>
    </row>
    <row r="342" spans="4:60" s="13" customFormat="1">
      <c r="D342" s="595"/>
      <c r="E342" s="595"/>
      <c r="F342" s="595"/>
      <c r="G342" s="595"/>
      <c r="H342" s="595"/>
      <c r="I342" s="595"/>
      <c r="J342" s="595"/>
      <c r="K342" s="595"/>
      <c r="L342" s="595"/>
      <c r="M342" s="595"/>
      <c r="N342" s="595"/>
      <c r="O342" s="595"/>
      <c r="P342" s="595"/>
      <c r="Q342" s="595"/>
      <c r="R342" s="595"/>
      <c r="S342" s="595"/>
      <c r="T342" s="595"/>
      <c r="U342" s="595"/>
      <c r="V342" s="595"/>
      <c r="AP342" s="595"/>
      <c r="AQ342" s="595"/>
      <c r="AR342" s="595"/>
      <c r="AS342" s="595"/>
      <c r="AT342" s="595"/>
      <c r="AU342" s="595"/>
      <c r="AV342" s="595"/>
      <c r="AW342" s="595"/>
      <c r="AX342" s="595"/>
      <c r="AY342" s="595"/>
      <c r="AZ342" s="595"/>
      <c r="BA342" s="595"/>
      <c r="BB342" s="595"/>
      <c r="BC342" s="595"/>
      <c r="BD342" s="595"/>
      <c r="BE342" s="595"/>
      <c r="BF342" s="595"/>
      <c r="BG342" s="595"/>
      <c r="BH342" s="595"/>
    </row>
    <row r="343" spans="4:60" s="13" customFormat="1">
      <c r="D343" s="595"/>
      <c r="E343" s="595"/>
      <c r="F343" s="595"/>
      <c r="G343" s="595"/>
      <c r="H343" s="595"/>
      <c r="I343" s="595"/>
      <c r="J343" s="595"/>
      <c r="K343" s="595"/>
      <c r="L343" s="595"/>
      <c r="M343" s="595"/>
      <c r="N343" s="595"/>
      <c r="O343" s="595"/>
      <c r="P343" s="595"/>
      <c r="Q343" s="595"/>
      <c r="R343" s="595"/>
      <c r="S343" s="595"/>
      <c r="T343" s="595"/>
      <c r="U343" s="595"/>
      <c r="V343" s="595"/>
      <c r="AP343" s="595"/>
      <c r="AQ343" s="595"/>
      <c r="AR343" s="595"/>
      <c r="AS343" s="595"/>
      <c r="AT343" s="595"/>
      <c r="AU343" s="595"/>
      <c r="AV343" s="595"/>
      <c r="AW343" s="595"/>
      <c r="AX343" s="595"/>
      <c r="AY343" s="595"/>
      <c r="AZ343" s="595"/>
      <c r="BA343" s="595"/>
      <c r="BB343" s="595"/>
      <c r="BC343" s="595"/>
      <c r="BD343" s="595"/>
      <c r="BE343" s="595"/>
      <c r="BF343" s="595"/>
      <c r="BG343" s="595"/>
      <c r="BH343" s="595"/>
    </row>
    <row r="344" spans="4:60" s="13" customFormat="1">
      <c r="D344" s="595"/>
      <c r="E344" s="595"/>
      <c r="F344" s="595"/>
      <c r="G344" s="595"/>
      <c r="H344" s="595"/>
      <c r="I344" s="595"/>
      <c r="J344" s="595"/>
      <c r="K344" s="595"/>
      <c r="L344" s="595"/>
      <c r="M344" s="595"/>
      <c r="N344" s="595"/>
      <c r="O344" s="595"/>
      <c r="P344" s="595"/>
      <c r="Q344" s="595"/>
      <c r="R344" s="595"/>
      <c r="S344" s="595"/>
      <c r="T344" s="595"/>
      <c r="U344" s="595"/>
      <c r="V344" s="595"/>
      <c r="AP344" s="595"/>
      <c r="AQ344" s="595"/>
      <c r="AR344" s="595"/>
      <c r="AS344" s="595"/>
      <c r="AT344" s="595"/>
      <c r="AU344" s="595"/>
      <c r="AV344" s="595"/>
      <c r="AW344" s="595"/>
      <c r="AX344" s="595"/>
      <c r="AY344" s="595"/>
      <c r="AZ344" s="595"/>
      <c r="BA344" s="595"/>
      <c r="BB344" s="595"/>
      <c r="BC344" s="595"/>
      <c r="BD344" s="595"/>
      <c r="BE344" s="595"/>
      <c r="BF344" s="595"/>
      <c r="BG344" s="595"/>
      <c r="BH344" s="595"/>
    </row>
    <row r="345" spans="4:60" s="13" customFormat="1">
      <c r="D345" s="595"/>
      <c r="E345" s="595"/>
      <c r="F345" s="595"/>
      <c r="G345" s="595"/>
      <c r="H345" s="595"/>
      <c r="I345" s="595"/>
      <c r="J345" s="595"/>
      <c r="K345" s="595"/>
      <c r="L345" s="595"/>
      <c r="M345" s="595"/>
      <c r="N345" s="595"/>
      <c r="O345" s="595"/>
      <c r="P345" s="595"/>
      <c r="Q345" s="595"/>
      <c r="R345" s="595"/>
      <c r="S345" s="595"/>
      <c r="T345" s="595"/>
      <c r="U345" s="595"/>
      <c r="V345" s="595"/>
      <c r="AP345" s="595"/>
      <c r="AQ345" s="595"/>
      <c r="AR345" s="595"/>
      <c r="AS345" s="595"/>
      <c r="AT345" s="595"/>
      <c r="AU345" s="595"/>
      <c r="AV345" s="595"/>
      <c r="AW345" s="595"/>
      <c r="AX345" s="595"/>
      <c r="AY345" s="595"/>
      <c r="AZ345" s="595"/>
      <c r="BA345" s="595"/>
      <c r="BB345" s="595"/>
      <c r="BC345" s="595"/>
      <c r="BD345" s="595"/>
      <c r="BE345" s="595"/>
      <c r="BF345" s="595"/>
      <c r="BG345" s="595"/>
      <c r="BH345" s="595"/>
    </row>
    <row r="346" spans="4:60" s="13" customFormat="1">
      <c r="D346" s="595"/>
      <c r="E346" s="595"/>
      <c r="F346" s="595"/>
      <c r="G346" s="595"/>
      <c r="H346" s="595"/>
      <c r="I346" s="595"/>
      <c r="J346" s="595"/>
      <c r="K346" s="595"/>
      <c r="L346" s="595"/>
      <c r="M346" s="595"/>
      <c r="N346" s="595"/>
      <c r="O346" s="595"/>
      <c r="P346" s="595"/>
      <c r="Q346" s="595"/>
      <c r="R346" s="595"/>
      <c r="S346" s="595"/>
      <c r="T346" s="595"/>
      <c r="U346" s="595"/>
      <c r="V346" s="595"/>
      <c r="AP346" s="595"/>
      <c r="AQ346" s="595"/>
      <c r="AR346" s="595"/>
      <c r="AS346" s="595"/>
      <c r="AT346" s="595"/>
      <c r="AU346" s="595"/>
      <c r="AV346" s="595"/>
      <c r="AW346" s="595"/>
      <c r="AX346" s="595"/>
      <c r="AY346" s="595"/>
      <c r="AZ346" s="595"/>
      <c r="BA346" s="595"/>
      <c r="BB346" s="595"/>
      <c r="BC346" s="595"/>
      <c r="BD346" s="595"/>
      <c r="BE346" s="595"/>
      <c r="BF346" s="595"/>
      <c r="BG346" s="595"/>
      <c r="BH346" s="595"/>
    </row>
    <row r="347" spans="4:60" s="13" customFormat="1">
      <c r="D347" s="595"/>
      <c r="E347" s="595"/>
      <c r="F347" s="595"/>
      <c r="G347" s="595"/>
      <c r="H347" s="595"/>
      <c r="I347" s="595"/>
      <c r="J347" s="595"/>
      <c r="K347" s="595"/>
      <c r="L347" s="595"/>
      <c r="M347" s="595"/>
      <c r="N347" s="595"/>
      <c r="O347" s="595"/>
      <c r="P347" s="595"/>
      <c r="Q347" s="595"/>
      <c r="R347" s="595"/>
      <c r="S347" s="595"/>
      <c r="T347" s="595"/>
      <c r="U347" s="595"/>
      <c r="V347" s="595"/>
      <c r="AP347" s="595"/>
      <c r="AQ347" s="595"/>
      <c r="AR347" s="595"/>
      <c r="AS347" s="595"/>
      <c r="AT347" s="595"/>
      <c r="AU347" s="595"/>
      <c r="AV347" s="595"/>
      <c r="AW347" s="595"/>
      <c r="AX347" s="595"/>
      <c r="AY347" s="595"/>
      <c r="AZ347" s="595"/>
      <c r="BA347" s="595"/>
      <c r="BB347" s="595"/>
      <c r="BC347" s="595"/>
      <c r="BD347" s="595"/>
      <c r="BE347" s="595"/>
      <c r="BF347" s="595"/>
      <c r="BG347" s="595"/>
      <c r="BH347" s="595"/>
    </row>
    <row r="348" spans="4:60" s="13" customFormat="1">
      <c r="D348" s="595"/>
      <c r="E348" s="595"/>
      <c r="F348" s="595"/>
      <c r="G348" s="595"/>
      <c r="H348" s="595"/>
      <c r="I348" s="595"/>
      <c r="J348" s="595"/>
      <c r="K348" s="595"/>
      <c r="L348" s="595"/>
      <c r="M348" s="595"/>
      <c r="N348" s="595"/>
      <c r="O348" s="595"/>
      <c r="P348" s="595"/>
      <c r="Q348" s="595"/>
      <c r="R348" s="595"/>
      <c r="S348" s="595"/>
      <c r="T348" s="595"/>
      <c r="U348" s="595"/>
      <c r="V348" s="595"/>
      <c r="AP348" s="595"/>
      <c r="AQ348" s="595"/>
      <c r="AR348" s="595"/>
      <c r="AS348" s="595"/>
      <c r="AT348" s="595"/>
      <c r="AU348" s="595"/>
      <c r="AV348" s="595"/>
      <c r="AW348" s="595"/>
      <c r="AX348" s="595"/>
      <c r="AY348" s="595"/>
      <c r="AZ348" s="595"/>
      <c r="BA348" s="595"/>
      <c r="BB348" s="595"/>
      <c r="BC348" s="595"/>
      <c r="BD348" s="595"/>
      <c r="BE348" s="595"/>
      <c r="BF348" s="595"/>
      <c r="BG348" s="595"/>
      <c r="BH348" s="595"/>
    </row>
    <row r="349" spans="4:60" s="13" customFormat="1">
      <c r="D349" s="595"/>
      <c r="E349" s="595"/>
      <c r="F349" s="595"/>
      <c r="G349" s="595"/>
      <c r="H349" s="595"/>
      <c r="I349" s="595"/>
      <c r="J349" s="595"/>
      <c r="K349" s="595"/>
      <c r="L349" s="595"/>
      <c r="M349" s="595"/>
      <c r="N349" s="595"/>
      <c r="O349" s="595"/>
      <c r="P349" s="595"/>
      <c r="Q349" s="595"/>
      <c r="R349" s="595"/>
      <c r="S349" s="595"/>
      <c r="T349" s="595"/>
      <c r="U349" s="595"/>
      <c r="V349" s="595"/>
      <c r="AP349" s="595"/>
      <c r="AQ349" s="595"/>
      <c r="AR349" s="595"/>
      <c r="AS349" s="595"/>
      <c r="AT349" s="595"/>
      <c r="AU349" s="595"/>
      <c r="AV349" s="595"/>
      <c r="AW349" s="595"/>
      <c r="AX349" s="595"/>
      <c r="AY349" s="595"/>
      <c r="AZ349" s="595"/>
      <c r="BA349" s="595"/>
      <c r="BB349" s="595"/>
      <c r="BC349" s="595"/>
      <c r="BD349" s="595"/>
      <c r="BE349" s="595"/>
      <c r="BF349" s="595"/>
      <c r="BG349" s="595"/>
      <c r="BH349" s="595"/>
    </row>
    <row r="350" spans="4:60" s="13" customFormat="1">
      <c r="D350" s="595"/>
      <c r="E350" s="595"/>
      <c r="F350" s="595"/>
      <c r="G350" s="595"/>
      <c r="H350" s="595"/>
      <c r="I350" s="595"/>
      <c r="J350" s="595"/>
      <c r="K350" s="595"/>
      <c r="L350" s="595"/>
      <c r="M350" s="595"/>
      <c r="N350" s="595"/>
      <c r="O350" s="595"/>
      <c r="P350" s="595"/>
      <c r="Q350" s="595"/>
      <c r="R350" s="595"/>
      <c r="S350" s="595"/>
      <c r="T350" s="595"/>
      <c r="U350" s="595"/>
      <c r="V350" s="595"/>
      <c r="AP350" s="595"/>
      <c r="AQ350" s="595"/>
      <c r="AR350" s="595"/>
      <c r="AS350" s="595"/>
      <c r="AT350" s="595"/>
      <c r="AU350" s="595"/>
      <c r="AV350" s="595"/>
      <c r="AW350" s="595"/>
      <c r="AX350" s="595"/>
      <c r="AY350" s="595"/>
      <c r="AZ350" s="595"/>
      <c r="BA350" s="595"/>
      <c r="BB350" s="595"/>
      <c r="BC350" s="595"/>
      <c r="BD350" s="595"/>
      <c r="BE350" s="595"/>
      <c r="BF350" s="595"/>
      <c r="BG350" s="595"/>
      <c r="BH350" s="595"/>
    </row>
    <row r="351" spans="4:60" s="13" customFormat="1">
      <c r="D351" s="595"/>
      <c r="E351" s="595"/>
      <c r="F351" s="595"/>
      <c r="G351" s="595"/>
      <c r="H351" s="595"/>
      <c r="I351" s="595"/>
      <c r="J351" s="595"/>
      <c r="K351" s="595"/>
      <c r="L351" s="595"/>
      <c r="M351" s="595"/>
      <c r="N351" s="595"/>
      <c r="O351" s="595"/>
      <c r="P351" s="595"/>
      <c r="Q351" s="595"/>
      <c r="R351" s="595"/>
      <c r="S351" s="595"/>
      <c r="T351" s="595"/>
      <c r="U351" s="595"/>
      <c r="V351" s="595"/>
      <c r="AP351" s="595"/>
      <c r="AQ351" s="595"/>
      <c r="AR351" s="595"/>
      <c r="AS351" s="595"/>
      <c r="AT351" s="595"/>
      <c r="AU351" s="595"/>
      <c r="AV351" s="595"/>
      <c r="AW351" s="595"/>
      <c r="AX351" s="595"/>
      <c r="AY351" s="595"/>
      <c r="AZ351" s="595"/>
      <c r="BA351" s="595"/>
      <c r="BB351" s="595"/>
      <c r="BC351" s="595"/>
      <c r="BD351" s="595"/>
      <c r="BE351" s="595"/>
      <c r="BF351" s="595"/>
      <c r="BG351" s="595"/>
      <c r="BH351" s="595"/>
    </row>
    <row r="352" spans="4:60" s="13" customFormat="1">
      <c r="D352" s="595"/>
      <c r="E352" s="595"/>
      <c r="F352" s="595"/>
      <c r="G352" s="595"/>
      <c r="H352" s="595"/>
      <c r="I352" s="595"/>
      <c r="J352" s="595"/>
      <c r="K352" s="595"/>
      <c r="L352" s="595"/>
      <c r="M352" s="595"/>
      <c r="N352" s="595"/>
      <c r="O352" s="595"/>
      <c r="P352" s="595"/>
      <c r="Q352" s="595"/>
      <c r="R352" s="595"/>
      <c r="S352" s="595"/>
      <c r="T352" s="595"/>
      <c r="U352" s="595"/>
      <c r="V352" s="595"/>
      <c r="AP352" s="595"/>
      <c r="AQ352" s="595"/>
      <c r="AR352" s="595"/>
      <c r="AS352" s="595"/>
      <c r="AT352" s="595"/>
      <c r="AU352" s="595"/>
      <c r="AV352" s="595"/>
      <c r="AW352" s="595"/>
      <c r="AX352" s="595"/>
      <c r="AY352" s="595"/>
      <c r="AZ352" s="595"/>
      <c r="BA352" s="595"/>
      <c r="BB352" s="595"/>
      <c r="BC352" s="595"/>
      <c r="BD352" s="595"/>
      <c r="BE352" s="595"/>
      <c r="BF352" s="595"/>
      <c r="BG352" s="595"/>
      <c r="BH352" s="595"/>
    </row>
    <row r="353" spans="4:60" s="13" customFormat="1">
      <c r="D353" s="595"/>
      <c r="E353" s="595"/>
      <c r="F353" s="595"/>
      <c r="G353" s="595"/>
      <c r="H353" s="595"/>
      <c r="I353" s="595"/>
      <c r="J353" s="595"/>
      <c r="K353" s="595"/>
      <c r="L353" s="595"/>
      <c r="M353" s="595"/>
      <c r="N353" s="595"/>
      <c r="O353" s="595"/>
      <c r="P353" s="595"/>
      <c r="Q353" s="595"/>
      <c r="R353" s="595"/>
      <c r="S353" s="595"/>
      <c r="T353" s="595"/>
      <c r="U353" s="595"/>
      <c r="V353" s="595"/>
      <c r="AP353" s="595"/>
      <c r="AQ353" s="595"/>
      <c r="AR353" s="595"/>
      <c r="AS353" s="595"/>
      <c r="AT353" s="595"/>
      <c r="AU353" s="595"/>
      <c r="AV353" s="595"/>
      <c r="AW353" s="595"/>
      <c r="AX353" s="595"/>
      <c r="AY353" s="595"/>
      <c r="AZ353" s="595"/>
      <c r="BA353" s="595"/>
      <c r="BB353" s="595"/>
      <c r="BC353" s="595"/>
      <c r="BD353" s="595"/>
      <c r="BE353" s="595"/>
      <c r="BF353" s="595"/>
      <c r="BG353" s="595"/>
      <c r="BH353" s="595"/>
    </row>
    <row r="354" spans="4:60" s="13" customFormat="1">
      <c r="D354" s="595"/>
      <c r="E354" s="595"/>
      <c r="F354" s="595"/>
      <c r="G354" s="595"/>
      <c r="H354" s="595"/>
      <c r="I354" s="595"/>
      <c r="J354" s="595"/>
      <c r="K354" s="595"/>
      <c r="L354" s="595"/>
      <c r="M354" s="595"/>
      <c r="N354" s="595"/>
      <c r="O354" s="595"/>
      <c r="P354" s="595"/>
      <c r="Q354" s="595"/>
      <c r="R354" s="595"/>
      <c r="S354" s="595"/>
      <c r="T354" s="595"/>
      <c r="U354" s="595"/>
      <c r="V354" s="595"/>
      <c r="AP354" s="595"/>
      <c r="AQ354" s="595"/>
      <c r="AR354" s="595"/>
      <c r="AS354" s="595"/>
      <c r="AT354" s="595"/>
      <c r="AU354" s="595"/>
      <c r="AV354" s="595"/>
      <c r="AW354" s="595"/>
      <c r="AX354" s="595"/>
      <c r="AY354" s="595"/>
      <c r="AZ354" s="595"/>
      <c r="BA354" s="595"/>
      <c r="BB354" s="595"/>
      <c r="BC354" s="595"/>
      <c r="BD354" s="595"/>
      <c r="BE354" s="595"/>
      <c r="BF354" s="595"/>
      <c r="BG354" s="595"/>
      <c r="BH354" s="595"/>
    </row>
    <row r="355" spans="4:60" s="13" customFormat="1">
      <c r="D355" s="595"/>
      <c r="E355" s="595"/>
      <c r="F355" s="595"/>
      <c r="G355" s="595"/>
      <c r="H355" s="595"/>
      <c r="I355" s="595"/>
      <c r="J355" s="595"/>
      <c r="K355" s="595"/>
      <c r="L355" s="595"/>
      <c r="M355" s="595"/>
      <c r="N355" s="595"/>
      <c r="O355" s="595"/>
      <c r="P355" s="595"/>
      <c r="Q355" s="595"/>
      <c r="R355" s="595"/>
      <c r="S355" s="595"/>
      <c r="T355" s="595"/>
      <c r="U355" s="595"/>
      <c r="V355" s="595"/>
      <c r="AP355" s="595"/>
      <c r="AQ355" s="595"/>
      <c r="AR355" s="595"/>
      <c r="AS355" s="595"/>
      <c r="AT355" s="595"/>
      <c r="AU355" s="595"/>
      <c r="AV355" s="595"/>
      <c r="AW355" s="595"/>
      <c r="AX355" s="595"/>
      <c r="AY355" s="595"/>
      <c r="AZ355" s="595"/>
      <c r="BA355" s="595"/>
      <c r="BB355" s="595"/>
      <c r="BC355" s="595"/>
      <c r="BD355" s="595"/>
      <c r="BE355" s="595"/>
      <c r="BF355" s="595"/>
      <c r="BG355" s="595"/>
      <c r="BH355" s="595"/>
    </row>
    <row r="356" spans="4:60" s="13" customFormat="1">
      <c r="D356" s="595"/>
      <c r="E356" s="595"/>
      <c r="F356" s="595"/>
      <c r="G356" s="595"/>
      <c r="H356" s="595"/>
      <c r="I356" s="595"/>
      <c r="J356" s="595"/>
      <c r="K356" s="595"/>
      <c r="L356" s="595"/>
      <c r="M356" s="595"/>
      <c r="N356" s="595"/>
      <c r="O356" s="595"/>
      <c r="P356" s="595"/>
      <c r="Q356" s="595"/>
      <c r="R356" s="595"/>
      <c r="S356" s="595"/>
      <c r="T356" s="595"/>
      <c r="U356" s="595"/>
      <c r="V356" s="595"/>
      <c r="AP356" s="595"/>
      <c r="AQ356" s="595"/>
      <c r="AR356" s="595"/>
      <c r="AS356" s="595"/>
      <c r="AT356" s="595"/>
      <c r="AU356" s="595"/>
      <c r="AV356" s="595"/>
      <c r="AW356" s="595"/>
      <c r="AX356" s="595"/>
      <c r="AY356" s="595"/>
      <c r="AZ356" s="595"/>
      <c r="BA356" s="595"/>
      <c r="BB356" s="595"/>
      <c r="BC356" s="595"/>
      <c r="BD356" s="595"/>
      <c r="BE356" s="595"/>
      <c r="BF356" s="595"/>
      <c r="BG356" s="595"/>
      <c r="BH356" s="595"/>
    </row>
    <row r="357" spans="4:60" s="13" customFormat="1">
      <c r="D357" s="595"/>
      <c r="E357" s="595"/>
      <c r="F357" s="595"/>
      <c r="G357" s="595"/>
      <c r="H357" s="595"/>
      <c r="I357" s="595"/>
      <c r="J357" s="595"/>
      <c r="K357" s="595"/>
      <c r="L357" s="595"/>
      <c r="M357" s="595"/>
      <c r="N357" s="595"/>
      <c r="O357" s="595"/>
      <c r="P357" s="595"/>
      <c r="Q357" s="595"/>
      <c r="R357" s="595"/>
      <c r="S357" s="595"/>
      <c r="T357" s="595"/>
      <c r="U357" s="595"/>
      <c r="V357" s="595"/>
      <c r="AP357" s="595"/>
      <c r="AQ357" s="595"/>
      <c r="AR357" s="595"/>
      <c r="AS357" s="595"/>
      <c r="AT357" s="595"/>
      <c r="AU357" s="595"/>
      <c r="AV357" s="595"/>
      <c r="AW357" s="595"/>
      <c r="AX357" s="595"/>
      <c r="AY357" s="595"/>
      <c r="AZ357" s="595"/>
      <c r="BA357" s="595"/>
      <c r="BB357" s="595"/>
      <c r="BC357" s="595"/>
      <c r="BD357" s="595"/>
      <c r="BE357" s="595"/>
      <c r="BF357" s="595"/>
      <c r="BG357" s="595"/>
      <c r="BH357" s="595"/>
    </row>
    <row r="358" spans="4:60" s="13" customFormat="1">
      <c r="D358" s="595"/>
      <c r="E358" s="595"/>
      <c r="F358" s="595"/>
      <c r="G358" s="595"/>
      <c r="H358" s="595"/>
      <c r="I358" s="595"/>
      <c r="J358" s="595"/>
      <c r="K358" s="595"/>
      <c r="L358" s="595"/>
      <c r="M358" s="595"/>
      <c r="N358" s="595"/>
      <c r="O358" s="595"/>
      <c r="P358" s="595"/>
      <c r="Q358" s="595"/>
      <c r="R358" s="595"/>
      <c r="S358" s="595"/>
      <c r="T358" s="595"/>
      <c r="U358" s="595"/>
      <c r="V358" s="595"/>
      <c r="AP358" s="595"/>
      <c r="AQ358" s="595"/>
      <c r="AR358" s="595"/>
      <c r="AS358" s="595"/>
      <c r="AT358" s="595"/>
      <c r="AU358" s="595"/>
      <c r="AV358" s="595"/>
      <c r="AW358" s="595"/>
      <c r="AX358" s="595"/>
      <c r="AY358" s="595"/>
      <c r="AZ358" s="595"/>
      <c r="BA358" s="595"/>
      <c r="BB358" s="595"/>
      <c r="BC358" s="595"/>
      <c r="BD358" s="595"/>
      <c r="BE358" s="595"/>
      <c r="BF358" s="595"/>
      <c r="BG358" s="595"/>
      <c r="BH358" s="595"/>
    </row>
    <row r="359" spans="4:60" s="13" customFormat="1">
      <c r="D359" s="595"/>
      <c r="E359" s="595"/>
      <c r="F359" s="595"/>
      <c r="G359" s="595"/>
      <c r="H359" s="595"/>
      <c r="I359" s="595"/>
      <c r="J359" s="595"/>
      <c r="K359" s="595"/>
      <c r="L359" s="595"/>
      <c r="M359" s="595"/>
      <c r="N359" s="595"/>
      <c r="O359" s="595"/>
      <c r="P359" s="595"/>
      <c r="Q359" s="595"/>
      <c r="R359" s="595"/>
      <c r="S359" s="595"/>
      <c r="T359" s="595"/>
      <c r="U359" s="595"/>
      <c r="V359" s="595"/>
      <c r="AP359" s="595"/>
      <c r="AQ359" s="595"/>
      <c r="AR359" s="595"/>
      <c r="AS359" s="595"/>
      <c r="AT359" s="595"/>
      <c r="AU359" s="595"/>
      <c r="AV359" s="595"/>
      <c r="AW359" s="595"/>
      <c r="AX359" s="595"/>
      <c r="AY359" s="595"/>
      <c r="AZ359" s="595"/>
      <c r="BA359" s="595"/>
      <c r="BB359" s="595"/>
      <c r="BC359" s="595"/>
      <c r="BD359" s="595"/>
      <c r="BE359" s="595"/>
      <c r="BF359" s="595"/>
      <c r="BG359" s="595"/>
      <c r="BH359" s="595"/>
    </row>
    <row r="360" spans="4:60" s="13" customFormat="1">
      <c r="D360" s="595"/>
      <c r="E360" s="595"/>
      <c r="F360" s="595"/>
      <c r="G360" s="595"/>
      <c r="H360" s="595"/>
      <c r="I360" s="595"/>
      <c r="J360" s="595"/>
      <c r="K360" s="595"/>
      <c r="L360" s="595"/>
      <c r="M360" s="595"/>
      <c r="N360" s="595"/>
      <c r="O360" s="595"/>
      <c r="P360" s="595"/>
      <c r="Q360" s="595"/>
      <c r="R360" s="595"/>
      <c r="S360" s="595"/>
      <c r="T360" s="595"/>
      <c r="U360" s="595"/>
      <c r="V360" s="595"/>
      <c r="AP360" s="595"/>
      <c r="AQ360" s="595"/>
      <c r="AR360" s="595"/>
      <c r="AS360" s="595"/>
      <c r="AT360" s="595"/>
      <c r="AU360" s="595"/>
      <c r="AV360" s="595"/>
      <c r="AW360" s="595"/>
      <c r="AX360" s="595"/>
      <c r="AY360" s="595"/>
      <c r="AZ360" s="595"/>
      <c r="BA360" s="595"/>
      <c r="BB360" s="595"/>
      <c r="BC360" s="595"/>
      <c r="BD360" s="595"/>
      <c r="BE360" s="595"/>
      <c r="BF360" s="595"/>
      <c r="BG360" s="595"/>
      <c r="BH360" s="595"/>
    </row>
    <row r="361" spans="4:60" s="13" customFormat="1">
      <c r="D361" s="595"/>
      <c r="E361" s="595"/>
      <c r="F361" s="595"/>
      <c r="G361" s="595"/>
      <c r="H361" s="595"/>
      <c r="I361" s="595"/>
      <c r="J361" s="595"/>
      <c r="K361" s="595"/>
      <c r="L361" s="595"/>
      <c r="M361" s="595"/>
      <c r="N361" s="595"/>
      <c r="O361" s="595"/>
      <c r="P361" s="595"/>
      <c r="Q361" s="595"/>
      <c r="R361" s="595"/>
      <c r="S361" s="595"/>
      <c r="T361" s="595"/>
      <c r="U361" s="595"/>
      <c r="V361" s="595"/>
      <c r="AP361" s="595"/>
      <c r="AQ361" s="595"/>
      <c r="AR361" s="595"/>
      <c r="AS361" s="595"/>
      <c r="AT361" s="595"/>
      <c r="AU361" s="595"/>
      <c r="AV361" s="595"/>
      <c r="AW361" s="595"/>
      <c r="AX361" s="595"/>
      <c r="AY361" s="595"/>
      <c r="AZ361" s="595"/>
      <c r="BA361" s="595"/>
      <c r="BB361" s="595"/>
      <c r="BC361" s="595"/>
      <c r="BD361" s="595"/>
      <c r="BE361" s="595"/>
      <c r="BF361" s="595"/>
      <c r="BG361" s="595"/>
      <c r="BH361" s="595"/>
    </row>
    <row r="362" spans="4:60" s="13" customFormat="1">
      <c r="D362" s="595"/>
      <c r="E362" s="595"/>
      <c r="F362" s="595"/>
      <c r="G362" s="595"/>
      <c r="H362" s="595"/>
      <c r="I362" s="595"/>
      <c r="J362" s="595"/>
      <c r="K362" s="595"/>
      <c r="L362" s="595"/>
      <c r="M362" s="595"/>
      <c r="N362" s="595"/>
      <c r="O362" s="595"/>
      <c r="P362" s="595"/>
      <c r="Q362" s="595"/>
      <c r="R362" s="595"/>
      <c r="S362" s="595"/>
      <c r="T362" s="595"/>
      <c r="U362" s="595"/>
      <c r="V362" s="595"/>
      <c r="AP362" s="595"/>
      <c r="AQ362" s="595"/>
      <c r="AR362" s="595"/>
      <c r="AS362" s="595"/>
      <c r="AT362" s="595"/>
      <c r="AU362" s="595"/>
      <c r="AV362" s="595"/>
      <c r="AW362" s="595"/>
      <c r="AX362" s="595"/>
      <c r="AY362" s="595"/>
      <c r="AZ362" s="595"/>
      <c r="BA362" s="595"/>
      <c r="BB362" s="595"/>
      <c r="BC362" s="595"/>
      <c r="BD362" s="595"/>
      <c r="BE362" s="595"/>
      <c r="BF362" s="595"/>
      <c r="BG362" s="595"/>
      <c r="BH362" s="595"/>
    </row>
    <row r="363" spans="4:60" s="13" customFormat="1">
      <c r="D363" s="595"/>
      <c r="E363" s="595"/>
      <c r="F363" s="595"/>
      <c r="G363" s="595"/>
      <c r="H363" s="595"/>
      <c r="I363" s="595"/>
      <c r="J363" s="595"/>
      <c r="K363" s="595"/>
      <c r="L363" s="595"/>
      <c r="M363" s="595"/>
      <c r="N363" s="595"/>
      <c r="O363" s="595"/>
      <c r="P363" s="595"/>
      <c r="Q363" s="595"/>
      <c r="R363" s="595"/>
      <c r="S363" s="595"/>
      <c r="T363" s="595"/>
      <c r="U363" s="595"/>
      <c r="V363" s="595"/>
      <c r="AP363" s="595"/>
      <c r="AQ363" s="595"/>
      <c r="AR363" s="595"/>
      <c r="AS363" s="595"/>
      <c r="AT363" s="595"/>
      <c r="AU363" s="595"/>
      <c r="AV363" s="595"/>
      <c r="AW363" s="595"/>
      <c r="AX363" s="595"/>
      <c r="AY363" s="595"/>
      <c r="AZ363" s="595"/>
      <c r="BA363" s="595"/>
      <c r="BB363" s="595"/>
      <c r="BC363" s="595"/>
      <c r="BD363" s="595"/>
      <c r="BE363" s="595"/>
      <c r="BF363" s="595"/>
      <c r="BG363" s="595"/>
      <c r="BH363" s="595"/>
    </row>
    <row r="364" spans="4:60" s="13" customFormat="1">
      <c r="D364" s="595"/>
      <c r="E364" s="595"/>
      <c r="F364" s="595"/>
      <c r="G364" s="595"/>
      <c r="H364" s="595"/>
      <c r="I364" s="595"/>
      <c r="J364" s="595"/>
      <c r="K364" s="595"/>
      <c r="L364" s="595"/>
      <c r="M364" s="595"/>
      <c r="N364" s="595"/>
      <c r="O364" s="595"/>
      <c r="P364" s="595"/>
      <c r="Q364" s="595"/>
      <c r="R364" s="595"/>
      <c r="S364" s="595"/>
      <c r="T364" s="595"/>
      <c r="U364" s="595"/>
      <c r="V364" s="595"/>
      <c r="AP364" s="595"/>
      <c r="AQ364" s="595"/>
      <c r="AR364" s="595"/>
      <c r="AS364" s="595"/>
      <c r="AT364" s="595"/>
      <c r="AU364" s="595"/>
      <c r="AV364" s="595"/>
      <c r="AW364" s="595"/>
      <c r="AX364" s="595"/>
      <c r="AY364" s="595"/>
      <c r="AZ364" s="595"/>
      <c r="BA364" s="595"/>
      <c r="BB364" s="595"/>
      <c r="BC364" s="595"/>
      <c r="BD364" s="595"/>
      <c r="BE364" s="595"/>
      <c r="BF364" s="595"/>
      <c r="BG364" s="595"/>
      <c r="BH364" s="595"/>
    </row>
    <row r="365" spans="4:60" s="13" customFormat="1">
      <c r="D365" s="595"/>
      <c r="E365" s="595"/>
      <c r="F365" s="595"/>
      <c r="G365" s="595"/>
      <c r="H365" s="595"/>
      <c r="I365" s="595"/>
      <c r="J365" s="595"/>
      <c r="K365" s="595"/>
      <c r="L365" s="595"/>
      <c r="M365" s="595"/>
      <c r="N365" s="595"/>
      <c r="O365" s="595"/>
      <c r="P365" s="595"/>
      <c r="Q365" s="595"/>
      <c r="R365" s="595"/>
      <c r="S365" s="595"/>
      <c r="T365" s="595"/>
      <c r="U365" s="595"/>
      <c r="V365" s="595"/>
      <c r="AP365" s="595"/>
      <c r="AQ365" s="595"/>
      <c r="AR365" s="595"/>
      <c r="AS365" s="595"/>
      <c r="AT365" s="595"/>
      <c r="AU365" s="595"/>
      <c r="AV365" s="595"/>
      <c r="AW365" s="595"/>
      <c r="AX365" s="595"/>
      <c r="AY365" s="595"/>
      <c r="AZ365" s="595"/>
      <c r="BA365" s="595"/>
      <c r="BB365" s="595"/>
      <c r="BC365" s="595"/>
      <c r="BD365" s="595"/>
      <c r="BE365" s="595"/>
      <c r="BF365" s="595"/>
      <c r="BG365" s="595"/>
      <c r="BH365" s="595"/>
    </row>
    <row r="366" spans="4:60" s="13" customFormat="1">
      <c r="D366" s="595"/>
      <c r="E366" s="595"/>
      <c r="F366" s="595"/>
      <c r="G366" s="595"/>
      <c r="H366" s="595"/>
      <c r="I366" s="595"/>
      <c r="J366" s="595"/>
      <c r="K366" s="595"/>
      <c r="L366" s="595"/>
      <c r="M366" s="595"/>
      <c r="N366" s="595"/>
      <c r="O366" s="595"/>
      <c r="P366" s="595"/>
      <c r="Q366" s="595"/>
      <c r="R366" s="595"/>
      <c r="S366" s="595"/>
      <c r="T366" s="595"/>
      <c r="U366" s="595"/>
      <c r="V366" s="595"/>
      <c r="AP366" s="595"/>
      <c r="AQ366" s="595"/>
      <c r="AR366" s="595"/>
      <c r="AS366" s="595"/>
      <c r="AT366" s="595"/>
      <c r="AU366" s="595"/>
      <c r="AV366" s="595"/>
      <c r="AW366" s="595"/>
      <c r="AX366" s="595"/>
      <c r="AY366" s="595"/>
      <c r="AZ366" s="595"/>
      <c r="BA366" s="595"/>
      <c r="BB366" s="595"/>
      <c r="BC366" s="595"/>
      <c r="BD366" s="595"/>
      <c r="BE366" s="595"/>
      <c r="BF366" s="595"/>
      <c r="BG366" s="595"/>
      <c r="BH366" s="595"/>
    </row>
    <row r="367" spans="4:60" s="13" customFormat="1">
      <c r="D367" s="595"/>
      <c r="E367" s="595"/>
      <c r="F367" s="595"/>
      <c r="G367" s="595"/>
      <c r="H367" s="595"/>
      <c r="I367" s="595"/>
      <c r="J367" s="595"/>
      <c r="K367" s="595"/>
      <c r="L367" s="595"/>
      <c r="M367" s="595"/>
      <c r="N367" s="595"/>
      <c r="O367" s="595"/>
      <c r="P367" s="595"/>
      <c r="Q367" s="595"/>
      <c r="R367" s="595"/>
      <c r="S367" s="595"/>
      <c r="T367" s="595"/>
      <c r="U367" s="595"/>
      <c r="V367" s="595"/>
      <c r="AP367" s="595"/>
      <c r="AQ367" s="595"/>
      <c r="AR367" s="595"/>
      <c r="AS367" s="595"/>
      <c r="AT367" s="595"/>
      <c r="AU367" s="595"/>
      <c r="AV367" s="595"/>
      <c r="AW367" s="595"/>
      <c r="AX367" s="595"/>
      <c r="AY367" s="595"/>
      <c r="AZ367" s="595"/>
      <c r="BA367" s="595"/>
      <c r="BB367" s="595"/>
      <c r="BC367" s="595"/>
      <c r="BD367" s="595"/>
      <c r="BE367" s="595"/>
      <c r="BF367" s="595"/>
      <c r="BG367" s="595"/>
      <c r="BH367" s="595"/>
    </row>
    <row r="368" spans="4:60" s="13" customFormat="1">
      <c r="D368" s="595"/>
      <c r="E368" s="595"/>
      <c r="F368" s="595"/>
      <c r="G368" s="595"/>
      <c r="H368" s="595"/>
      <c r="I368" s="595"/>
      <c r="J368" s="595"/>
      <c r="K368" s="595"/>
      <c r="L368" s="595"/>
      <c r="M368" s="595"/>
      <c r="N368" s="595"/>
      <c r="O368" s="595"/>
      <c r="P368" s="595"/>
      <c r="Q368" s="595"/>
      <c r="R368" s="595"/>
      <c r="S368" s="595"/>
      <c r="T368" s="595"/>
      <c r="U368" s="595"/>
      <c r="V368" s="595"/>
      <c r="AP368" s="595"/>
      <c r="AQ368" s="595"/>
      <c r="AR368" s="595"/>
      <c r="AS368" s="595"/>
      <c r="AT368" s="595"/>
      <c r="AU368" s="595"/>
      <c r="AV368" s="595"/>
      <c r="AW368" s="595"/>
      <c r="AX368" s="595"/>
      <c r="AY368" s="595"/>
      <c r="AZ368" s="595"/>
      <c r="BA368" s="595"/>
      <c r="BB368" s="595"/>
      <c r="BC368" s="595"/>
      <c r="BD368" s="595"/>
      <c r="BE368" s="595"/>
      <c r="BF368" s="595"/>
      <c r="BG368" s="595"/>
      <c r="BH368" s="595"/>
    </row>
    <row r="369" spans="4:60" s="13" customFormat="1">
      <c r="D369" s="595"/>
      <c r="E369" s="595"/>
      <c r="F369" s="595"/>
      <c r="G369" s="595"/>
      <c r="H369" s="595"/>
      <c r="I369" s="595"/>
      <c r="J369" s="595"/>
      <c r="K369" s="595"/>
      <c r="L369" s="595"/>
      <c r="M369" s="595"/>
      <c r="N369" s="595"/>
      <c r="O369" s="595"/>
      <c r="P369" s="595"/>
      <c r="Q369" s="595"/>
      <c r="R369" s="595"/>
      <c r="S369" s="595"/>
      <c r="T369" s="595"/>
      <c r="U369" s="595"/>
      <c r="V369" s="595"/>
      <c r="AP369" s="595"/>
      <c r="AQ369" s="595"/>
      <c r="AR369" s="595"/>
      <c r="AS369" s="595"/>
      <c r="AT369" s="595"/>
      <c r="AU369" s="595"/>
      <c r="AV369" s="595"/>
      <c r="AW369" s="595"/>
      <c r="AX369" s="595"/>
      <c r="AY369" s="595"/>
      <c r="AZ369" s="595"/>
      <c r="BA369" s="595"/>
      <c r="BB369" s="595"/>
      <c r="BC369" s="595"/>
      <c r="BD369" s="595"/>
      <c r="BE369" s="595"/>
      <c r="BF369" s="595"/>
      <c r="BG369" s="595"/>
      <c r="BH369" s="595"/>
    </row>
    <row r="370" spans="4:60" s="13" customFormat="1">
      <c r="D370" s="595"/>
      <c r="E370" s="595"/>
      <c r="F370" s="595"/>
      <c r="G370" s="595"/>
      <c r="H370" s="595"/>
      <c r="I370" s="595"/>
      <c r="J370" s="595"/>
      <c r="K370" s="595"/>
      <c r="L370" s="595"/>
      <c r="M370" s="595"/>
      <c r="N370" s="595"/>
      <c r="O370" s="595"/>
      <c r="P370" s="595"/>
      <c r="Q370" s="595"/>
      <c r="R370" s="595"/>
      <c r="S370" s="595"/>
      <c r="T370" s="595"/>
      <c r="U370" s="595"/>
      <c r="V370" s="595"/>
      <c r="AP370" s="595"/>
      <c r="AQ370" s="595"/>
      <c r="AR370" s="595"/>
      <c r="AS370" s="595"/>
      <c r="AT370" s="595"/>
      <c r="AU370" s="595"/>
      <c r="AV370" s="595"/>
      <c r="AW370" s="595"/>
      <c r="AX370" s="595"/>
      <c r="AY370" s="595"/>
      <c r="AZ370" s="595"/>
      <c r="BA370" s="595"/>
      <c r="BB370" s="595"/>
      <c r="BC370" s="595"/>
      <c r="BD370" s="595"/>
      <c r="BE370" s="595"/>
      <c r="BF370" s="595"/>
      <c r="BG370" s="595"/>
      <c r="BH370" s="595"/>
    </row>
    <row r="371" spans="4:60" s="13" customFormat="1">
      <c r="D371" s="595"/>
      <c r="E371" s="595"/>
      <c r="F371" s="595"/>
      <c r="G371" s="595"/>
      <c r="H371" s="595"/>
      <c r="I371" s="595"/>
      <c r="J371" s="595"/>
      <c r="K371" s="595"/>
      <c r="L371" s="595"/>
      <c r="M371" s="595"/>
      <c r="N371" s="595"/>
      <c r="O371" s="595"/>
      <c r="P371" s="595"/>
      <c r="Q371" s="595"/>
      <c r="R371" s="595"/>
      <c r="S371" s="595"/>
      <c r="T371" s="595"/>
      <c r="U371" s="595"/>
      <c r="V371" s="595"/>
      <c r="AP371" s="595"/>
      <c r="AQ371" s="595"/>
      <c r="AR371" s="595"/>
      <c r="AS371" s="595"/>
      <c r="AT371" s="595"/>
      <c r="AU371" s="595"/>
      <c r="AV371" s="595"/>
      <c r="AW371" s="595"/>
      <c r="AX371" s="595"/>
      <c r="AY371" s="595"/>
      <c r="AZ371" s="595"/>
      <c r="BA371" s="595"/>
      <c r="BB371" s="595"/>
      <c r="BC371" s="595"/>
      <c r="BD371" s="595"/>
      <c r="BE371" s="595"/>
      <c r="BF371" s="595"/>
      <c r="BG371" s="595"/>
      <c r="BH371" s="595"/>
    </row>
    <row r="372" spans="4:60" s="13" customFormat="1">
      <c r="D372" s="595"/>
      <c r="E372" s="595"/>
      <c r="F372" s="595"/>
      <c r="G372" s="595"/>
      <c r="H372" s="595"/>
      <c r="I372" s="595"/>
      <c r="J372" s="595"/>
      <c r="K372" s="595"/>
      <c r="L372" s="595"/>
      <c r="M372" s="595"/>
      <c r="N372" s="595"/>
      <c r="O372" s="595"/>
      <c r="P372" s="595"/>
      <c r="Q372" s="595"/>
      <c r="R372" s="595"/>
      <c r="S372" s="595"/>
      <c r="T372" s="595"/>
      <c r="U372" s="595"/>
      <c r="V372" s="595"/>
      <c r="AP372" s="595"/>
      <c r="AQ372" s="595"/>
      <c r="AR372" s="595"/>
      <c r="AS372" s="595"/>
      <c r="AT372" s="595"/>
      <c r="AU372" s="595"/>
      <c r="AV372" s="595"/>
      <c r="AW372" s="595"/>
      <c r="AX372" s="595"/>
      <c r="AY372" s="595"/>
      <c r="AZ372" s="595"/>
      <c r="BA372" s="595"/>
      <c r="BB372" s="595"/>
      <c r="BC372" s="595"/>
      <c r="BD372" s="595"/>
      <c r="BE372" s="595"/>
      <c r="BF372" s="595"/>
      <c r="BG372" s="595"/>
      <c r="BH372" s="595"/>
    </row>
    <row r="373" spans="4:60" s="13" customFormat="1">
      <c r="D373" s="595"/>
      <c r="E373" s="595"/>
      <c r="F373" s="595"/>
      <c r="G373" s="595"/>
      <c r="H373" s="595"/>
      <c r="I373" s="595"/>
      <c r="J373" s="595"/>
      <c r="K373" s="595"/>
      <c r="L373" s="595"/>
      <c r="M373" s="595"/>
      <c r="N373" s="595"/>
      <c r="O373" s="595"/>
      <c r="P373" s="595"/>
      <c r="Q373" s="595"/>
      <c r="R373" s="595"/>
      <c r="S373" s="595"/>
      <c r="T373" s="595"/>
      <c r="U373" s="595"/>
      <c r="V373" s="595"/>
      <c r="AP373" s="595"/>
      <c r="AQ373" s="595"/>
      <c r="AR373" s="595"/>
      <c r="AS373" s="595"/>
      <c r="AT373" s="595"/>
      <c r="AU373" s="595"/>
      <c r="AV373" s="595"/>
      <c r="AW373" s="595"/>
      <c r="AX373" s="595"/>
      <c r="AY373" s="595"/>
      <c r="AZ373" s="595"/>
      <c r="BA373" s="595"/>
      <c r="BB373" s="595"/>
      <c r="BC373" s="595"/>
      <c r="BD373" s="595"/>
      <c r="BE373" s="595"/>
      <c r="BF373" s="595"/>
      <c r="BG373" s="595"/>
      <c r="BH373" s="595"/>
    </row>
    <row r="374" spans="4:60" s="13" customFormat="1">
      <c r="D374" s="595"/>
      <c r="E374" s="595"/>
      <c r="F374" s="595"/>
      <c r="G374" s="595"/>
      <c r="H374" s="595"/>
      <c r="I374" s="595"/>
      <c r="J374" s="595"/>
      <c r="K374" s="595"/>
      <c r="L374" s="595"/>
      <c r="M374" s="595"/>
      <c r="N374" s="595"/>
      <c r="O374" s="595"/>
      <c r="P374" s="595"/>
      <c r="Q374" s="595"/>
      <c r="R374" s="595"/>
      <c r="S374" s="595"/>
      <c r="T374" s="595"/>
      <c r="U374" s="595"/>
      <c r="V374" s="595"/>
      <c r="AP374" s="595"/>
      <c r="AQ374" s="595"/>
      <c r="AR374" s="595"/>
      <c r="AS374" s="595"/>
      <c r="AT374" s="595"/>
      <c r="AU374" s="595"/>
      <c r="AV374" s="595"/>
      <c r="AW374" s="595"/>
      <c r="AX374" s="595"/>
      <c r="AY374" s="595"/>
      <c r="AZ374" s="595"/>
      <c r="BA374" s="595"/>
      <c r="BB374" s="595"/>
      <c r="BC374" s="595"/>
      <c r="BD374" s="595"/>
      <c r="BE374" s="595"/>
      <c r="BF374" s="595"/>
      <c r="BG374" s="595"/>
      <c r="BH374" s="595"/>
    </row>
    <row r="375" spans="4:60" s="13" customFormat="1">
      <c r="D375" s="595"/>
      <c r="E375" s="595"/>
      <c r="F375" s="595"/>
      <c r="G375" s="595"/>
      <c r="H375" s="595"/>
      <c r="I375" s="595"/>
      <c r="J375" s="595"/>
      <c r="K375" s="595"/>
      <c r="L375" s="595"/>
      <c r="M375" s="595"/>
      <c r="N375" s="595"/>
      <c r="O375" s="595"/>
      <c r="P375" s="595"/>
      <c r="Q375" s="595"/>
      <c r="R375" s="595"/>
      <c r="S375" s="595"/>
      <c r="T375" s="595"/>
      <c r="U375" s="595"/>
      <c r="V375" s="595"/>
      <c r="AP375" s="595"/>
      <c r="AQ375" s="595"/>
      <c r="AR375" s="595"/>
      <c r="AS375" s="595"/>
      <c r="AT375" s="595"/>
      <c r="AU375" s="595"/>
      <c r="AV375" s="595"/>
      <c r="AW375" s="595"/>
      <c r="AX375" s="595"/>
      <c r="AY375" s="595"/>
      <c r="AZ375" s="595"/>
      <c r="BA375" s="595"/>
      <c r="BB375" s="595"/>
      <c r="BC375" s="595"/>
      <c r="BD375" s="595"/>
      <c r="BE375" s="595"/>
      <c r="BF375" s="595"/>
      <c r="BG375" s="595"/>
      <c r="BH375" s="595"/>
    </row>
    <row r="376" spans="4:60" s="13" customFormat="1">
      <c r="D376" s="595"/>
      <c r="E376" s="595"/>
      <c r="F376" s="595"/>
      <c r="G376" s="595"/>
      <c r="H376" s="595"/>
      <c r="I376" s="595"/>
      <c r="J376" s="595"/>
      <c r="K376" s="595"/>
      <c r="L376" s="595"/>
      <c r="M376" s="595"/>
      <c r="N376" s="595"/>
      <c r="O376" s="595"/>
      <c r="P376" s="595"/>
      <c r="Q376" s="595"/>
      <c r="R376" s="595"/>
      <c r="S376" s="595"/>
      <c r="T376" s="595"/>
      <c r="U376" s="595"/>
      <c r="V376" s="595"/>
      <c r="AP376" s="595"/>
      <c r="AQ376" s="595"/>
      <c r="AR376" s="595"/>
      <c r="AS376" s="595"/>
      <c r="AT376" s="595"/>
      <c r="AU376" s="595"/>
      <c r="AV376" s="595"/>
      <c r="AW376" s="595"/>
      <c r="AX376" s="595"/>
      <c r="AY376" s="595"/>
      <c r="AZ376" s="595"/>
      <c r="BA376" s="595"/>
      <c r="BB376" s="595"/>
      <c r="BC376" s="595"/>
      <c r="BD376" s="595"/>
      <c r="BE376" s="595"/>
      <c r="BF376" s="595"/>
      <c r="BG376" s="595"/>
      <c r="BH376" s="595"/>
    </row>
    <row r="377" spans="4:60" s="13" customFormat="1">
      <c r="D377" s="595"/>
      <c r="E377" s="595"/>
      <c r="F377" s="595"/>
      <c r="G377" s="595"/>
      <c r="H377" s="595"/>
      <c r="I377" s="595"/>
      <c r="J377" s="595"/>
      <c r="K377" s="595"/>
      <c r="L377" s="595"/>
      <c r="M377" s="595"/>
      <c r="N377" s="595"/>
      <c r="O377" s="595"/>
      <c r="P377" s="595"/>
      <c r="Q377" s="595"/>
      <c r="R377" s="595"/>
      <c r="S377" s="595"/>
      <c r="T377" s="595"/>
      <c r="U377" s="595"/>
      <c r="V377" s="595"/>
      <c r="AP377" s="595"/>
      <c r="AQ377" s="595"/>
      <c r="AR377" s="595"/>
      <c r="AS377" s="595"/>
      <c r="AT377" s="595"/>
      <c r="AU377" s="595"/>
      <c r="AV377" s="595"/>
      <c r="AW377" s="595"/>
      <c r="AX377" s="595"/>
      <c r="AY377" s="595"/>
      <c r="AZ377" s="595"/>
      <c r="BA377" s="595"/>
      <c r="BB377" s="595"/>
      <c r="BC377" s="595"/>
      <c r="BD377" s="595"/>
      <c r="BE377" s="595"/>
      <c r="BF377" s="595"/>
      <c r="BG377" s="595"/>
      <c r="BH377" s="595"/>
    </row>
    <row r="378" spans="4:60" s="13" customFormat="1">
      <c r="D378" s="595"/>
      <c r="E378" s="595"/>
      <c r="F378" s="595"/>
      <c r="G378" s="595"/>
      <c r="H378" s="595"/>
      <c r="I378" s="595"/>
      <c r="J378" s="595"/>
      <c r="K378" s="595"/>
      <c r="L378" s="595"/>
      <c r="M378" s="595"/>
      <c r="N378" s="595"/>
      <c r="O378" s="595"/>
      <c r="P378" s="595"/>
      <c r="Q378" s="595"/>
      <c r="R378" s="595"/>
      <c r="S378" s="595"/>
      <c r="T378" s="595"/>
      <c r="U378" s="595"/>
      <c r="V378" s="595"/>
      <c r="AP378" s="595"/>
      <c r="AQ378" s="595"/>
      <c r="AR378" s="595"/>
      <c r="AS378" s="595"/>
      <c r="AT378" s="595"/>
      <c r="AU378" s="595"/>
      <c r="AV378" s="595"/>
      <c r="AW378" s="595"/>
      <c r="AX378" s="595"/>
      <c r="AY378" s="595"/>
      <c r="AZ378" s="595"/>
      <c r="BA378" s="595"/>
      <c r="BB378" s="595"/>
      <c r="BC378" s="595"/>
      <c r="BD378" s="595"/>
      <c r="BE378" s="595"/>
      <c r="BF378" s="595"/>
      <c r="BG378" s="595"/>
      <c r="BH378" s="595"/>
    </row>
    <row r="379" spans="4:60" s="13" customFormat="1">
      <c r="D379" s="595"/>
      <c r="E379" s="595"/>
      <c r="F379" s="595"/>
      <c r="G379" s="595"/>
      <c r="H379" s="595"/>
      <c r="I379" s="595"/>
      <c r="J379" s="595"/>
      <c r="K379" s="595"/>
      <c r="L379" s="595"/>
      <c r="M379" s="595"/>
      <c r="N379" s="595"/>
      <c r="O379" s="595"/>
      <c r="P379" s="595"/>
      <c r="Q379" s="595"/>
      <c r="R379" s="595"/>
      <c r="S379" s="595"/>
      <c r="T379" s="595"/>
      <c r="U379" s="595"/>
      <c r="V379" s="595"/>
      <c r="AP379" s="595"/>
      <c r="AQ379" s="595"/>
      <c r="AR379" s="595"/>
      <c r="AS379" s="595"/>
      <c r="AT379" s="595"/>
      <c r="AU379" s="595"/>
      <c r="AV379" s="595"/>
      <c r="AW379" s="595"/>
      <c r="AX379" s="595"/>
      <c r="AY379" s="595"/>
      <c r="AZ379" s="595"/>
      <c r="BA379" s="595"/>
      <c r="BB379" s="595"/>
      <c r="BC379" s="595"/>
      <c r="BD379" s="595"/>
      <c r="BE379" s="595"/>
      <c r="BF379" s="595"/>
      <c r="BG379" s="595"/>
      <c r="BH379" s="595"/>
    </row>
    <row r="380" spans="4:60" s="13" customFormat="1">
      <c r="D380" s="595"/>
      <c r="E380" s="595"/>
      <c r="F380" s="595"/>
      <c r="G380" s="595"/>
      <c r="H380" s="595"/>
      <c r="I380" s="595"/>
      <c r="J380" s="595"/>
      <c r="K380" s="595"/>
      <c r="L380" s="595"/>
      <c r="M380" s="595"/>
      <c r="N380" s="595"/>
      <c r="O380" s="595"/>
      <c r="P380" s="595"/>
      <c r="Q380" s="595"/>
      <c r="R380" s="595"/>
      <c r="S380" s="595"/>
      <c r="T380" s="595"/>
      <c r="U380" s="595"/>
      <c r="V380" s="595"/>
      <c r="AP380" s="595"/>
      <c r="AQ380" s="595"/>
      <c r="AR380" s="595"/>
      <c r="AS380" s="595"/>
      <c r="AT380" s="595"/>
      <c r="AU380" s="595"/>
      <c r="AV380" s="595"/>
      <c r="AW380" s="595"/>
      <c r="AX380" s="595"/>
      <c r="AY380" s="595"/>
      <c r="AZ380" s="595"/>
      <c r="BA380" s="595"/>
      <c r="BB380" s="595"/>
      <c r="BC380" s="595"/>
      <c r="BD380" s="595"/>
      <c r="BE380" s="595"/>
      <c r="BF380" s="595"/>
      <c r="BG380" s="595"/>
      <c r="BH380" s="595"/>
    </row>
    <row r="381" spans="4:60" s="13" customFormat="1">
      <c r="D381" s="595"/>
      <c r="E381" s="595"/>
      <c r="F381" s="595"/>
      <c r="G381" s="595"/>
      <c r="H381" s="595"/>
      <c r="I381" s="595"/>
      <c r="J381" s="595"/>
      <c r="K381" s="595"/>
      <c r="L381" s="595"/>
      <c r="M381" s="595"/>
      <c r="N381" s="595"/>
      <c r="O381" s="595"/>
      <c r="P381" s="595"/>
      <c r="Q381" s="595"/>
      <c r="R381" s="595"/>
      <c r="S381" s="595"/>
      <c r="T381" s="595"/>
      <c r="U381" s="595"/>
      <c r="V381" s="595"/>
      <c r="AP381" s="595"/>
      <c r="AQ381" s="595"/>
      <c r="AR381" s="595"/>
      <c r="AS381" s="595"/>
      <c r="AT381" s="595"/>
      <c r="AU381" s="595"/>
      <c r="AV381" s="595"/>
      <c r="AW381" s="595"/>
      <c r="AX381" s="595"/>
      <c r="AY381" s="595"/>
      <c r="AZ381" s="595"/>
      <c r="BA381" s="595"/>
      <c r="BB381" s="595"/>
      <c r="BC381" s="595"/>
      <c r="BD381" s="595"/>
      <c r="BE381" s="595"/>
      <c r="BF381" s="595"/>
      <c r="BG381" s="595"/>
      <c r="BH381" s="595"/>
    </row>
    <row r="382" spans="4:60" s="13" customFormat="1">
      <c r="D382" s="595"/>
      <c r="E382" s="595"/>
      <c r="F382" s="595"/>
      <c r="G382" s="595"/>
      <c r="H382" s="595"/>
      <c r="I382" s="595"/>
      <c r="J382" s="595"/>
      <c r="K382" s="595"/>
      <c r="L382" s="595"/>
      <c r="M382" s="595"/>
      <c r="N382" s="595"/>
      <c r="O382" s="595"/>
      <c r="P382" s="595"/>
      <c r="Q382" s="595"/>
      <c r="R382" s="595"/>
      <c r="S382" s="595"/>
      <c r="T382" s="595"/>
      <c r="U382" s="595"/>
      <c r="V382" s="595"/>
      <c r="AP382" s="595"/>
      <c r="AQ382" s="595"/>
      <c r="AR382" s="595"/>
      <c r="AS382" s="595"/>
      <c r="AT382" s="595"/>
      <c r="AU382" s="595"/>
      <c r="AV382" s="595"/>
      <c r="AW382" s="595"/>
      <c r="AX382" s="595"/>
      <c r="AY382" s="595"/>
      <c r="AZ382" s="595"/>
      <c r="BA382" s="595"/>
      <c r="BB382" s="595"/>
      <c r="BC382" s="595"/>
      <c r="BD382" s="595"/>
      <c r="BE382" s="595"/>
      <c r="BF382" s="595"/>
      <c r="BG382" s="595"/>
      <c r="BH382" s="595"/>
    </row>
    <row r="383" spans="4:60" s="13" customFormat="1">
      <c r="D383" s="595"/>
      <c r="E383" s="595"/>
      <c r="F383" s="595"/>
      <c r="G383" s="595"/>
      <c r="H383" s="595"/>
      <c r="I383" s="595"/>
      <c r="J383" s="595"/>
      <c r="K383" s="595"/>
      <c r="L383" s="595"/>
      <c r="M383" s="595"/>
      <c r="N383" s="595"/>
      <c r="O383" s="595"/>
      <c r="P383" s="595"/>
      <c r="Q383" s="595"/>
      <c r="R383" s="595"/>
      <c r="S383" s="595"/>
      <c r="T383" s="595"/>
      <c r="U383" s="595"/>
      <c r="V383" s="595"/>
      <c r="AP383" s="595"/>
      <c r="AQ383" s="595"/>
      <c r="AR383" s="595"/>
      <c r="AS383" s="595"/>
      <c r="AT383" s="595"/>
      <c r="AU383" s="595"/>
      <c r="AV383" s="595"/>
      <c r="AW383" s="595"/>
      <c r="AX383" s="595"/>
      <c r="AY383" s="595"/>
      <c r="AZ383" s="595"/>
      <c r="BA383" s="595"/>
      <c r="BB383" s="595"/>
      <c r="BC383" s="595"/>
      <c r="BD383" s="595"/>
      <c r="BE383" s="595"/>
      <c r="BF383" s="595"/>
      <c r="BG383" s="595"/>
      <c r="BH383" s="595"/>
    </row>
    <row r="384" spans="4:60" s="13" customFormat="1">
      <c r="D384" s="595"/>
      <c r="E384" s="595"/>
      <c r="F384" s="595"/>
      <c r="G384" s="595"/>
      <c r="H384" s="595"/>
      <c r="I384" s="595"/>
      <c r="J384" s="595"/>
      <c r="K384" s="595"/>
      <c r="L384" s="595"/>
      <c r="M384" s="595"/>
      <c r="N384" s="595"/>
      <c r="O384" s="595"/>
      <c r="P384" s="595"/>
      <c r="Q384" s="595"/>
      <c r="R384" s="595"/>
      <c r="S384" s="595"/>
      <c r="T384" s="595"/>
      <c r="U384" s="595"/>
      <c r="V384" s="595"/>
      <c r="AP384" s="595"/>
      <c r="AQ384" s="595"/>
      <c r="AR384" s="595"/>
      <c r="AS384" s="595"/>
      <c r="AT384" s="595"/>
      <c r="AU384" s="595"/>
      <c r="AV384" s="595"/>
      <c r="AW384" s="595"/>
      <c r="AX384" s="595"/>
      <c r="AY384" s="595"/>
      <c r="AZ384" s="595"/>
      <c r="BA384" s="595"/>
      <c r="BB384" s="595"/>
      <c r="BC384" s="595"/>
      <c r="BD384" s="595"/>
      <c r="BE384" s="595"/>
      <c r="BF384" s="595"/>
      <c r="BG384" s="595"/>
      <c r="BH384" s="595"/>
    </row>
    <row r="385" spans="4:60" s="13" customFormat="1">
      <c r="D385" s="595"/>
      <c r="E385" s="595"/>
      <c r="F385" s="595"/>
      <c r="G385" s="595"/>
      <c r="H385" s="595"/>
      <c r="I385" s="595"/>
      <c r="J385" s="595"/>
      <c r="K385" s="595"/>
      <c r="L385" s="595"/>
      <c r="M385" s="595"/>
      <c r="N385" s="595"/>
      <c r="O385" s="595"/>
      <c r="P385" s="595"/>
      <c r="Q385" s="595"/>
      <c r="R385" s="595"/>
      <c r="S385" s="595"/>
      <c r="T385" s="595"/>
      <c r="U385" s="595"/>
      <c r="V385" s="595"/>
      <c r="AP385" s="595"/>
      <c r="AQ385" s="595"/>
      <c r="AR385" s="595"/>
      <c r="AS385" s="595"/>
      <c r="AT385" s="595"/>
      <c r="AU385" s="595"/>
      <c r="AV385" s="595"/>
      <c r="AW385" s="595"/>
      <c r="AX385" s="595"/>
      <c r="AY385" s="595"/>
      <c r="AZ385" s="595"/>
      <c r="BA385" s="595"/>
      <c r="BB385" s="595"/>
      <c r="BC385" s="595"/>
      <c r="BD385" s="595"/>
      <c r="BE385" s="595"/>
      <c r="BF385" s="595"/>
      <c r="BG385" s="595"/>
      <c r="BH385" s="595"/>
    </row>
    <row r="386" spans="4:60" s="13" customFormat="1">
      <c r="D386" s="595"/>
      <c r="E386" s="595"/>
      <c r="F386" s="595"/>
      <c r="G386" s="595"/>
      <c r="H386" s="595"/>
      <c r="I386" s="595"/>
      <c r="J386" s="595"/>
      <c r="K386" s="595"/>
      <c r="L386" s="595"/>
      <c r="M386" s="595"/>
      <c r="N386" s="595"/>
      <c r="O386" s="595"/>
      <c r="P386" s="595"/>
      <c r="Q386" s="595"/>
      <c r="R386" s="595"/>
      <c r="S386" s="595"/>
      <c r="T386" s="595"/>
      <c r="U386" s="595"/>
      <c r="V386" s="595"/>
      <c r="AP386" s="595"/>
      <c r="AQ386" s="595"/>
      <c r="AR386" s="595"/>
      <c r="AS386" s="595"/>
      <c r="AT386" s="595"/>
      <c r="AU386" s="595"/>
      <c r="AV386" s="595"/>
      <c r="AW386" s="595"/>
      <c r="AX386" s="595"/>
      <c r="AY386" s="595"/>
      <c r="AZ386" s="595"/>
      <c r="BA386" s="595"/>
      <c r="BB386" s="595"/>
      <c r="BC386" s="595"/>
      <c r="BD386" s="595"/>
      <c r="BE386" s="595"/>
      <c r="BF386" s="595"/>
      <c r="BG386" s="595"/>
      <c r="BH386" s="595"/>
    </row>
    <row r="387" spans="4:60" s="13" customFormat="1">
      <c r="D387" s="595"/>
      <c r="E387" s="595"/>
      <c r="F387" s="595"/>
      <c r="G387" s="595"/>
      <c r="H387" s="595"/>
      <c r="I387" s="595"/>
      <c r="J387" s="595"/>
      <c r="K387" s="595"/>
      <c r="L387" s="595"/>
      <c r="M387" s="595"/>
      <c r="N387" s="595"/>
      <c r="O387" s="595"/>
      <c r="P387" s="595"/>
      <c r="Q387" s="595"/>
      <c r="R387" s="595"/>
      <c r="S387" s="595"/>
      <c r="T387" s="595"/>
      <c r="U387" s="595"/>
      <c r="V387" s="595"/>
      <c r="AP387" s="595"/>
      <c r="AQ387" s="595"/>
      <c r="AR387" s="595"/>
      <c r="AS387" s="595"/>
      <c r="AT387" s="595"/>
      <c r="AU387" s="595"/>
      <c r="AV387" s="595"/>
      <c r="AW387" s="595"/>
      <c r="AX387" s="595"/>
      <c r="AY387" s="595"/>
      <c r="AZ387" s="595"/>
      <c r="BA387" s="595"/>
      <c r="BB387" s="595"/>
      <c r="BC387" s="595"/>
      <c r="BD387" s="595"/>
      <c r="BE387" s="595"/>
      <c r="BF387" s="595"/>
      <c r="BG387" s="595"/>
      <c r="BH387" s="595"/>
    </row>
    <row r="388" spans="4:60" s="13" customFormat="1">
      <c r="D388" s="595"/>
      <c r="E388" s="595"/>
      <c r="F388" s="595"/>
      <c r="G388" s="595"/>
      <c r="H388" s="595"/>
      <c r="I388" s="595"/>
      <c r="J388" s="595"/>
      <c r="K388" s="595"/>
      <c r="L388" s="595"/>
      <c r="M388" s="595"/>
      <c r="N388" s="595"/>
      <c r="O388" s="595"/>
      <c r="P388" s="595"/>
      <c r="Q388" s="595"/>
      <c r="R388" s="595"/>
      <c r="S388" s="595"/>
      <c r="T388" s="595"/>
      <c r="U388" s="595"/>
      <c r="V388" s="595"/>
      <c r="AP388" s="595"/>
      <c r="AQ388" s="595"/>
      <c r="AR388" s="595"/>
      <c r="AS388" s="595"/>
      <c r="AT388" s="595"/>
      <c r="AU388" s="595"/>
      <c r="AV388" s="595"/>
      <c r="AW388" s="595"/>
      <c r="AX388" s="595"/>
      <c r="AY388" s="595"/>
      <c r="AZ388" s="595"/>
      <c r="BA388" s="595"/>
      <c r="BB388" s="595"/>
      <c r="BC388" s="595"/>
      <c r="BD388" s="595"/>
      <c r="BE388" s="595"/>
      <c r="BF388" s="595"/>
      <c r="BG388" s="595"/>
      <c r="BH388" s="595"/>
    </row>
    <row r="389" spans="4:60" s="13" customFormat="1">
      <c r="D389" s="595"/>
      <c r="E389" s="595"/>
      <c r="F389" s="595"/>
      <c r="G389" s="595"/>
      <c r="H389" s="595"/>
      <c r="I389" s="595"/>
      <c r="J389" s="595"/>
      <c r="K389" s="595"/>
      <c r="L389" s="595"/>
      <c r="M389" s="595"/>
      <c r="N389" s="595"/>
      <c r="O389" s="595"/>
      <c r="P389" s="595"/>
      <c r="Q389" s="595"/>
      <c r="R389" s="595"/>
      <c r="S389" s="595"/>
      <c r="T389" s="595"/>
      <c r="U389" s="595"/>
      <c r="V389" s="595"/>
      <c r="AP389" s="595"/>
      <c r="AQ389" s="595"/>
      <c r="AR389" s="595"/>
      <c r="AS389" s="595"/>
      <c r="AT389" s="595"/>
      <c r="AU389" s="595"/>
      <c r="AV389" s="595"/>
      <c r="AW389" s="595"/>
      <c r="AX389" s="595"/>
      <c r="AY389" s="595"/>
      <c r="AZ389" s="595"/>
      <c r="BA389" s="595"/>
      <c r="BB389" s="595"/>
      <c r="BC389" s="595"/>
      <c r="BD389" s="595"/>
      <c r="BE389" s="595"/>
      <c r="BF389" s="595"/>
      <c r="BG389" s="595"/>
      <c r="BH389" s="595"/>
    </row>
    <row r="390" spans="4:60" s="13" customFormat="1">
      <c r="D390" s="595"/>
      <c r="E390" s="595"/>
      <c r="F390" s="595"/>
      <c r="G390" s="595"/>
      <c r="H390" s="595"/>
      <c r="I390" s="595"/>
      <c r="J390" s="595"/>
      <c r="K390" s="595"/>
      <c r="L390" s="595"/>
      <c r="M390" s="595"/>
      <c r="N390" s="595"/>
      <c r="O390" s="595"/>
      <c r="P390" s="595"/>
      <c r="Q390" s="595"/>
      <c r="R390" s="595"/>
      <c r="S390" s="595"/>
      <c r="T390" s="595"/>
      <c r="U390" s="595"/>
      <c r="V390" s="595"/>
      <c r="AP390" s="595"/>
      <c r="AQ390" s="595"/>
      <c r="AR390" s="595"/>
      <c r="AS390" s="595"/>
      <c r="AT390" s="595"/>
      <c r="AU390" s="595"/>
      <c r="AV390" s="595"/>
      <c r="AW390" s="595"/>
      <c r="AX390" s="595"/>
      <c r="AY390" s="595"/>
      <c r="AZ390" s="595"/>
      <c r="BA390" s="595"/>
      <c r="BB390" s="595"/>
      <c r="BC390" s="595"/>
      <c r="BD390" s="595"/>
      <c r="BE390" s="595"/>
      <c r="BF390" s="595"/>
      <c r="BG390" s="595"/>
      <c r="BH390" s="595"/>
    </row>
    <row r="391" spans="4:60" s="13" customFormat="1">
      <c r="D391" s="595"/>
      <c r="E391" s="595"/>
      <c r="F391" s="595"/>
      <c r="G391" s="595"/>
      <c r="H391" s="595"/>
      <c r="I391" s="595"/>
      <c r="J391" s="595"/>
      <c r="K391" s="595"/>
      <c r="L391" s="595"/>
      <c r="M391" s="595"/>
      <c r="N391" s="595"/>
      <c r="O391" s="595"/>
      <c r="P391" s="595"/>
      <c r="Q391" s="595"/>
      <c r="R391" s="595"/>
      <c r="S391" s="595"/>
      <c r="T391" s="595"/>
      <c r="U391" s="595"/>
      <c r="V391" s="595"/>
      <c r="AP391" s="595"/>
      <c r="AQ391" s="595"/>
      <c r="AR391" s="595"/>
      <c r="AS391" s="595"/>
      <c r="AT391" s="595"/>
      <c r="AU391" s="595"/>
      <c r="AV391" s="595"/>
      <c r="AW391" s="595"/>
      <c r="AX391" s="595"/>
      <c r="AY391" s="595"/>
      <c r="AZ391" s="595"/>
      <c r="BA391" s="595"/>
      <c r="BB391" s="595"/>
      <c r="BC391" s="595"/>
      <c r="BD391" s="595"/>
      <c r="BE391" s="595"/>
      <c r="BF391" s="595"/>
      <c r="BG391" s="595"/>
      <c r="BH391" s="595"/>
    </row>
    <row r="392" spans="4:60" s="13" customFormat="1">
      <c r="D392" s="595"/>
      <c r="E392" s="595"/>
      <c r="F392" s="595"/>
      <c r="G392" s="595"/>
      <c r="H392" s="595"/>
      <c r="I392" s="595"/>
      <c r="J392" s="595"/>
      <c r="K392" s="595"/>
      <c r="L392" s="595"/>
      <c r="M392" s="595"/>
      <c r="N392" s="595"/>
      <c r="O392" s="595"/>
      <c r="P392" s="595"/>
      <c r="Q392" s="595"/>
      <c r="R392" s="595"/>
      <c r="S392" s="595"/>
      <c r="T392" s="595"/>
      <c r="U392" s="595"/>
      <c r="V392" s="595"/>
      <c r="AP392" s="595"/>
      <c r="AQ392" s="595"/>
      <c r="AR392" s="595"/>
      <c r="AS392" s="595"/>
      <c r="AT392" s="595"/>
      <c r="AU392" s="595"/>
      <c r="AV392" s="595"/>
      <c r="AW392" s="595"/>
      <c r="AX392" s="595"/>
      <c r="AY392" s="595"/>
      <c r="AZ392" s="595"/>
      <c r="BA392" s="595"/>
      <c r="BB392" s="595"/>
      <c r="BC392" s="595"/>
      <c r="BD392" s="595"/>
      <c r="BE392" s="595"/>
      <c r="BF392" s="595"/>
      <c r="BG392" s="595"/>
      <c r="BH392" s="595"/>
    </row>
    <row r="393" spans="4:60" s="13" customFormat="1">
      <c r="D393" s="595"/>
      <c r="E393" s="595"/>
      <c r="F393" s="595"/>
      <c r="G393" s="595"/>
      <c r="H393" s="595"/>
      <c r="I393" s="595"/>
      <c r="J393" s="595"/>
      <c r="K393" s="595"/>
      <c r="L393" s="595"/>
      <c r="M393" s="595"/>
      <c r="N393" s="595"/>
      <c r="O393" s="595"/>
      <c r="P393" s="595"/>
      <c r="Q393" s="595"/>
      <c r="R393" s="595"/>
      <c r="S393" s="595"/>
      <c r="T393" s="595"/>
      <c r="U393" s="595"/>
      <c r="V393" s="595"/>
      <c r="AP393" s="595"/>
      <c r="AQ393" s="595"/>
      <c r="AR393" s="595"/>
      <c r="AS393" s="595"/>
      <c r="AT393" s="595"/>
      <c r="AU393" s="595"/>
      <c r="AV393" s="595"/>
      <c r="AW393" s="595"/>
      <c r="AX393" s="595"/>
      <c r="AY393" s="595"/>
      <c r="AZ393" s="595"/>
      <c r="BA393" s="595"/>
      <c r="BB393" s="595"/>
      <c r="BC393" s="595"/>
      <c r="BD393" s="595"/>
      <c r="BE393" s="595"/>
      <c r="BF393" s="595"/>
      <c r="BG393" s="595"/>
      <c r="BH393" s="595"/>
    </row>
    <row r="394" spans="4:60" s="13" customFormat="1">
      <c r="D394" s="595"/>
      <c r="E394" s="595"/>
      <c r="F394" s="595"/>
      <c r="G394" s="595"/>
      <c r="H394" s="595"/>
      <c r="I394" s="595"/>
      <c r="J394" s="595"/>
      <c r="K394" s="595"/>
      <c r="L394" s="595"/>
      <c r="M394" s="595"/>
      <c r="N394" s="595"/>
      <c r="O394" s="595"/>
      <c r="P394" s="595"/>
      <c r="Q394" s="595"/>
      <c r="R394" s="595"/>
      <c r="S394" s="595"/>
      <c r="T394" s="595"/>
      <c r="U394" s="595"/>
      <c r="V394" s="595"/>
      <c r="AP394" s="595"/>
      <c r="AQ394" s="595"/>
      <c r="AR394" s="595"/>
      <c r="AS394" s="595"/>
      <c r="AT394" s="595"/>
      <c r="AU394" s="595"/>
      <c r="AV394" s="595"/>
      <c r="AW394" s="595"/>
      <c r="AX394" s="595"/>
      <c r="AY394" s="595"/>
      <c r="AZ394" s="595"/>
      <c r="BA394" s="595"/>
      <c r="BB394" s="595"/>
      <c r="BC394" s="595"/>
      <c r="BD394" s="595"/>
      <c r="BE394" s="595"/>
      <c r="BF394" s="595"/>
      <c r="BG394" s="595"/>
      <c r="BH394" s="595"/>
    </row>
    <row r="395" spans="4:60" s="13" customFormat="1">
      <c r="D395" s="595"/>
      <c r="E395" s="595"/>
      <c r="F395" s="595"/>
      <c r="G395" s="595"/>
      <c r="H395" s="595"/>
      <c r="I395" s="595"/>
      <c r="J395" s="595"/>
      <c r="K395" s="595"/>
      <c r="L395" s="595"/>
      <c r="M395" s="595"/>
      <c r="N395" s="595"/>
      <c r="O395" s="595"/>
      <c r="P395" s="595"/>
      <c r="Q395" s="595"/>
      <c r="R395" s="595"/>
      <c r="S395" s="595"/>
      <c r="T395" s="595"/>
      <c r="U395" s="595"/>
      <c r="V395" s="595"/>
      <c r="AP395" s="595"/>
      <c r="AQ395" s="595"/>
      <c r="AR395" s="595"/>
      <c r="AS395" s="595"/>
      <c r="AT395" s="595"/>
      <c r="AU395" s="595"/>
      <c r="AV395" s="595"/>
      <c r="AW395" s="595"/>
      <c r="AX395" s="595"/>
      <c r="AY395" s="595"/>
      <c r="AZ395" s="595"/>
      <c r="BA395" s="595"/>
      <c r="BB395" s="595"/>
      <c r="BC395" s="595"/>
      <c r="BD395" s="595"/>
      <c r="BE395" s="595"/>
      <c r="BF395" s="595"/>
      <c r="BG395" s="595"/>
      <c r="BH395" s="595"/>
    </row>
    <row r="396" spans="4:60" s="13" customFormat="1">
      <c r="D396" s="595"/>
      <c r="E396" s="595"/>
      <c r="F396" s="595"/>
      <c r="G396" s="595"/>
      <c r="H396" s="595"/>
      <c r="I396" s="595"/>
      <c r="J396" s="595"/>
      <c r="K396" s="595"/>
      <c r="L396" s="595"/>
      <c r="M396" s="595"/>
      <c r="N396" s="595"/>
      <c r="O396" s="595"/>
      <c r="P396" s="595"/>
      <c r="Q396" s="595"/>
      <c r="R396" s="595"/>
      <c r="S396" s="595"/>
      <c r="T396" s="595"/>
      <c r="U396" s="595"/>
      <c r="V396" s="595"/>
      <c r="AP396" s="595"/>
      <c r="AQ396" s="595"/>
      <c r="AR396" s="595"/>
      <c r="AS396" s="595"/>
      <c r="AT396" s="595"/>
      <c r="AU396" s="595"/>
      <c r="AV396" s="595"/>
      <c r="AW396" s="595"/>
      <c r="AX396" s="595"/>
      <c r="AY396" s="595"/>
      <c r="AZ396" s="595"/>
      <c r="BA396" s="595"/>
      <c r="BB396" s="595"/>
      <c r="BC396" s="595"/>
      <c r="BD396" s="595"/>
      <c r="BE396" s="595"/>
      <c r="BF396" s="595"/>
      <c r="BG396" s="595"/>
      <c r="BH396" s="595"/>
    </row>
    <row r="397" spans="4:60" s="13" customFormat="1">
      <c r="D397" s="595"/>
      <c r="E397" s="595"/>
      <c r="F397" s="595"/>
      <c r="G397" s="595"/>
      <c r="H397" s="595"/>
      <c r="I397" s="595"/>
      <c r="J397" s="595"/>
      <c r="K397" s="595"/>
      <c r="L397" s="595"/>
      <c r="M397" s="595"/>
      <c r="N397" s="595"/>
      <c r="O397" s="595"/>
      <c r="P397" s="595"/>
      <c r="Q397" s="595"/>
      <c r="R397" s="595"/>
      <c r="S397" s="595"/>
      <c r="T397" s="595"/>
      <c r="U397" s="595"/>
      <c r="V397" s="595"/>
      <c r="AP397" s="595"/>
      <c r="AQ397" s="595"/>
      <c r="AR397" s="595"/>
      <c r="AS397" s="595"/>
      <c r="AT397" s="595"/>
      <c r="AU397" s="595"/>
      <c r="AV397" s="595"/>
      <c r="AW397" s="595"/>
      <c r="AX397" s="595"/>
      <c r="AY397" s="595"/>
      <c r="AZ397" s="595"/>
      <c r="BA397" s="595"/>
      <c r="BB397" s="595"/>
      <c r="BC397" s="595"/>
      <c r="BD397" s="595"/>
      <c r="BE397" s="595"/>
      <c r="BF397" s="595"/>
      <c r="BG397" s="595"/>
      <c r="BH397" s="595"/>
    </row>
    <row r="398" spans="4:60" s="13" customFormat="1">
      <c r="D398" s="595"/>
      <c r="E398" s="595"/>
      <c r="F398" s="595"/>
      <c r="G398" s="595"/>
      <c r="H398" s="595"/>
      <c r="I398" s="595"/>
      <c r="J398" s="595"/>
      <c r="K398" s="595"/>
      <c r="L398" s="595"/>
      <c r="M398" s="595"/>
      <c r="N398" s="595"/>
      <c r="O398" s="595"/>
      <c r="P398" s="595"/>
      <c r="Q398" s="595"/>
      <c r="R398" s="595"/>
      <c r="S398" s="595"/>
      <c r="T398" s="595"/>
      <c r="U398" s="595"/>
      <c r="V398" s="595"/>
      <c r="AP398" s="595"/>
      <c r="AQ398" s="595"/>
      <c r="AR398" s="595"/>
      <c r="AS398" s="595"/>
      <c r="AT398" s="595"/>
      <c r="AU398" s="595"/>
      <c r="AV398" s="595"/>
      <c r="AW398" s="595"/>
      <c r="AX398" s="595"/>
      <c r="AY398" s="595"/>
      <c r="AZ398" s="595"/>
      <c r="BA398" s="595"/>
      <c r="BB398" s="595"/>
      <c r="BC398" s="595"/>
      <c r="BD398" s="595"/>
      <c r="BE398" s="595"/>
      <c r="BF398" s="595"/>
      <c r="BG398" s="595"/>
      <c r="BH398" s="595"/>
    </row>
    <row r="399" spans="4:60" s="13" customFormat="1">
      <c r="D399" s="595"/>
      <c r="E399" s="595"/>
      <c r="F399" s="595"/>
      <c r="G399" s="595"/>
      <c r="H399" s="595"/>
      <c r="I399" s="595"/>
      <c r="J399" s="595"/>
      <c r="K399" s="595"/>
      <c r="L399" s="595"/>
      <c r="M399" s="595"/>
      <c r="N399" s="595"/>
      <c r="O399" s="595"/>
      <c r="P399" s="595"/>
      <c r="Q399" s="595"/>
      <c r="R399" s="595"/>
      <c r="S399" s="595"/>
      <c r="T399" s="595"/>
      <c r="U399" s="595"/>
      <c r="V399" s="595"/>
      <c r="AP399" s="595"/>
      <c r="AQ399" s="595"/>
      <c r="AR399" s="595"/>
      <c r="AS399" s="595"/>
      <c r="AT399" s="595"/>
      <c r="AU399" s="595"/>
      <c r="AV399" s="595"/>
      <c r="AW399" s="595"/>
      <c r="AX399" s="595"/>
      <c r="AY399" s="595"/>
      <c r="AZ399" s="595"/>
      <c r="BA399" s="595"/>
      <c r="BB399" s="595"/>
      <c r="BC399" s="595"/>
      <c r="BD399" s="595"/>
      <c r="BE399" s="595"/>
      <c r="BF399" s="595"/>
      <c r="BG399" s="595"/>
      <c r="BH399" s="595"/>
    </row>
    <row r="400" spans="4:60" s="13" customFormat="1">
      <c r="D400" s="595"/>
      <c r="E400" s="595"/>
      <c r="F400" s="595"/>
      <c r="G400" s="595"/>
      <c r="H400" s="595"/>
      <c r="I400" s="595"/>
      <c r="J400" s="595"/>
      <c r="K400" s="595"/>
      <c r="L400" s="595"/>
      <c r="M400" s="595"/>
      <c r="N400" s="595"/>
      <c r="O400" s="595"/>
      <c r="P400" s="595"/>
      <c r="Q400" s="595"/>
      <c r="R400" s="595"/>
      <c r="S400" s="595"/>
      <c r="T400" s="595"/>
      <c r="U400" s="595"/>
      <c r="V400" s="595"/>
      <c r="AP400" s="595"/>
      <c r="AQ400" s="595"/>
      <c r="AR400" s="595"/>
      <c r="AS400" s="595"/>
      <c r="AT400" s="595"/>
      <c r="AU400" s="595"/>
      <c r="AV400" s="595"/>
      <c r="AW400" s="595"/>
      <c r="AX400" s="595"/>
      <c r="AY400" s="595"/>
      <c r="AZ400" s="595"/>
      <c r="BA400" s="595"/>
      <c r="BB400" s="595"/>
      <c r="BC400" s="595"/>
      <c r="BD400" s="595"/>
      <c r="BE400" s="595"/>
      <c r="BF400" s="595"/>
      <c r="BG400" s="595"/>
      <c r="BH400" s="595"/>
    </row>
    <row r="401" spans="4:60" s="13" customFormat="1">
      <c r="D401" s="595"/>
      <c r="E401" s="595"/>
      <c r="F401" s="595"/>
      <c r="G401" s="595"/>
      <c r="H401" s="595"/>
      <c r="I401" s="595"/>
      <c r="J401" s="595"/>
      <c r="K401" s="595"/>
      <c r="L401" s="595"/>
      <c r="M401" s="595"/>
      <c r="N401" s="595"/>
      <c r="O401" s="595"/>
      <c r="P401" s="595"/>
      <c r="Q401" s="595"/>
      <c r="R401" s="595"/>
      <c r="S401" s="595"/>
      <c r="T401" s="595"/>
      <c r="U401" s="595"/>
      <c r="V401" s="595"/>
      <c r="AP401" s="595"/>
      <c r="AQ401" s="595"/>
      <c r="AR401" s="595"/>
      <c r="AS401" s="595"/>
      <c r="AT401" s="595"/>
      <c r="AU401" s="595"/>
      <c r="AV401" s="595"/>
      <c r="AW401" s="595"/>
      <c r="AX401" s="595"/>
      <c r="AY401" s="595"/>
      <c r="AZ401" s="595"/>
      <c r="BA401" s="595"/>
      <c r="BB401" s="595"/>
      <c r="BC401" s="595"/>
      <c r="BD401" s="595"/>
      <c r="BE401" s="595"/>
      <c r="BF401" s="595"/>
      <c r="BG401" s="595"/>
      <c r="BH401" s="595"/>
    </row>
    <row r="402" spans="4:60" s="13" customFormat="1">
      <c r="D402" s="595"/>
      <c r="E402" s="595"/>
      <c r="F402" s="595"/>
      <c r="G402" s="595"/>
      <c r="H402" s="595"/>
      <c r="I402" s="595"/>
      <c r="J402" s="595"/>
      <c r="K402" s="595"/>
      <c r="L402" s="595"/>
      <c r="M402" s="595"/>
      <c r="N402" s="595"/>
      <c r="O402" s="595"/>
      <c r="P402" s="595"/>
      <c r="Q402" s="595"/>
      <c r="R402" s="595"/>
      <c r="S402" s="595"/>
      <c r="T402" s="595"/>
      <c r="U402" s="595"/>
      <c r="V402" s="595"/>
      <c r="AP402" s="595"/>
      <c r="AQ402" s="595"/>
      <c r="AR402" s="595"/>
      <c r="AS402" s="595"/>
      <c r="AT402" s="595"/>
      <c r="AU402" s="595"/>
      <c r="AV402" s="595"/>
      <c r="AW402" s="595"/>
      <c r="AX402" s="595"/>
      <c r="AY402" s="595"/>
      <c r="AZ402" s="595"/>
      <c r="BA402" s="595"/>
      <c r="BB402" s="595"/>
      <c r="BC402" s="595"/>
      <c r="BD402" s="595"/>
      <c r="BE402" s="595"/>
      <c r="BF402" s="595"/>
      <c r="BG402" s="595"/>
      <c r="BH402" s="595"/>
    </row>
    <row r="403" spans="4:60" s="13" customFormat="1">
      <c r="D403" s="595"/>
      <c r="E403" s="595"/>
      <c r="F403" s="595"/>
      <c r="G403" s="595"/>
      <c r="H403" s="595"/>
      <c r="I403" s="595"/>
      <c r="J403" s="595"/>
      <c r="K403" s="595"/>
      <c r="L403" s="595"/>
      <c r="M403" s="595"/>
      <c r="N403" s="595"/>
      <c r="O403" s="595"/>
      <c r="P403" s="595"/>
      <c r="Q403" s="595"/>
      <c r="R403" s="595"/>
      <c r="S403" s="595"/>
      <c r="T403" s="595"/>
      <c r="U403" s="595"/>
      <c r="V403" s="595"/>
      <c r="AP403" s="595"/>
      <c r="AQ403" s="595"/>
      <c r="AR403" s="595"/>
      <c r="AS403" s="595"/>
      <c r="AT403" s="595"/>
      <c r="AU403" s="595"/>
      <c r="AV403" s="595"/>
      <c r="AW403" s="595"/>
      <c r="AX403" s="595"/>
      <c r="AY403" s="595"/>
      <c r="AZ403" s="595"/>
      <c r="BA403" s="595"/>
      <c r="BB403" s="595"/>
      <c r="BC403" s="595"/>
      <c r="BD403" s="595"/>
      <c r="BE403" s="595"/>
      <c r="BF403" s="595"/>
      <c r="BG403" s="595"/>
      <c r="BH403" s="595"/>
    </row>
    <row r="404" spans="4:60" s="13" customFormat="1">
      <c r="D404" s="595"/>
      <c r="E404" s="595"/>
      <c r="F404" s="595"/>
      <c r="G404" s="595"/>
      <c r="H404" s="595"/>
      <c r="I404" s="595"/>
      <c r="J404" s="595"/>
      <c r="K404" s="595"/>
      <c r="L404" s="595"/>
      <c r="M404" s="595"/>
      <c r="N404" s="595"/>
      <c r="O404" s="595"/>
      <c r="P404" s="595"/>
      <c r="Q404" s="595"/>
      <c r="R404" s="595"/>
      <c r="S404" s="595"/>
      <c r="T404" s="595"/>
      <c r="U404" s="595"/>
      <c r="V404" s="595"/>
      <c r="AP404" s="595"/>
      <c r="AQ404" s="595"/>
      <c r="AR404" s="595"/>
      <c r="AS404" s="595"/>
      <c r="AT404" s="595"/>
      <c r="AU404" s="595"/>
      <c r="AV404" s="595"/>
      <c r="AW404" s="595"/>
      <c r="AX404" s="595"/>
      <c r="AY404" s="595"/>
      <c r="AZ404" s="595"/>
      <c r="BA404" s="595"/>
      <c r="BB404" s="595"/>
      <c r="BC404" s="595"/>
      <c r="BD404" s="595"/>
      <c r="BE404" s="595"/>
      <c r="BF404" s="595"/>
      <c r="BG404" s="595"/>
      <c r="BH404" s="595"/>
    </row>
    <row r="405" spans="4:60" s="13" customFormat="1">
      <c r="D405" s="595"/>
      <c r="E405" s="595"/>
      <c r="F405" s="595"/>
      <c r="G405" s="595"/>
      <c r="H405" s="595"/>
      <c r="I405" s="595"/>
      <c r="J405" s="595"/>
      <c r="K405" s="595"/>
      <c r="L405" s="595"/>
      <c r="M405" s="595"/>
      <c r="N405" s="595"/>
      <c r="O405" s="595"/>
      <c r="P405" s="595"/>
      <c r="Q405" s="595"/>
      <c r="R405" s="595"/>
      <c r="S405" s="595"/>
      <c r="T405" s="595"/>
      <c r="U405" s="595"/>
      <c r="V405" s="595"/>
      <c r="AP405" s="595"/>
      <c r="AQ405" s="595"/>
      <c r="AR405" s="595"/>
      <c r="AS405" s="595"/>
      <c r="AT405" s="595"/>
      <c r="AU405" s="595"/>
      <c r="AV405" s="595"/>
      <c r="AW405" s="595"/>
      <c r="AX405" s="595"/>
      <c r="AY405" s="595"/>
      <c r="AZ405" s="595"/>
      <c r="BA405" s="595"/>
      <c r="BB405" s="595"/>
      <c r="BC405" s="595"/>
      <c r="BD405" s="595"/>
      <c r="BE405" s="595"/>
      <c r="BF405" s="595"/>
      <c r="BG405" s="595"/>
      <c r="BH405" s="595"/>
    </row>
    <row r="406" spans="4:60" s="13" customFormat="1">
      <c r="D406" s="595"/>
      <c r="E406" s="595"/>
      <c r="F406" s="595"/>
      <c r="G406" s="595"/>
      <c r="H406" s="595"/>
      <c r="I406" s="595"/>
      <c r="J406" s="595"/>
      <c r="K406" s="595"/>
      <c r="L406" s="595"/>
      <c r="M406" s="595"/>
      <c r="N406" s="595"/>
      <c r="O406" s="595"/>
      <c r="P406" s="595"/>
      <c r="Q406" s="595"/>
      <c r="R406" s="595"/>
      <c r="S406" s="595"/>
      <c r="T406" s="595"/>
      <c r="U406" s="595"/>
      <c r="V406" s="595"/>
      <c r="AP406" s="595"/>
      <c r="AQ406" s="595"/>
      <c r="AR406" s="595"/>
      <c r="AS406" s="595"/>
      <c r="AT406" s="595"/>
      <c r="AU406" s="595"/>
      <c r="AV406" s="595"/>
      <c r="AW406" s="595"/>
      <c r="AX406" s="595"/>
      <c r="AY406" s="595"/>
      <c r="AZ406" s="595"/>
      <c r="BA406" s="595"/>
      <c r="BB406" s="595"/>
      <c r="BC406" s="595"/>
      <c r="BD406" s="595"/>
      <c r="BE406" s="595"/>
      <c r="BF406" s="595"/>
      <c r="BG406" s="595"/>
      <c r="BH406" s="595"/>
    </row>
    <row r="407" spans="4:60" s="13" customFormat="1">
      <c r="D407" s="595"/>
      <c r="E407" s="595"/>
      <c r="F407" s="595"/>
      <c r="G407" s="595"/>
      <c r="H407" s="595"/>
      <c r="I407" s="595"/>
      <c r="J407" s="595"/>
      <c r="K407" s="595"/>
      <c r="L407" s="595"/>
      <c r="M407" s="595"/>
      <c r="N407" s="595"/>
      <c r="O407" s="595"/>
      <c r="P407" s="595"/>
      <c r="Q407" s="595"/>
      <c r="R407" s="595"/>
      <c r="S407" s="595"/>
      <c r="T407" s="595"/>
      <c r="U407" s="595"/>
      <c r="V407" s="595"/>
      <c r="AP407" s="595"/>
      <c r="AQ407" s="595"/>
      <c r="AR407" s="595"/>
      <c r="AS407" s="595"/>
      <c r="AT407" s="595"/>
      <c r="AU407" s="595"/>
      <c r="AV407" s="595"/>
      <c r="AW407" s="595"/>
      <c r="AX407" s="595"/>
      <c r="AY407" s="595"/>
      <c r="AZ407" s="595"/>
      <c r="BA407" s="595"/>
      <c r="BB407" s="595"/>
      <c r="BC407" s="595"/>
      <c r="BD407" s="595"/>
      <c r="BE407" s="595"/>
      <c r="BF407" s="595"/>
      <c r="BG407" s="595"/>
      <c r="BH407" s="595"/>
    </row>
    <row r="408" spans="4:60" s="13" customFormat="1">
      <c r="D408" s="595"/>
      <c r="E408" s="595"/>
      <c r="F408" s="595"/>
      <c r="G408" s="595"/>
      <c r="H408" s="595"/>
      <c r="I408" s="595"/>
      <c r="J408" s="595"/>
      <c r="K408" s="595"/>
      <c r="L408" s="595"/>
      <c r="M408" s="595"/>
      <c r="N408" s="595"/>
      <c r="O408" s="595"/>
      <c r="P408" s="595"/>
      <c r="Q408" s="595"/>
      <c r="R408" s="595"/>
      <c r="S408" s="595"/>
      <c r="T408" s="595"/>
      <c r="U408" s="595"/>
      <c r="V408" s="595"/>
      <c r="AP408" s="595"/>
      <c r="AQ408" s="595"/>
      <c r="AR408" s="595"/>
      <c r="AS408" s="595"/>
      <c r="AT408" s="595"/>
      <c r="AU408" s="595"/>
      <c r="AV408" s="595"/>
      <c r="AW408" s="595"/>
      <c r="AX408" s="595"/>
      <c r="AY408" s="595"/>
      <c r="AZ408" s="595"/>
      <c r="BA408" s="595"/>
      <c r="BB408" s="595"/>
      <c r="BC408" s="595"/>
      <c r="BD408" s="595"/>
      <c r="BE408" s="595"/>
      <c r="BF408" s="595"/>
      <c r="BG408" s="595"/>
      <c r="BH408" s="595"/>
    </row>
    <row r="409" spans="4:60" s="13" customFormat="1">
      <c r="D409" s="595"/>
      <c r="E409" s="595"/>
      <c r="F409" s="595"/>
      <c r="G409" s="595"/>
      <c r="H409" s="595"/>
      <c r="I409" s="595"/>
      <c r="J409" s="595"/>
      <c r="K409" s="595"/>
      <c r="L409" s="595"/>
      <c r="M409" s="595"/>
      <c r="N409" s="595"/>
      <c r="O409" s="595"/>
      <c r="P409" s="595"/>
      <c r="Q409" s="595"/>
      <c r="R409" s="595"/>
      <c r="S409" s="595"/>
      <c r="T409" s="595"/>
      <c r="U409" s="595"/>
      <c r="V409" s="595"/>
      <c r="AP409" s="595"/>
      <c r="AQ409" s="595"/>
      <c r="AR409" s="595"/>
      <c r="AS409" s="595"/>
      <c r="AT409" s="595"/>
      <c r="AU409" s="595"/>
      <c r="AV409" s="595"/>
      <c r="AW409" s="595"/>
      <c r="AX409" s="595"/>
      <c r="AY409" s="595"/>
      <c r="AZ409" s="595"/>
      <c r="BA409" s="595"/>
      <c r="BB409" s="595"/>
      <c r="BC409" s="595"/>
      <c r="BD409" s="595"/>
      <c r="BE409" s="595"/>
      <c r="BF409" s="595"/>
      <c r="BG409" s="595"/>
      <c r="BH409" s="595"/>
    </row>
    <row r="410" spans="4:60" s="13" customFormat="1">
      <c r="D410" s="595"/>
      <c r="E410" s="595"/>
      <c r="F410" s="595"/>
      <c r="G410" s="595"/>
      <c r="H410" s="595"/>
      <c r="I410" s="595"/>
      <c r="J410" s="595"/>
      <c r="K410" s="595"/>
      <c r="L410" s="595"/>
      <c r="M410" s="595"/>
      <c r="N410" s="595"/>
      <c r="O410" s="595"/>
      <c r="P410" s="595"/>
      <c r="Q410" s="595"/>
      <c r="R410" s="595"/>
      <c r="S410" s="595"/>
      <c r="T410" s="595"/>
      <c r="U410" s="595"/>
      <c r="V410" s="595"/>
      <c r="AP410" s="595"/>
      <c r="AQ410" s="595"/>
      <c r="AR410" s="595"/>
      <c r="AS410" s="595"/>
      <c r="AT410" s="595"/>
      <c r="AU410" s="595"/>
      <c r="AV410" s="595"/>
      <c r="AW410" s="595"/>
      <c r="AX410" s="595"/>
      <c r="AY410" s="595"/>
      <c r="AZ410" s="595"/>
      <c r="BA410" s="595"/>
      <c r="BB410" s="595"/>
      <c r="BC410" s="595"/>
      <c r="BD410" s="595"/>
      <c r="BE410" s="595"/>
      <c r="BF410" s="595"/>
      <c r="BG410" s="595"/>
      <c r="BH410" s="595"/>
    </row>
    <row r="411" spans="4:60" s="13" customFormat="1">
      <c r="D411" s="595"/>
      <c r="E411" s="595"/>
      <c r="F411" s="595"/>
      <c r="G411" s="595"/>
      <c r="H411" s="595"/>
      <c r="I411" s="595"/>
      <c r="J411" s="595"/>
      <c r="K411" s="595"/>
      <c r="L411" s="595"/>
      <c r="M411" s="595"/>
      <c r="N411" s="595"/>
      <c r="O411" s="595"/>
      <c r="P411" s="595"/>
      <c r="Q411" s="595"/>
      <c r="R411" s="595"/>
      <c r="S411" s="595"/>
      <c r="T411" s="595"/>
      <c r="U411" s="595"/>
      <c r="V411" s="595"/>
      <c r="AP411" s="595"/>
      <c r="AQ411" s="595"/>
      <c r="AR411" s="595"/>
      <c r="AS411" s="595"/>
      <c r="AT411" s="595"/>
      <c r="AU411" s="595"/>
      <c r="AV411" s="595"/>
      <c r="AW411" s="595"/>
      <c r="AX411" s="595"/>
      <c r="AY411" s="595"/>
      <c r="AZ411" s="595"/>
      <c r="BA411" s="595"/>
      <c r="BB411" s="595"/>
      <c r="BC411" s="595"/>
      <c r="BD411" s="595"/>
      <c r="BE411" s="595"/>
      <c r="BF411" s="595"/>
      <c r="BG411" s="595"/>
      <c r="BH411" s="595"/>
    </row>
    <row r="412" spans="4:60" s="13" customFormat="1">
      <c r="D412" s="595"/>
      <c r="E412" s="595"/>
      <c r="F412" s="595"/>
      <c r="G412" s="595"/>
      <c r="H412" s="595"/>
      <c r="I412" s="595"/>
      <c r="J412" s="595"/>
      <c r="K412" s="595"/>
      <c r="L412" s="595"/>
      <c r="M412" s="595"/>
      <c r="N412" s="595"/>
      <c r="O412" s="595"/>
      <c r="P412" s="595"/>
      <c r="Q412" s="595"/>
      <c r="R412" s="595"/>
      <c r="S412" s="595"/>
      <c r="T412" s="595"/>
      <c r="U412" s="595"/>
      <c r="V412" s="595"/>
      <c r="AP412" s="595"/>
      <c r="AQ412" s="595"/>
      <c r="AR412" s="595"/>
      <c r="AS412" s="595"/>
      <c r="AT412" s="595"/>
      <c r="AU412" s="595"/>
      <c r="AV412" s="595"/>
      <c r="AW412" s="595"/>
      <c r="AX412" s="595"/>
      <c r="AY412" s="595"/>
      <c r="AZ412" s="595"/>
      <c r="BA412" s="595"/>
      <c r="BB412" s="595"/>
      <c r="BC412" s="595"/>
      <c r="BD412" s="595"/>
      <c r="BE412" s="595"/>
      <c r="BF412" s="595"/>
      <c r="BG412" s="595"/>
      <c r="BH412" s="595"/>
    </row>
    <row r="413" spans="4:60" s="13" customFormat="1">
      <c r="D413" s="595"/>
      <c r="E413" s="595"/>
      <c r="F413" s="595"/>
      <c r="G413" s="595"/>
      <c r="H413" s="595"/>
      <c r="I413" s="595"/>
      <c r="J413" s="595"/>
      <c r="K413" s="595"/>
      <c r="L413" s="595"/>
      <c r="M413" s="595"/>
      <c r="N413" s="595"/>
      <c r="O413" s="595"/>
      <c r="P413" s="595"/>
      <c r="Q413" s="595"/>
      <c r="R413" s="595"/>
      <c r="S413" s="595"/>
      <c r="T413" s="595"/>
      <c r="U413" s="595"/>
      <c r="V413" s="595"/>
      <c r="AP413" s="595"/>
      <c r="AQ413" s="595"/>
      <c r="AR413" s="595"/>
      <c r="AS413" s="595"/>
      <c r="AT413" s="595"/>
      <c r="AU413" s="595"/>
      <c r="AV413" s="595"/>
      <c r="AW413" s="595"/>
      <c r="AX413" s="595"/>
      <c r="AY413" s="595"/>
      <c r="AZ413" s="595"/>
      <c r="BA413" s="595"/>
      <c r="BB413" s="595"/>
      <c r="BC413" s="595"/>
      <c r="BD413" s="595"/>
      <c r="BE413" s="595"/>
      <c r="BF413" s="595"/>
      <c r="BG413" s="595"/>
      <c r="BH413" s="595"/>
    </row>
    <row r="414" spans="4:60" s="13" customFormat="1">
      <c r="D414" s="595"/>
      <c r="E414" s="595"/>
      <c r="F414" s="595"/>
      <c r="G414" s="595"/>
      <c r="H414" s="595"/>
      <c r="I414" s="595"/>
      <c r="J414" s="595"/>
      <c r="K414" s="595"/>
      <c r="L414" s="595"/>
      <c r="M414" s="595"/>
      <c r="N414" s="595"/>
      <c r="O414" s="595"/>
      <c r="P414" s="595"/>
      <c r="Q414" s="595"/>
      <c r="R414" s="595"/>
      <c r="S414" s="595"/>
      <c r="T414" s="595"/>
      <c r="U414" s="595"/>
      <c r="V414" s="595"/>
      <c r="AP414" s="595"/>
      <c r="AQ414" s="595"/>
      <c r="AR414" s="595"/>
      <c r="AS414" s="595"/>
      <c r="AT414" s="595"/>
      <c r="AU414" s="595"/>
      <c r="AV414" s="595"/>
      <c r="AW414" s="595"/>
      <c r="AX414" s="595"/>
      <c r="AY414" s="595"/>
      <c r="AZ414" s="595"/>
      <c r="BA414" s="595"/>
      <c r="BB414" s="595"/>
      <c r="BC414" s="595"/>
      <c r="BD414" s="595"/>
      <c r="BE414" s="595"/>
      <c r="BF414" s="595"/>
      <c r="BG414" s="595"/>
      <c r="BH414" s="595"/>
    </row>
    <row r="415" spans="4:60" s="13" customFormat="1">
      <c r="D415" s="595"/>
      <c r="E415" s="595"/>
      <c r="F415" s="595"/>
      <c r="G415" s="595"/>
      <c r="H415" s="595"/>
      <c r="I415" s="595"/>
      <c r="J415" s="595"/>
      <c r="K415" s="595"/>
      <c r="L415" s="595"/>
      <c r="M415" s="595"/>
      <c r="N415" s="595"/>
      <c r="O415" s="595"/>
      <c r="P415" s="595"/>
      <c r="Q415" s="595"/>
      <c r="R415" s="595"/>
      <c r="S415" s="595"/>
      <c r="T415" s="595"/>
      <c r="U415" s="595"/>
      <c r="V415" s="595"/>
      <c r="AP415" s="595"/>
      <c r="AQ415" s="595"/>
      <c r="AR415" s="595"/>
      <c r="AS415" s="595"/>
      <c r="AT415" s="595"/>
      <c r="AU415" s="595"/>
      <c r="AV415" s="595"/>
      <c r="AW415" s="595"/>
      <c r="AX415" s="595"/>
      <c r="AY415" s="595"/>
      <c r="AZ415" s="595"/>
      <c r="BA415" s="595"/>
      <c r="BB415" s="595"/>
      <c r="BC415" s="595"/>
      <c r="BD415" s="595"/>
      <c r="BE415" s="595"/>
      <c r="BF415" s="595"/>
      <c r="BG415" s="595"/>
      <c r="BH415" s="595"/>
    </row>
    <row r="416" spans="4:60" s="13" customFormat="1">
      <c r="D416" s="595"/>
      <c r="E416" s="595"/>
      <c r="F416" s="595"/>
      <c r="G416" s="595"/>
      <c r="H416" s="595"/>
      <c r="I416" s="595"/>
      <c r="J416" s="595"/>
      <c r="K416" s="595"/>
      <c r="L416" s="595"/>
      <c r="M416" s="595"/>
      <c r="N416" s="595"/>
      <c r="O416" s="595"/>
      <c r="P416" s="595"/>
      <c r="Q416" s="595"/>
      <c r="R416" s="595"/>
      <c r="S416" s="595"/>
      <c r="T416" s="595"/>
      <c r="U416" s="595"/>
      <c r="V416" s="595"/>
      <c r="AP416" s="595"/>
      <c r="AQ416" s="595"/>
      <c r="AR416" s="595"/>
      <c r="AS416" s="595"/>
      <c r="AT416" s="595"/>
      <c r="AU416" s="595"/>
      <c r="AV416" s="595"/>
      <c r="AW416" s="595"/>
      <c r="AX416" s="595"/>
      <c r="AY416" s="595"/>
      <c r="AZ416" s="595"/>
      <c r="BA416" s="595"/>
      <c r="BB416" s="595"/>
      <c r="BC416" s="595"/>
      <c r="BD416" s="595"/>
      <c r="BE416" s="595"/>
      <c r="BF416" s="595"/>
      <c r="BG416" s="595"/>
      <c r="BH416" s="595"/>
    </row>
    <row r="417" spans="4:60" s="13" customFormat="1">
      <c r="D417" s="595"/>
      <c r="E417" s="595"/>
      <c r="F417" s="595"/>
      <c r="G417" s="595"/>
      <c r="H417" s="595"/>
      <c r="I417" s="595"/>
      <c r="J417" s="595"/>
      <c r="K417" s="595"/>
      <c r="L417" s="595"/>
      <c r="M417" s="595"/>
      <c r="N417" s="595"/>
      <c r="O417" s="595"/>
      <c r="P417" s="595"/>
      <c r="Q417" s="595"/>
      <c r="R417" s="595"/>
      <c r="S417" s="595"/>
      <c r="T417" s="595"/>
      <c r="U417" s="595"/>
      <c r="V417" s="595"/>
      <c r="AP417" s="595"/>
      <c r="AQ417" s="595"/>
      <c r="AR417" s="595"/>
      <c r="AS417" s="595"/>
      <c r="AT417" s="595"/>
      <c r="AU417" s="595"/>
      <c r="AV417" s="595"/>
      <c r="AW417" s="595"/>
      <c r="AX417" s="595"/>
      <c r="AY417" s="595"/>
      <c r="AZ417" s="595"/>
      <c r="BA417" s="595"/>
      <c r="BB417" s="595"/>
      <c r="BC417" s="595"/>
      <c r="BD417" s="595"/>
      <c r="BE417" s="595"/>
      <c r="BF417" s="595"/>
      <c r="BG417" s="595"/>
      <c r="BH417" s="595"/>
    </row>
    <row r="418" spans="4:60" s="13" customFormat="1">
      <c r="D418" s="595"/>
      <c r="E418" s="595"/>
      <c r="F418" s="595"/>
      <c r="G418" s="595"/>
      <c r="H418" s="595"/>
      <c r="I418" s="595"/>
      <c r="J418" s="595"/>
      <c r="K418" s="595"/>
      <c r="L418" s="595"/>
      <c r="M418" s="595"/>
      <c r="N418" s="595"/>
      <c r="O418" s="595"/>
      <c r="P418" s="595"/>
      <c r="Q418" s="595"/>
      <c r="R418" s="595"/>
      <c r="S418" s="595"/>
      <c r="T418" s="595"/>
      <c r="U418" s="595"/>
      <c r="V418" s="595"/>
      <c r="AP418" s="595"/>
      <c r="AQ418" s="595"/>
      <c r="AR418" s="595"/>
      <c r="AS418" s="595"/>
      <c r="AT418" s="595"/>
      <c r="AU418" s="595"/>
      <c r="AV418" s="595"/>
      <c r="AW418" s="595"/>
      <c r="AX418" s="595"/>
      <c r="AY418" s="595"/>
      <c r="AZ418" s="595"/>
      <c r="BA418" s="595"/>
      <c r="BB418" s="595"/>
      <c r="BC418" s="595"/>
      <c r="BD418" s="595"/>
      <c r="BE418" s="595"/>
      <c r="BF418" s="595"/>
      <c r="BG418" s="595"/>
      <c r="BH418" s="595"/>
    </row>
    <row r="419" spans="4:60" s="13" customFormat="1">
      <c r="D419" s="595"/>
      <c r="E419" s="595"/>
      <c r="F419" s="595"/>
      <c r="G419" s="595"/>
      <c r="H419" s="595"/>
      <c r="I419" s="595"/>
      <c r="J419" s="595"/>
      <c r="K419" s="595"/>
      <c r="L419" s="595"/>
      <c r="M419" s="595"/>
      <c r="N419" s="595"/>
      <c r="O419" s="595"/>
      <c r="P419" s="595"/>
      <c r="Q419" s="595"/>
      <c r="R419" s="595"/>
      <c r="S419" s="595"/>
      <c r="T419" s="595"/>
      <c r="U419" s="595"/>
      <c r="V419" s="595"/>
      <c r="AP419" s="595"/>
      <c r="AQ419" s="595"/>
      <c r="AR419" s="595"/>
      <c r="AS419" s="595"/>
      <c r="AT419" s="595"/>
      <c r="AU419" s="595"/>
      <c r="AV419" s="595"/>
      <c r="AW419" s="595"/>
      <c r="AX419" s="595"/>
      <c r="AY419" s="595"/>
      <c r="AZ419" s="595"/>
      <c r="BA419" s="595"/>
      <c r="BB419" s="595"/>
      <c r="BC419" s="595"/>
      <c r="BD419" s="595"/>
      <c r="BE419" s="595"/>
      <c r="BF419" s="595"/>
      <c r="BG419" s="595"/>
      <c r="BH419" s="595"/>
    </row>
    <row r="420" spans="4:60" s="13" customFormat="1">
      <c r="D420" s="595"/>
      <c r="E420" s="595"/>
      <c r="F420" s="595"/>
      <c r="G420" s="595"/>
      <c r="H420" s="595"/>
      <c r="I420" s="595"/>
      <c r="J420" s="595"/>
      <c r="K420" s="595"/>
      <c r="L420" s="595"/>
      <c r="M420" s="595"/>
      <c r="N420" s="595"/>
      <c r="O420" s="595"/>
      <c r="P420" s="595"/>
      <c r="Q420" s="595"/>
      <c r="R420" s="595"/>
      <c r="S420" s="595"/>
      <c r="T420" s="595"/>
      <c r="U420" s="595"/>
      <c r="V420" s="595"/>
      <c r="AP420" s="595"/>
      <c r="AQ420" s="595"/>
      <c r="AR420" s="595"/>
      <c r="AS420" s="595"/>
      <c r="AT420" s="595"/>
      <c r="AU420" s="595"/>
      <c r="AV420" s="595"/>
      <c r="AW420" s="595"/>
      <c r="AX420" s="595"/>
      <c r="AY420" s="595"/>
      <c r="AZ420" s="595"/>
      <c r="BA420" s="595"/>
      <c r="BB420" s="595"/>
      <c r="BC420" s="595"/>
      <c r="BD420" s="595"/>
      <c r="BE420" s="595"/>
      <c r="BF420" s="595"/>
      <c r="BG420" s="595"/>
      <c r="BH420" s="595"/>
    </row>
    <row r="421" spans="4:60" s="13" customFormat="1">
      <c r="D421" s="595"/>
      <c r="E421" s="595"/>
      <c r="F421" s="595"/>
      <c r="G421" s="595"/>
      <c r="H421" s="595"/>
      <c r="I421" s="595"/>
      <c r="J421" s="595"/>
      <c r="K421" s="595"/>
      <c r="L421" s="595"/>
      <c r="M421" s="595"/>
      <c r="N421" s="595"/>
      <c r="O421" s="595"/>
      <c r="P421" s="595"/>
      <c r="Q421" s="595"/>
      <c r="R421" s="595"/>
      <c r="S421" s="595"/>
      <c r="T421" s="595"/>
      <c r="U421" s="595"/>
      <c r="V421" s="595"/>
      <c r="AP421" s="595"/>
      <c r="AQ421" s="595"/>
      <c r="AR421" s="595"/>
      <c r="AS421" s="595"/>
      <c r="AT421" s="595"/>
      <c r="AU421" s="595"/>
      <c r="AV421" s="595"/>
      <c r="AW421" s="595"/>
      <c r="AX421" s="595"/>
      <c r="AY421" s="595"/>
      <c r="AZ421" s="595"/>
      <c r="BA421" s="595"/>
      <c r="BB421" s="595"/>
      <c r="BC421" s="595"/>
      <c r="BD421" s="595"/>
      <c r="BE421" s="595"/>
      <c r="BF421" s="595"/>
      <c r="BG421" s="595"/>
      <c r="BH421" s="595"/>
    </row>
    <row r="422" spans="4:60" s="13" customFormat="1">
      <c r="D422" s="595"/>
      <c r="E422" s="595"/>
      <c r="F422" s="595"/>
      <c r="G422" s="595"/>
      <c r="H422" s="595"/>
      <c r="I422" s="595"/>
      <c r="J422" s="595"/>
      <c r="K422" s="595"/>
      <c r="L422" s="595"/>
      <c r="M422" s="595"/>
      <c r="N422" s="595"/>
      <c r="O422" s="595"/>
      <c r="P422" s="595"/>
      <c r="Q422" s="595"/>
      <c r="R422" s="595"/>
      <c r="S422" s="595"/>
      <c r="T422" s="595"/>
      <c r="U422" s="595"/>
      <c r="V422" s="595"/>
      <c r="AP422" s="595"/>
      <c r="AQ422" s="595"/>
      <c r="AR422" s="595"/>
      <c r="AS422" s="595"/>
      <c r="AT422" s="595"/>
      <c r="AU422" s="595"/>
      <c r="AV422" s="595"/>
      <c r="AW422" s="595"/>
      <c r="AX422" s="595"/>
      <c r="AY422" s="595"/>
      <c r="AZ422" s="595"/>
      <c r="BA422" s="595"/>
      <c r="BB422" s="595"/>
      <c r="BC422" s="595"/>
      <c r="BD422" s="595"/>
      <c r="BE422" s="595"/>
      <c r="BF422" s="595"/>
      <c r="BG422" s="595"/>
      <c r="BH422" s="595"/>
    </row>
    <row r="423" spans="4:60" s="13" customFormat="1">
      <c r="D423" s="595"/>
      <c r="E423" s="595"/>
      <c r="F423" s="595"/>
      <c r="G423" s="595"/>
      <c r="H423" s="595"/>
      <c r="I423" s="595"/>
      <c r="J423" s="595"/>
      <c r="K423" s="595"/>
      <c r="L423" s="595"/>
      <c r="M423" s="595"/>
      <c r="N423" s="595"/>
      <c r="O423" s="595"/>
      <c r="P423" s="595"/>
      <c r="Q423" s="595"/>
      <c r="R423" s="595"/>
      <c r="S423" s="595"/>
      <c r="T423" s="595"/>
      <c r="U423" s="595"/>
      <c r="V423" s="595"/>
      <c r="AP423" s="595"/>
      <c r="AQ423" s="595"/>
      <c r="AR423" s="595"/>
      <c r="AS423" s="595"/>
      <c r="AT423" s="595"/>
      <c r="AU423" s="595"/>
      <c r="AV423" s="595"/>
      <c r="AW423" s="595"/>
      <c r="AX423" s="595"/>
      <c r="AY423" s="595"/>
      <c r="AZ423" s="595"/>
      <c r="BA423" s="595"/>
      <c r="BB423" s="595"/>
      <c r="BC423" s="595"/>
      <c r="BD423" s="595"/>
      <c r="BE423" s="595"/>
      <c r="BF423" s="595"/>
      <c r="BG423" s="595"/>
      <c r="BH423" s="595"/>
    </row>
    <row r="424" spans="4:60" s="13" customFormat="1">
      <c r="D424" s="595"/>
      <c r="E424" s="595"/>
      <c r="F424" s="595"/>
      <c r="G424" s="595"/>
      <c r="H424" s="595"/>
      <c r="I424" s="595"/>
      <c r="J424" s="595"/>
      <c r="K424" s="595"/>
      <c r="L424" s="595"/>
      <c r="M424" s="595"/>
      <c r="N424" s="595"/>
      <c r="O424" s="595"/>
      <c r="P424" s="595"/>
      <c r="Q424" s="595"/>
      <c r="R424" s="595"/>
      <c r="S424" s="595"/>
      <c r="T424" s="595"/>
      <c r="U424" s="595"/>
      <c r="V424" s="595"/>
      <c r="AP424" s="595"/>
      <c r="AQ424" s="595"/>
      <c r="AR424" s="595"/>
      <c r="AS424" s="595"/>
      <c r="AT424" s="595"/>
      <c r="AU424" s="595"/>
      <c r="AV424" s="595"/>
      <c r="AW424" s="595"/>
      <c r="AX424" s="595"/>
      <c r="AY424" s="595"/>
      <c r="AZ424" s="595"/>
      <c r="BA424" s="595"/>
      <c r="BB424" s="595"/>
      <c r="BC424" s="595"/>
      <c r="BD424" s="595"/>
      <c r="BE424" s="595"/>
      <c r="BF424" s="595"/>
      <c r="BG424" s="595"/>
      <c r="BH424" s="595"/>
    </row>
    <row r="425" spans="4:60" s="13" customFormat="1">
      <c r="D425" s="595"/>
      <c r="E425" s="595"/>
      <c r="F425" s="595"/>
      <c r="G425" s="595"/>
      <c r="H425" s="595"/>
      <c r="I425" s="595"/>
      <c r="J425" s="595"/>
      <c r="K425" s="595"/>
      <c r="L425" s="595"/>
      <c r="M425" s="595"/>
      <c r="N425" s="595"/>
      <c r="O425" s="595"/>
      <c r="P425" s="595"/>
      <c r="Q425" s="595"/>
      <c r="R425" s="595"/>
      <c r="S425" s="595"/>
      <c r="T425" s="595"/>
      <c r="U425" s="595"/>
      <c r="V425" s="595"/>
      <c r="AP425" s="595"/>
      <c r="AQ425" s="595"/>
      <c r="AR425" s="595"/>
      <c r="AS425" s="595"/>
      <c r="AT425" s="595"/>
      <c r="AU425" s="595"/>
      <c r="AV425" s="595"/>
      <c r="AW425" s="595"/>
      <c r="AX425" s="595"/>
      <c r="AY425" s="595"/>
      <c r="AZ425" s="595"/>
      <c r="BA425" s="595"/>
      <c r="BB425" s="595"/>
      <c r="BC425" s="595"/>
      <c r="BD425" s="595"/>
      <c r="BE425" s="595"/>
      <c r="BF425" s="595"/>
      <c r="BG425" s="595"/>
      <c r="BH425" s="595"/>
    </row>
    <row r="426" spans="4:60" s="13" customFormat="1">
      <c r="D426" s="595"/>
      <c r="E426" s="595"/>
      <c r="F426" s="595"/>
      <c r="G426" s="595"/>
      <c r="H426" s="595"/>
      <c r="I426" s="595"/>
      <c r="J426" s="595"/>
      <c r="K426" s="595"/>
      <c r="L426" s="595"/>
      <c r="M426" s="595"/>
      <c r="N426" s="595"/>
      <c r="O426" s="595"/>
      <c r="P426" s="595"/>
      <c r="Q426" s="595"/>
      <c r="R426" s="595"/>
      <c r="S426" s="595"/>
      <c r="T426" s="595"/>
      <c r="U426" s="595"/>
      <c r="V426" s="595"/>
      <c r="AP426" s="595"/>
      <c r="AQ426" s="595"/>
      <c r="AR426" s="595"/>
      <c r="AS426" s="595"/>
      <c r="AT426" s="595"/>
      <c r="AU426" s="595"/>
      <c r="AV426" s="595"/>
      <c r="AW426" s="595"/>
      <c r="AX426" s="595"/>
      <c r="AY426" s="595"/>
      <c r="AZ426" s="595"/>
      <c r="BA426" s="595"/>
      <c r="BB426" s="595"/>
      <c r="BC426" s="595"/>
      <c r="BD426" s="595"/>
      <c r="BE426" s="595"/>
      <c r="BF426" s="595"/>
      <c r="BG426" s="595"/>
      <c r="BH426" s="595"/>
    </row>
    <row r="427" spans="4:60" s="13" customFormat="1">
      <c r="D427" s="595"/>
      <c r="E427" s="595"/>
      <c r="F427" s="595"/>
      <c r="G427" s="595"/>
      <c r="H427" s="595"/>
      <c r="I427" s="595"/>
      <c r="J427" s="595"/>
      <c r="K427" s="595"/>
      <c r="L427" s="595"/>
      <c r="M427" s="595"/>
      <c r="N427" s="595"/>
      <c r="O427" s="595"/>
      <c r="P427" s="595"/>
      <c r="Q427" s="595"/>
      <c r="R427" s="595"/>
      <c r="S427" s="595"/>
      <c r="T427" s="595"/>
      <c r="U427" s="595"/>
      <c r="V427" s="595"/>
      <c r="AP427" s="595"/>
      <c r="AQ427" s="595"/>
      <c r="AR427" s="595"/>
      <c r="AS427" s="595"/>
      <c r="AT427" s="595"/>
      <c r="AU427" s="595"/>
      <c r="AV427" s="595"/>
      <c r="AW427" s="595"/>
      <c r="AX427" s="595"/>
      <c r="AY427" s="595"/>
      <c r="AZ427" s="595"/>
      <c r="BA427" s="595"/>
      <c r="BB427" s="595"/>
      <c r="BC427" s="595"/>
      <c r="BD427" s="595"/>
      <c r="BE427" s="595"/>
      <c r="BF427" s="595"/>
      <c r="BG427" s="595"/>
      <c r="BH427" s="595"/>
    </row>
    <row r="428" spans="4:60" s="13" customFormat="1">
      <c r="D428" s="595"/>
      <c r="E428" s="595"/>
      <c r="F428" s="595"/>
      <c r="G428" s="595"/>
      <c r="H428" s="595"/>
      <c r="I428" s="595"/>
      <c r="J428" s="595"/>
      <c r="K428" s="595"/>
      <c r="L428" s="595"/>
      <c r="M428" s="595"/>
      <c r="N428" s="595"/>
      <c r="O428" s="595"/>
      <c r="P428" s="595"/>
      <c r="Q428" s="595"/>
      <c r="R428" s="595"/>
      <c r="S428" s="595"/>
      <c r="T428" s="595"/>
      <c r="U428" s="595"/>
      <c r="V428" s="595"/>
      <c r="AP428" s="595"/>
      <c r="AQ428" s="595"/>
      <c r="AR428" s="595"/>
      <c r="AS428" s="595"/>
      <c r="AT428" s="595"/>
      <c r="AU428" s="595"/>
      <c r="AV428" s="595"/>
      <c r="AW428" s="595"/>
      <c r="AX428" s="595"/>
      <c r="AY428" s="595"/>
      <c r="AZ428" s="595"/>
      <c r="BA428" s="595"/>
      <c r="BB428" s="595"/>
      <c r="BC428" s="595"/>
      <c r="BD428" s="595"/>
      <c r="BE428" s="595"/>
      <c r="BF428" s="595"/>
      <c r="BG428" s="595"/>
      <c r="BH428" s="595"/>
    </row>
    <row r="429" spans="4:60" s="13" customFormat="1">
      <c r="D429" s="595"/>
      <c r="E429" s="595"/>
      <c r="F429" s="595"/>
      <c r="G429" s="595"/>
      <c r="H429" s="595"/>
      <c r="I429" s="595"/>
      <c r="J429" s="595"/>
      <c r="K429" s="595"/>
      <c r="L429" s="595"/>
      <c r="M429" s="595"/>
      <c r="N429" s="595"/>
      <c r="O429" s="595"/>
      <c r="P429" s="595"/>
      <c r="Q429" s="595"/>
      <c r="R429" s="595"/>
      <c r="S429" s="595"/>
      <c r="T429" s="595"/>
      <c r="U429" s="595"/>
      <c r="V429" s="595"/>
      <c r="AP429" s="595"/>
      <c r="AQ429" s="595"/>
      <c r="AR429" s="595"/>
      <c r="AS429" s="595"/>
      <c r="AT429" s="595"/>
      <c r="AU429" s="595"/>
      <c r="AV429" s="595"/>
      <c r="AW429" s="595"/>
      <c r="AX429" s="595"/>
      <c r="AY429" s="595"/>
      <c r="AZ429" s="595"/>
      <c r="BA429" s="595"/>
      <c r="BB429" s="595"/>
      <c r="BC429" s="595"/>
      <c r="BD429" s="595"/>
      <c r="BE429" s="595"/>
      <c r="BF429" s="595"/>
      <c r="BG429" s="595"/>
      <c r="BH429" s="595"/>
    </row>
    <row r="430" spans="4:60" s="13" customFormat="1">
      <c r="D430" s="595"/>
      <c r="E430" s="595"/>
      <c r="F430" s="595"/>
      <c r="G430" s="595"/>
      <c r="H430" s="595"/>
      <c r="I430" s="595"/>
      <c r="J430" s="595"/>
      <c r="K430" s="595"/>
      <c r="L430" s="595"/>
      <c r="M430" s="595"/>
      <c r="N430" s="595"/>
      <c r="O430" s="595"/>
      <c r="P430" s="595"/>
      <c r="Q430" s="595"/>
      <c r="R430" s="595"/>
      <c r="S430" s="595"/>
      <c r="T430" s="595"/>
      <c r="U430" s="595"/>
      <c r="V430" s="595"/>
      <c r="AP430" s="595"/>
      <c r="AQ430" s="595"/>
      <c r="AR430" s="595"/>
      <c r="AS430" s="595"/>
      <c r="AT430" s="595"/>
      <c r="AU430" s="595"/>
      <c r="AV430" s="595"/>
      <c r="AW430" s="595"/>
      <c r="AX430" s="595"/>
      <c r="AY430" s="595"/>
      <c r="AZ430" s="595"/>
      <c r="BA430" s="595"/>
      <c r="BB430" s="595"/>
      <c r="BC430" s="595"/>
      <c r="BD430" s="595"/>
      <c r="BE430" s="595"/>
      <c r="BF430" s="595"/>
      <c r="BG430" s="595"/>
      <c r="BH430" s="595"/>
    </row>
    <row r="431" spans="4:60" s="13" customFormat="1">
      <c r="D431" s="595"/>
      <c r="E431" s="595"/>
      <c r="F431" s="595"/>
      <c r="G431" s="595"/>
      <c r="H431" s="595"/>
      <c r="I431" s="595"/>
      <c r="J431" s="595"/>
      <c r="K431" s="595"/>
      <c r="L431" s="595"/>
      <c r="M431" s="595"/>
      <c r="N431" s="595"/>
      <c r="O431" s="595"/>
      <c r="P431" s="595"/>
      <c r="Q431" s="595"/>
      <c r="R431" s="595"/>
      <c r="S431" s="595"/>
      <c r="T431" s="595"/>
      <c r="U431" s="595"/>
      <c r="V431" s="595"/>
      <c r="AP431" s="595"/>
      <c r="AQ431" s="595"/>
      <c r="AR431" s="595"/>
      <c r="AS431" s="595"/>
      <c r="AT431" s="595"/>
      <c r="AU431" s="595"/>
      <c r="AV431" s="595"/>
      <c r="AW431" s="595"/>
      <c r="AX431" s="595"/>
      <c r="AY431" s="595"/>
      <c r="AZ431" s="595"/>
      <c r="BA431" s="595"/>
      <c r="BB431" s="595"/>
      <c r="BC431" s="595"/>
      <c r="BD431" s="595"/>
      <c r="BE431" s="595"/>
      <c r="BF431" s="595"/>
      <c r="BG431" s="595"/>
      <c r="BH431" s="595"/>
    </row>
    <row r="432" spans="4:60" s="13" customFormat="1">
      <c r="D432" s="595"/>
      <c r="E432" s="595"/>
      <c r="F432" s="595"/>
      <c r="G432" s="595"/>
      <c r="H432" s="595"/>
      <c r="I432" s="595"/>
      <c r="J432" s="595"/>
      <c r="K432" s="595"/>
      <c r="L432" s="595"/>
      <c r="M432" s="595"/>
      <c r="N432" s="595"/>
      <c r="O432" s="595"/>
      <c r="P432" s="595"/>
      <c r="Q432" s="595"/>
      <c r="R432" s="595"/>
      <c r="S432" s="595"/>
      <c r="T432" s="595"/>
      <c r="U432" s="595"/>
      <c r="V432" s="595"/>
      <c r="AP432" s="595"/>
      <c r="AQ432" s="595"/>
      <c r="AR432" s="595"/>
      <c r="AS432" s="595"/>
      <c r="AT432" s="595"/>
      <c r="AU432" s="595"/>
      <c r="AV432" s="595"/>
      <c r="AW432" s="595"/>
      <c r="AX432" s="595"/>
      <c r="AY432" s="595"/>
      <c r="AZ432" s="595"/>
      <c r="BA432" s="595"/>
      <c r="BB432" s="595"/>
      <c r="BC432" s="595"/>
      <c r="BD432" s="595"/>
      <c r="BE432" s="595"/>
      <c r="BF432" s="595"/>
      <c r="BG432" s="595"/>
      <c r="BH432" s="595"/>
    </row>
    <row r="433" spans="4:60" s="13" customFormat="1">
      <c r="D433" s="595"/>
      <c r="E433" s="595"/>
      <c r="F433" s="595"/>
      <c r="G433" s="595"/>
      <c r="H433" s="595"/>
      <c r="I433" s="595"/>
      <c r="J433" s="595"/>
      <c r="K433" s="595"/>
      <c r="L433" s="595"/>
      <c r="M433" s="595"/>
      <c r="N433" s="595"/>
      <c r="O433" s="595"/>
      <c r="P433" s="595"/>
      <c r="Q433" s="595"/>
      <c r="R433" s="595"/>
      <c r="S433" s="595"/>
      <c r="T433" s="595"/>
      <c r="U433" s="595"/>
      <c r="V433" s="595"/>
      <c r="AP433" s="595"/>
      <c r="AQ433" s="595"/>
      <c r="AR433" s="595"/>
      <c r="AS433" s="595"/>
      <c r="AT433" s="595"/>
      <c r="AU433" s="595"/>
      <c r="AV433" s="595"/>
      <c r="AW433" s="595"/>
      <c r="AX433" s="595"/>
      <c r="AY433" s="595"/>
      <c r="AZ433" s="595"/>
      <c r="BA433" s="595"/>
      <c r="BB433" s="595"/>
      <c r="BC433" s="595"/>
      <c r="BD433" s="595"/>
      <c r="BE433" s="595"/>
      <c r="BF433" s="595"/>
      <c r="BG433" s="595"/>
      <c r="BH433" s="595"/>
    </row>
    <row r="434" spans="4:60" s="13" customFormat="1">
      <c r="D434" s="595"/>
      <c r="E434" s="595"/>
      <c r="F434" s="595"/>
      <c r="G434" s="595"/>
      <c r="H434" s="595"/>
      <c r="I434" s="595"/>
      <c r="J434" s="595"/>
      <c r="K434" s="595"/>
      <c r="L434" s="595"/>
      <c r="M434" s="595"/>
      <c r="N434" s="595"/>
      <c r="O434" s="595"/>
      <c r="P434" s="595"/>
      <c r="Q434" s="595"/>
      <c r="R434" s="595"/>
      <c r="S434" s="595"/>
      <c r="T434" s="595"/>
      <c r="U434" s="595"/>
      <c r="V434" s="595"/>
      <c r="AP434" s="595"/>
      <c r="AQ434" s="595"/>
      <c r="AR434" s="595"/>
      <c r="AS434" s="595"/>
      <c r="AT434" s="595"/>
      <c r="AU434" s="595"/>
      <c r="AV434" s="595"/>
      <c r="AW434" s="595"/>
      <c r="AX434" s="595"/>
      <c r="AY434" s="595"/>
      <c r="AZ434" s="595"/>
      <c r="BA434" s="595"/>
      <c r="BB434" s="595"/>
      <c r="BC434" s="595"/>
      <c r="BD434" s="595"/>
      <c r="BE434" s="595"/>
      <c r="BF434" s="595"/>
      <c r="BG434" s="595"/>
      <c r="BH434" s="595"/>
    </row>
    <row r="435" spans="4:60" s="13" customFormat="1">
      <c r="D435" s="595"/>
      <c r="E435" s="595"/>
      <c r="F435" s="595"/>
      <c r="G435" s="595"/>
      <c r="H435" s="595"/>
      <c r="I435" s="595"/>
      <c r="J435" s="595"/>
      <c r="K435" s="595"/>
      <c r="L435" s="595"/>
      <c r="M435" s="595"/>
      <c r="N435" s="595"/>
      <c r="O435" s="595"/>
      <c r="P435" s="595"/>
      <c r="Q435" s="595"/>
      <c r="R435" s="595"/>
      <c r="S435" s="595"/>
      <c r="T435" s="595"/>
      <c r="U435" s="595"/>
      <c r="V435" s="595"/>
      <c r="AP435" s="595"/>
      <c r="AQ435" s="595"/>
      <c r="AR435" s="595"/>
      <c r="AS435" s="595"/>
      <c r="AT435" s="595"/>
      <c r="AU435" s="595"/>
      <c r="AV435" s="595"/>
      <c r="AW435" s="595"/>
      <c r="AX435" s="595"/>
      <c r="AY435" s="595"/>
      <c r="AZ435" s="595"/>
      <c r="BA435" s="595"/>
      <c r="BB435" s="595"/>
      <c r="BC435" s="595"/>
      <c r="BD435" s="595"/>
      <c r="BE435" s="595"/>
      <c r="BF435" s="595"/>
      <c r="BG435" s="595"/>
      <c r="BH435" s="595"/>
    </row>
    <row r="436" spans="4:60" s="13" customFormat="1">
      <c r="D436" s="595"/>
      <c r="E436" s="595"/>
      <c r="F436" s="595"/>
      <c r="G436" s="595"/>
      <c r="H436" s="595"/>
      <c r="I436" s="595"/>
      <c r="J436" s="595"/>
      <c r="K436" s="595"/>
      <c r="L436" s="595"/>
      <c r="M436" s="595"/>
      <c r="N436" s="595"/>
      <c r="O436" s="595"/>
      <c r="P436" s="595"/>
      <c r="Q436" s="595"/>
      <c r="R436" s="595"/>
      <c r="S436" s="595"/>
      <c r="T436" s="595"/>
      <c r="U436" s="595"/>
      <c r="V436" s="595"/>
      <c r="AP436" s="595"/>
      <c r="AQ436" s="595"/>
      <c r="AR436" s="595"/>
      <c r="AS436" s="595"/>
      <c r="AT436" s="595"/>
      <c r="AU436" s="595"/>
      <c r="AV436" s="595"/>
      <c r="AW436" s="595"/>
      <c r="AX436" s="595"/>
      <c r="AY436" s="595"/>
      <c r="AZ436" s="595"/>
      <c r="BA436" s="595"/>
      <c r="BB436" s="595"/>
      <c r="BC436" s="595"/>
      <c r="BD436" s="595"/>
      <c r="BE436" s="595"/>
      <c r="BF436" s="595"/>
      <c r="BG436" s="595"/>
      <c r="BH436" s="595"/>
    </row>
    <row r="437" spans="4:60" s="13" customFormat="1">
      <c r="D437" s="595"/>
      <c r="E437" s="595"/>
      <c r="F437" s="595"/>
      <c r="G437" s="595"/>
      <c r="H437" s="595"/>
      <c r="I437" s="595"/>
      <c r="J437" s="595"/>
      <c r="K437" s="595"/>
      <c r="L437" s="595"/>
      <c r="M437" s="595"/>
      <c r="N437" s="595"/>
      <c r="O437" s="595"/>
      <c r="P437" s="595"/>
      <c r="Q437" s="595"/>
      <c r="R437" s="595"/>
      <c r="S437" s="595"/>
      <c r="T437" s="595"/>
      <c r="U437" s="595"/>
      <c r="V437" s="595"/>
      <c r="AP437" s="595"/>
      <c r="AQ437" s="595"/>
      <c r="AR437" s="595"/>
      <c r="AS437" s="595"/>
      <c r="AT437" s="595"/>
      <c r="AU437" s="595"/>
      <c r="AV437" s="595"/>
      <c r="AW437" s="595"/>
      <c r="AX437" s="595"/>
      <c r="AY437" s="595"/>
      <c r="AZ437" s="595"/>
      <c r="BA437" s="595"/>
      <c r="BB437" s="595"/>
      <c r="BC437" s="595"/>
      <c r="BD437" s="595"/>
      <c r="BE437" s="595"/>
      <c r="BF437" s="595"/>
      <c r="BG437" s="595"/>
      <c r="BH437" s="595"/>
    </row>
    <row r="438" spans="4:60" s="13" customFormat="1">
      <c r="D438" s="595"/>
      <c r="E438" s="595"/>
      <c r="F438" s="595"/>
      <c r="G438" s="595"/>
      <c r="H438" s="595"/>
      <c r="I438" s="595"/>
      <c r="J438" s="595"/>
      <c r="K438" s="595"/>
      <c r="L438" s="595"/>
      <c r="M438" s="595"/>
      <c r="N438" s="595"/>
      <c r="O438" s="595"/>
      <c r="P438" s="595"/>
      <c r="Q438" s="595"/>
      <c r="R438" s="595"/>
      <c r="S438" s="595"/>
      <c r="T438" s="595"/>
      <c r="U438" s="595"/>
      <c r="V438" s="595"/>
      <c r="AP438" s="595"/>
      <c r="AQ438" s="595"/>
      <c r="AR438" s="595"/>
      <c r="AS438" s="595"/>
      <c r="AT438" s="595"/>
      <c r="AU438" s="595"/>
      <c r="AV438" s="595"/>
      <c r="AW438" s="595"/>
      <c r="AX438" s="595"/>
      <c r="AY438" s="595"/>
      <c r="AZ438" s="595"/>
      <c r="BA438" s="595"/>
      <c r="BB438" s="595"/>
      <c r="BC438" s="595"/>
      <c r="BD438" s="595"/>
      <c r="BE438" s="595"/>
      <c r="BF438" s="595"/>
      <c r="BG438" s="595"/>
      <c r="BH438" s="595"/>
    </row>
    <row r="439" spans="4:60" s="13" customFormat="1">
      <c r="D439" s="595"/>
      <c r="E439" s="595"/>
      <c r="F439" s="595"/>
      <c r="G439" s="595"/>
      <c r="H439" s="595"/>
      <c r="I439" s="595"/>
      <c r="J439" s="595"/>
      <c r="K439" s="595"/>
      <c r="L439" s="595"/>
      <c r="M439" s="595"/>
      <c r="N439" s="595"/>
      <c r="O439" s="595"/>
      <c r="P439" s="595"/>
      <c r="Q439" s="595"/>
      <c r="R439" s="595"/>
      <c r="S439" s="595"/>
      <c r="T439" s="595"/>
      <c r="U439" s="595"/>
      <c r="V439" s="595"/>
      <c r="AP439" s="595"/>
      <c r="AQ439" s="595"/>
      <c r="AR439" s="595"/>
      <c r="AS439" s="595"/>
      <c r="AT439" s="595"/>
      <c r="AU439" s="595"/>
      <c r="AV439" s="595"/>
      <c r="AW439" s="595"/>
      <c r="AX439" s="595"/>
      <c r="AY439" s="595"/>
      <c r="AZ439" s="595"/>
      <c r="BA439" s="595"/>
      <c r="BB439" s="595"/>
      <c r="BC439" s="595"/>
      <c r="BD439" s="595"/>
      <c r="BE439" s="595"/>
      <c r="BF439" s="595"/>
      <c r="BG439" s="595"/>
      <c r="BH439" s="595"/>
    </row>
    <row r="440" spans="4:60" s="13" customFormat="1">
      <c r="D440" s="595"/>
      <c r="E440" s="595"/>
      <c r="F440" s="595"/>
      <c r="G440" s="595"/>
      <c r="H440" s="595"/>
      <c r="I440" s="595"/>
      <c r="J440" s="595"/>
      <c r="K440" s="595"/>
      <c r="L440" s="595"/>
      <c r="M440" s="595"/>
      <c r="N440" s="595"/>
      <c r="O440" s="595"/>
      <c r="P440" s="595"/>
      <c r="Q440" s="595"/>
      <c r="R440" s="595"/>
      <c r="S440" s="595"/>
      <c r="T440" s="595"/>
      <c r="U440" s="595"/>
      <c r="V440" s="595"/>
      <c r="AP440" s="595"/>
      <c r="AQ440" s="595"/>
      <c r="AR440" s="595"/>
      <c r="AS440" s="595"/>
      <c r="AT440" s="595"/>
      <c r="AU440" s="595"/>
      <c r="AV440" s="595"/>
      <c r="AW440" s="595"/>
      <c r="AX440" s="595"/>
      <c r="AY440" s="595"/>
      <c r="AZ440" s="595"/>
      <c r="BA440" s="595"/>
      <c r="BB440" s="595"/>
      <c r="BC440" s="595"/>
      <c r="BD440" s="595"/>
      <c r="BE440" s="595"/>
      <c r="BF440" s="595"/>
      <c r="BG440" s="595"/>
      <c r="BH440" s="595"/>
    </row>
    <row r="441" spans="4:60" s="13" customFormat="1">
      <c r="D441" s="595"/>
      <c r="E441" s="595"/>
      <c r="F441" s="595"/>
      <c r="G441" s="595"/>
      <c r="H441" s="595"/>
      <c r="I441" s="595"/>
      <c r="J441" s="595"/>
      <c r="K441" s="595"/>
      <c r="L441" s="595"/>
      <c r="M441" s="595"/>
      <c r="N441" s="595"/>
      <c r="O441" s="595"/>
      <c r="P441" s="595"/>
      <c r="Q441" s="595"/>
      <c r="R441" s="595"/>
      <c r="S441" s="595"/>
      <c r="T441" s="595"/>
      <c r="U441" s="595"/>
      <c r="V441" s="595"/>
      <c r="AP441" s="595"/>
      <c r="AQ441" s="595"/>
      <c r="AR441" s="595"/>
      <c r="AS441" s="595"/>
      <c r="AT441" s="595"/>
      <c r="AU441" s="595"/>
      <c r="AV441" s="595"/>
      <c r="AW441" s="595"/>
      <c r="AX441" s="595"/>
      <c r="AY441" s="595"/>
      <c r="AZ441" s="595"/>
      <c r="BA441" s="595"/>
      <c r="BB441" s="595"/>
      <c r="BC441" s="595"/>
      <c r="BD441" s="595"/>
      <c r="BE441" s="595"/>
      <c r="BF441" s="595"/>
      <c r="BG441" s="595"/>
      <c r="BH441" s="595"/>
    </row>
  </sheetData>
  <sheetProtection algorithmName="SHA-512" hashValue="Q9PvaFfmdljkz7Dab7MZx6eNAwaNSoEk4P4dDLnsqnvpu6pvQHsWZD4wLYTHqLOjmFedBz5JiCyfpUpTDkRC/w==" saltValue="DLSl5wJA9eQNKCuUfw8EcQ==" spinCount="100000" sheet="1" objects="1" scenarios="1"/>
  <protectedRanges>
    <protectedRange sqref="C11:AD12 AO11:BH12" name="Symulacjaprzygotowanadla"/>
  </protectedRanges>
  <mergeCells count="213">
    <mergeCell ref="AK235:AL235"/>
    <mergeCell ref="K137:W139"/>
    <mergeCell ref="AC230:AC231"/>
    <mergeCell ref="AD230:AE230"/>
    <mergeCell ref="AL230:AL231"/>
    <mergeCell ref="AM230:AN230"/>
    <mergeCell ref="AM220:AN220"/>
    <mergeCell ref="W197:AB198"/>
    <mergeCell ref="AC201:AC202"/>
    <mergeCell ref="AD201:AE201"/>
    <mergeCell ref="AL201:AL202"/>
    <mergeCell ref="AM201:AN201"/>
    <mergeCell ref="AC206:AC207"/>
    <mergeCell ref="AD206:AE206"/>
    <mergeCell ref="AL206:AL207"/>
    <mergeCell ref="AM206:AN206"/>
    <mergeCell ref="AC182:AC183"/>
    <mergeCell ref="AD182:AE182"/>
    <mergeCell ref="AL182:AL183"/>
    <mergeCell ref="X183:AB184"/>
    <mergeCell ref="AH183:AK184"/>
    <mergeCell ref="AC177:AC178"/>
    <mergeCell ref="X178:AB179"/>
    <mergeCell ref="AH178:AK179"/>
    <mergeCell ref="C225:F225"/>
    <mergeCell ref="AC225:AC226"/>
    <mergeCell ref="AD225:AE225"/>
    <mergeCell ref="AL225:AL226"/>
    <mergeCell ref="AM225:AN225"/>
    <mergeCell ref="AH226:AK227"/>
    <mergeCell ref="AC211:AC212"/>
    <mergeCell ref="AD211:AE211"/>
    <mergeCell ref="W216:AA217"/>
    <mergeCell ref="AC220:AC221"/>
    <mergeCell ref="AD220:AE220"/>
    <mergeCell ref="AL220:AL221"/>
    <mergeCell ref="AL187:AL188"/>
    <mergeCell ref="AM187:AN187"/>
    <mergeCell ref="AL192:AL193"/>
    <mergeCell ref="AM192:AN192"/>
    <mergeCell ref="AM182:AN182"/>
    <mergeCell ref="AC187:AC188"/>
    <mergeCell ref="AC192:AC193"/>
    <mergeCell ref="X193:AB194"/>
    <mergeCell ref="X188:AB189"/>
    <mergeCell ref="AH188:AK189"/>
    <mergeCell ref="AH193:AK194"/>
    <mergeCell ref="AD187:AE187"/>
    <mergeCell ref="AD192:AE192"/>
    <mergeCell ref="AG177:AG180"/>
    <mergeCell ref="AG182:AG185"/>
    <mergeCell ref="AG187:AG190"/>
    <mergeCell ref="AG192:AG195"/>
    <mergeCell ref="AD177:AE177"/>
    <mergeCell ref="AL177:AL178"/>
    <mergeCell ref="AM177:AN177"/>
    <mergeCell ref="W149:AB150"/>
    <mergeCell ref="K154:W159"/>
    <mergeCell ref="X154:AB154"/>
    <mergeCell ref="AD154:AE154"/>
    <mergeCell ref="AG155:AG156"/>
    <mergeCell ref="AJ155:AK155"/>
    <mergeCell ref="AI157:AJ157"/>
    <mergeCell ref="X158:AB158"/>
    <mergeCell ref="AD158:AE158"/>
    <mergeCell ref="AM167:AN167"/>
    <mergeCell ref="AH168:AK169"/>
    <mergeCell ref="AC172:AC173"/>
    <mergeCell ref="AD172:AE172"/>
    <mergeCell ref="AL172:AL173"/>
    <mergeCell ref="AM172:AN172"/>
    <mergeCell ref="AJ161:AK161"/>
    <mergeCell ref="W162:AB164"/>
    <mergeCell ref="AC167:AC168"/>
    <mergeCell ref="AD167:AE167"/>
    <mergeCell ref="AL167:AL168"/>
    <mergeCell ref="AJ160:AK160"/>
    <mergeCell ref="AJ162:AK162"/>
    <mergeCell ref="AC119:AH119"/>
    <mergeCell ref="W133:Z134"/>
    <mergeCell ref="X137:AB137"/>
    <mergeCell ref="AD137:AE137"/>
    <mergeCell ref="X145:AB145"/>
    <mergeCell ref="AD145:AE145"/>
    <mergeCell ref="Y112:Y113"/>
    <mergeCell ref="AK112:AK113"/>
    <mergeCell ref="AA113:AB114"/>
    <mergeCell ref="AC113:AC114"/>
    <mergeCell ref="AD113:AD114"/>
    <mergeCell ref="AG113:AH114"/>
    <mergeCell ref="AI113:AI114"/>
    <mergeCell ref="AJ113:AJ114"/>
    <mergeCell ref="C128:AN129"/>
    <mergeCell ref="E88:U88"/>
    <mergeCell ref="E90:U90"/>
    <mergeCell ref="AQ88:BG88"/>
    <mergeCell ref="AQ90:BG90"/>
    <mergeCell ref="AM89:AO89"/>
    <mergeCell ref="Y105:Y106"/>
    <mergeCell ref="AK105:AK106"/>
    <mergeCell ref="AA106:AB107"/>
    <mergeCell ref="AC106:AC107"/>
    <mergeCell ref="AD106:AD107"/>
    <mergeCell ref="AG106:AH107"/>
    <mergeCell ref="AI106:AI107"/>
    <mergeCell ref="AJ106:AJ107"/>
    <mergeCell ref="AI92:AI93"/>
    <mergeCell ref="AJ92:AJ93"/>
    <mergeCell ref="Y98:Y99"/>
    <mergeCell ref="AK98:AK99"/>
    <mergeCell ref="AA99:AB100"/>
    <mergeCell ref="AC99:AC100"/>
    <mergeCell ref="AD99:AD100"/>
    <mergeCell ref="AG99:AH100"/>
    <mergeCell ref="AI99:AI100"/>
    <mergeCell ref="AJ99:AJ100"/>
    <mergeCell ref="E89:U89"/>
    <mergeCell ref="AQ89:BG89"/>
    <mergeCell ref="Y91:Y92"/>
    <mergeCell ref="AK91:AK92"/>
    <mergeCell ref="AA92:AB93"/>
    <mergeCell ref="AC92:AC93"/>
    <mergeCell ref="AD92:AD93"/>
    <mergeCell ref="AG92:AH93"/>
    <mergeCell ref="AI90:AO90"/>
    <mergeCell ref="Y82:Y83"/>
    <mergeCell ref="AK82:AK83"/>
    <mergeCell ref="AA83:AB84"/>
    <mergeCell ref="AC83:AC84"/>
    <mergeCell ref="AD83:AD84"/>
    <mergeCell ref="AG83:AH84"/>
    <mergeCell ref="AI83:AI84"/>
    <mergeCell ref="AJ83:AJ84"/>
    <mergeCell ref="Y75:Y76"/>
    <mergeCell ref="AK75:AK76"/>
    <mergeCell ref="AA76:AB77"/>
    <mergeCell ref="AC76:AC77"/>
    <mergeCell ref="AD76:AD77"/>
    <mergeCell ref="AG76:AH77"/>
    <mergeCell ref="AI76:AI77"/>
    <mergeCell ref="AJ76:AJ77"/>
    <mergeCell ref="Y68:Y69"/>
    <mergeCell ref="AK68:AK69"/>
    <mergeCell ref="AA69:AB70"/>
    <mergeCell ref="AC69:AC70"/>
    <mergeCell ref="AD69:AD70"/>
    <mergeCell ref="AG69:AH70"/>
    <mergeCell ref="AI69:AI70"/>
    <mergeCell ref="AJ69:AJ70"/>
    <mergeCell ref="Y40:Y41"/>
    <mergeCell ref="AK40:AK41"/>
    <mergeCell ref="AA41:AB42"/>
    <mergeCell ref="AC41:AC42"/>
    <mergeCell ref="AD41:AD42"/>
    <mergeCell ref="AG41:AH42"/>
    <mergeCell ref="AI41:AI42"/>
    <mergeCell ref="AJ41:AJ42"/>
    <mergeCell ref="Y33:Y34"/>
    <mergeCell ref="AK33:AK34"/>
    <mergeCell ref="AA34:AB35"/>
    <mergeCell ref="AC34:AC35"/>
    <mergeCell ref="AD34:AD35"/>
    <mergeCell ref="AG34:AH35"/>
    <mergeCell ref="AI34:AI35"/>
    <mergeCell ref="AJ34:AJ35"/>
    <mergeCell ref="Y47:Y48"/>
    <mergeCell ref="AK47:AK48"/>
    <mergeCell ref="AA48:AB49"/>
    <mergeCell ref="AC48:AC49"/>
    <mergeCell ref="AD48:AD49"/>
    <mergeCell ref="AG48:AH49"/>
    <mergeCell ref="AI48:AI49"/>
    <mergeCell ref="AJ48:AJ49"/>
    <mergeCell ref="Y61:Y62"/>
    <mergeCell ref="AK61:AK62"/>
    <mergeCell ref="AA62:AB63"/>
    <mergeCell ref="AC62:AC63"/>
    <mergeCell ref="AD62:AD63"/>
    <mergeCell ref="AG62:AH63"/>
    <mergeCell ref="AI62:AI63"/>
    <mergeCell ref="AJ62:AJ63"/>
    <mergeCell ref="Y54:Y55"/>
    <mergeCell ref="AK54:AK55"/>
    <mergeCell ref="AA55:AB56"/>
    <mergeCell ref="AC55:AC56"/>
    <mergeCell ref="AD55:AD56"/>
    <mergeCell ref="AG55:AH56"/>
    <mergeCell ref="AI55:AI56"/>
    <mergeCell ref="AJ55:AJ56"/>
    <mergeCell ref="AL1:AM1"/>
    <mergeCell ref="AJ3:AJ4"/>
    <mergeCell ref="AK3:AL4"/>
    <mergeCell ref="AM3:AU4"/>
    <mergeCell ref="C8:AJ9"/>
    <mergeCell ref="C11:AC12"/>
    <mergeCell ref="Y26:Y27"/>
    <mergeCell ref="AK26:AK27"/>
    <mergeCell ref="AA27:AB28"/>
    <mergeCell ref="AC27:AC28"/>
    <mergeCell ref="AD27:AD28"/>
    <mergeCell ref="AG27:AH28"/>
    <mergeCell ref="AI27:AI28"/>
    <mergeCell ref="AJ27:AJ28"/>
    <mergeCell ref="Z17:AD17"/>
    <mergeCell ref="AF17:AJ17"/>
    <mergeCell ref="Y19:Y20"/>
    <mergeCell ref="AK19:AK20"/>
    <mergeCell ref="AA20:AB21"/>
    <mergeCell ref="AC20:AC21"/>
    <mergeCell ref="AD20:AD21"/>
    <mergeCell ref="AG20:AH21"/>
    <mergeCell ref="AI20:AI21"/>
    <mergeCell ref="AJ20:AJ21"/>
  </mergeCells>
  <conditionalFormatting sqref="D22:Y22">
    <cfRule type="containsText" dxfId="69" priority="66" operator="containsText" text="1">
      <formula>NOT(ISERROR(SEARCH("1",D22)))</formula>
    </cfRule>
  </conditionalFormatting>
  <conditionalFormatting sqref="D23:D87">
    <cfRule type="containsText" dxfId="68" priority="65" operator="containsText" text="1">
      <formula>NOT(ISERROR(SEARCH("1",D23)))</formula>
    </cfRule>
  </conditionalFormatting>
  <conditionalFormatting sqref="Y29">
    <cfRule type="containsText" dxfId="67" priority="64" operator="containsText" text="1">
      <formula>NOT(ISERROR(SEARCH("1",Y29)))</formula>
    </cfRule>
  </conditionalFormatting>
  <conditionalFormatting sqref="F29:X29">
    <cfRule type="containsText" dxfId="66" priority="63" operator="containsText" text="1">
      <formula>NOT(ISERROR(SEARCH("1",F29)))</formula>
    </cfRule>
  </conditionalFormatting>
  <conditionalFormatting sqref="F30:F87">
    <cfRule type="containsText" dxfId="65" priority="62" operator="containsText" text="1">
      <formula>NOT(ISERROR(SEARCH("1",F30)))</formula>
    </cfRule>
  </conditionalFormatting>
  <conditionalFormatting sqref="F30:F87 F29:Y29">
    <cfRule type="containsText" dxfId="64" priority="61" operator="containsText" text="1">
      <formula>NOT(ISERROR(SEARCH("1",F29)))</formula>
    </cfRule>
  </conditionalFormatting>
  <conditionalFormatting sqref="P64:P87 Q64:Y64">
    <cfRule type="containsText" dxfId="63" priority="60" operator="containsText" text="1">
      <formula>NOT(ISERROR(SEARCH("1",P64)))</formula>
    </cfRule>
  </conditionalFormatting>
  <conditionalFormatting sqref="H36:H87 I36:Y36">
    <cfRule type="containsText" dxfId="62" priority="59" operator="containsText" text="1">
      <formula>NOT(ISERROR(SEARCH("1",H36)))</formula>
    </cfRule>
  </conditionalFormatting>
  <conditionalFormatting sqref="J43:Y43 J44:J87">
    <cfRule type="containsText" dxfId="61" priority="58" operator="containsText" text="1">
      <formula>NOT(ISERROR(SEARCH("1",J43)))</formula>
    </cfRule>
  </conditionalFormatting>
  <conditionalFormatting sqref="M50:Y50">
    <cfRule type="containsText" dxfId="60" priority="57" operator="containsText" text="1">
      <formula>NOT(ISERROR(SEARCH("1",M50)))</formula>
    </cfRule>
  </conditionalFormatting>
  <conditionalFormatting sqref="L50:L87">
    <cfRule type="containsText" dxfId="59" priority="56" operator="containsText" text="1">
      <formula>NOT(ISERROR(SEARCH("1",L50)))</formula>
    </cfRule>
  </conditionalFormatting>
  <conditionalFormatting sqref="O57:Y57">
    <cfRule type="containsText" dxfId="58" priority="55" operator="containsText" text="1">
      <formula>NOT(ISERROR(SEARCH("1",O57)))</formula>
    </cfRule>
  </conditionalFormatting>
  <conditionalFormatting sqref="N57:N87">
    <cfRule type="containsText" dxfId="57" priority="54" operator="containsText" text="1">
      <formula>NOT(ISERROR(SEARCH("1",N57)))</formula>
    </cfRule>
  </conditionalFormatting>
  <conditionalFormatting sqref="S71:Y71">
    <cfRule type="containsText" dxfId="56" priority="53" operator="containsText" text="1">
      <formula>NOT(ISERROR(SEARCH("1",S71)))</formula>
    </cfRule>
  </conditionalFormatting>
  <conditionalFormatting sqref="R71:R87">
    <cfRule type="containsText" dxfId="55" priority="52" operator="containsText" text="1">
      <formula>NOT(ISERROR(SEARCH("1",R71)))</formula>
    </cfRule>
  </conditionalFormatting>
  <conditionalFormatting sqref="U78:Y78">
    <cfRule type="containsText" dxfId="54" priority="51" operator="containsText" text="1">
      <formula>NOT(ISERROR(SEARCH("1",U78)))</formula>
    </cfRule>
  </conditionalFormatting>
  <conditionalFormatting sqref="T78:T87">
    <cfRule type="containsText" dxfId="53" priority="50" operator="containsText" text="1">
      <formula>NOT(ISERROR(SEARCH("1",T78)))</formula>
    </cfRule>
  </conditionalFormatting>
  <conditionalFormatting sqref="W85:Y85">
    <cfRule type="containsText" dxfId="52" priority="49" operator="containsText" text="1">
      <formula>NOT(ISERROR(SEARCH("1",W85)))</formula>
    </cfRule>
  </conditionalFormatting>
  <conditionalFormatting sqref="V85:V87">
    <cfRule type="containsText" dxfId="51" priority="48" operator="containsText" text="1">
      <formula>NOT(ISERROR(SEARCH("1",V85)))</formula>
    </cfRule>
  </conditionalFormatting>
  <conditionalFormatting sqref="Y94">
    <cfRule type="containsText" dxfId="50" priority="47" operator="containsText" text="1">
      <formula>NOT(ISERROR(SEARCH("1",Y94)))</formula>
    </cfRule>
  </conditionalFormatting>
  <conditionalFormatting sqref="W94:X94">
    <cfRule type="containsText" dxfId="49" priority="46" operator="containsText" text="1">
      <formula>NOT(ISERROR(SEARCH("1",W94)))</formula>
    </cfRule>
  </conditionalFormatting>
  <conditionalFormatting sqref="V91:V94">
    <cfRule type="containsText" dxfId="48" priority="45" operator="containsText" text="1">
      <formula>NOT(ISERROR(SEARCH("1",V91)))</formula>
    </cfRule>
  </conditionalFormatting>
  <conditionalFormatting sqref="U101:Y101">
    <cfRule type="containsText" dxfId="47" priority="44" operator="containsText" text="1">
      <formula>NOT(ISERROR(SEARCH("1",U101)))</formula>
    </cfRule>
  </conditionalFormatting>
  <conditionalFormatting sqref="T91:T101">
    <cfRule type="containsText" dxfId="46" priority="43" operator="containsText" text="1">
      <formula>NOT(ISERROR(SEARCH("1",T91)))</formula>
    </cfRule>
  </conditionalFormatting>
  <conditionalFormatting sqref="S108:Y108">
    <cfRule type="containsText" dxfId="45" priority="42" operator="containsText" text="1">
      <formula>NOT(ISERROR(SEARCH("1",S108)))</formula>
    </cfRule>
  </conditionalFormatting>
  <conditionalFormatting sqref="R91:R108">
    <cfRule type="containsText" dxfId="44" priority="41" operator="containsText" text="1">
      <formula>NOT(ISERROR(SEARCH("1",R91)))</formula>
    </cfRule>
  </conditionalFormatting>
  <conditionalFormatting sqref="Q115:Y115">
    <cfRule type="containsText" dxfId="43" priority="40" operator="containsText" text="1">
      <formula>NOT(ISERROR(SEARCH("1",Q115)))</formula>
    </cfRule>
  </conditionalFormatting>
  <conditionalFormatting sqref="P91:P115">
    <cfRule type="containsText" dxfId="42" priority="39" operator="containsText" text="1">
      <formula>NOT(ISERROR(SEARCH("1",P91)))</formula>
    </cfRule>
  </conditionalFormatting>
  <conditionalFormatting sqref="AK22:BG22">
    <cfRule type="containsText" dxfId="41" priority="38" operator="containsText" text="1">
      <formula>NOT(ISERROR(SEARCH("1",AK22)))</formula>
    </cfRule>
  </conditionalFormatting>
  <conditionalFormatting sqref="BH22:BH87">
    <cfRule type="containsText" dxfId="40" priority="37" operator="containsText" text="1">
      <formula>NOT(ISERROR(SEARCH("1",BH22)))</formula>
    </cfRule>
  </conditionalFormatting>
  <conditionalFormatting sqref="AK29">
    <cfRule type="containsText" dxfId="39" priority="36" operator="containsText" text="1">
      <formula>NOT(ISERROR(SEARCH("1",AK29)))</formula>
    </cfRule>
  </conditionalFormatting>
  <conditionalFormatting sqref="AL29:BE29">
    <cfRule type="containsText" dxfId="38" priority="35" operator="containsText" text="1">
      <formula>NOT(ISERROR(SEARCH("1",AL29)))</formula>
    </cfRule>
  </conditionalFormatting>
  <conditionalFormatting sqref="BF29:BF87">
    <cfRule type="containsText" dxfId="37" priority="34" operator="containsText" text="1">
      <formula>NOT(ISERROR(SEARCH("1",BF29)))</formula>
    </cfRule>
  </conditionalFormatting>
  <conditionalFormatting sqref="AK36:BC36">
    <cfRule type="containsText" dxfId="36" priority="33" operator="containsText" text="1">
      <formula>NOT(ISERROR(SEARCH("1",AK36)))</formula>
    </cfRule>
  </conditionalFormatting>
  <conditionalFormatting sqref="BD36:BD87">
    <cfRule type="containsText" dxfId="35" priority="32" operator="containsText" text="1">
      <formula>NOT(ISERROR(SEARCH("1",BD36)))</formula>
    </cfRule>
  </conditionalFormatting>
  <conditionalFormatting sqref="AK43:BA43">
    <cfRule type="containsText" dxfId="34" priority="31" operator="containsText" text="1">
      <formula>NOT(ISERROR(SEARCH("1",AK43)))</formula>
    </cfRule>
  </conditionalFormatting>
  <conditionalFormatting sqref="BB43:BB87">
    <cfRule type="containsText" dxfId="33" priority="30" operator="containsText" text="1">
      <formula>NOT(ISERROR(SEARCH("1",BB43)))</formula>
    </cfRule>
  </conditionalFormatting>
  <conditionalFormatting sqref="AK50:AY50">
    <cfRule type="containsText" dxfId="32" priority="29" operator="containsText" text="1">
      <formula>NOT(ISERROR(SEARCH("1",AK50)))</formula>
    </cfRule>
  </conditionalFormatting>
  <conditionalFormatting sqref="AL115:AU115">
    <cfRule type="containsText" dxfId="31" priority="9" operator="containsText" text="1">
      <formula>NOT(ISERROR(SEARCH("1",AL115)))</formula>
    </cfRule>
  </conditionalFormatting>
  <conditionalFormatting sqref="AZ50:AZ87">
    <cfRule type="containsText" dxfId="30" priority="28" operator="containsText" text="1">
      <formula>NOT(ISERROR(SEARCH("1",AZ50)))</formula>
    </cfRule>
  </conditionalFormatting>
  <conditionalFormatting sqref="AK57:AW57">
    <cfRule type="containsText" dxfId="29" priority="27" operator="containsText" text="1">
      <formula>NOT(ISERROR(SEARCH("1",AK57)))</formula>
    </cfRule>
  </conditionalFormatting>
  <conditionalFormatting sqref="AX57:AX87">
    <cfRule type="containsText" dxfId="28" priority="26" operator="containsText" text="1">
      <formula>NOT(ISERROR(SEARCH("1",AX57)))</formula>
    </cfRule>
  </conditionalFormatting>
  <conditionalFormatting sqref="AK64:AU64">
    <cfRule type="containsText" dxfId="27" priority="25" operator="containsText" text="1">
      <formula>NOT(ISERROR(SEARCH("1",AK64)))</formula>
    </cfRule>
  </conditionalFormatting>
  <conditionalFormatting sqref="AV64:AV87">
    <cfRule type="containsText" dxfId="26" priority="24" operator="containsText" text="1">
      <formula>NOT(ISERROR(SEARCH("1",AV64)))</formula>
    </cfRule>
  </conditionalFormatting>
  <conditionalFormatting sqref="AK71:AS71">
    <cfRule type="containsText" dxfId="25" priority="23" operator="containsText" text="1">
      <formula>NOT(ISERROR(SEARCH("1",AK71)))</formula>
    </cfRule>
  </conditionalFormatting>
  <conditionalFormatting sqref="AT71:AT87">
    <cfRule type="containsText" dxfId="24" priority="22" operator="containsText" text="1">
      <formula>NOT(ISERROR(SEARCH("1",AT71)))</formula>
    </cfRule>
  </conditionalFormatting>
  <conditionalFormatting sqref="AK78:AR78">
    <cfRule type="containsText" dxfId="23" priority="21" operator="containsText" text="1">
      <formula>NOT(ISERROR(SEARCH("1",AK78)))</formula>
    </cfRule>
  </conditionalFormatting>
  <conditionalFormatting sqref="AR79:AR87">
    <cfRule type="containsText" dxfId="22" priority="20" operator="containsText" text="1">
      <formula>NOT(ISERROR(SEARCH("1",AR79)))</formula>
    </cfRule>
  </conditionalFormatting>
  <conditionalFormatting sqref="AK85:AO85">
    <cfRule type="containsText" dxfId="21" priority="19" operator="containsText" text="1">
      <formula>NOT(ISERROR(SEARCH("1",AK85)))</formula>
    </cfRule>
  </conditionalFormatting>
  <conditionalFormatting sqref="AP85:AP87">
    <cfRule type="containsText" dxfId="20" priority="18" operator="containsText" text="1">
      <formula>NOT(ISERROR(SEARCH("1",AP85)))</formula>
    </cfRule>
  </conditionalFormatting>
  <conditionalFormatting sqref="AK94:AO94">
    <cfRule type="containsText" dxfId="19" priority="17" operator="containsText" text="1">
      <formula>NOT(ISERROR(SEARCH("1",AK94)))</formula>
    </cfRule>
  </conditionalFormatting>
  <conditionalFormatting sqref="AP91:AP94">
    <cfRule type="containsText" dxfId="18" priority="16" operator="containsText" text="1">
      <formula>NOT(ISERROR(SEARCH("1",AP91)))</formula>
    </cfRule>
  </conditionalFormatting>
  <conditionalFormatting sqref="AK101:AQ101">
    <cfRule type="containsText" dxfId="17" priority="15" operator="containsText" text="1">
      <formula>NOT(ISERROR(SEARCH("1",AK101)))</formula>
    </cfRule>
  </conditionalFormatting>
  <conditionalFormatting sqref="AR91:AR101">
    <cfRule type="containsText" dxfId="16" priority="14" operator="containsText" text="1">
      <formula>NOT(ISERROR(SEARCH("1",AR91)))</formula>
    </cfRule>
  </conditionalFormatting>
  <conditionalFormatting sqref="AK108">
    <cfRule type="containsText" dxfId="15" priority="13" operator="containsText" text="1">
      <formula>NOT(ISERROR(SEARCH("1",AK108)))</formula>
    </cfRule>
  </conditionalFormatting>
  <conditionalFormatting sqref="AL108:AS108">
    <cfRule type="containsText" dxfId="14" priority="12" operator="containsText" text="1">
      <formula>NOT(ISERROR(SEARCH("1",AL108)))</formula>
    </cfRule>
  </conditionalFormatting>
  <conditionalFormatting sqref="AT91:AT108">
    <cfRule type="containsText" dxfId="13" priority="11" operator="containsText" text="1">
      <formula>NOT(ISERROR(SEARCH("1",AT91)))</formula>
    </cfRule>
  </conditionalFormatting>
  <conditionalFormatting sqref="AK115">
    <cfRule type="containsText" dxfId="12" priority="10" operator="containsText" text="1">
      <formula>NOT(ISERROR(SEARCH("1",AK115)))</formula>
    </cfRule>
  </conditionalFormatting>
  <conditionalFormatting sqref="AV91:AV115">
    <cfRule type="containsText" dxfId="11" priority="8" operator="containsText" text="1">
      <formula>NOT(ISERROR(SEARCH("1",AV91)))</formula>
    </cfRule>
  </conditionalFormatting>
  <conditionalFormatting sqref="AB141:AB143">
    <cfRule type="cellIs" dxfId="10" priority="6" operator="equal">
      <formula>"A"</formula>
    </cfRule>
    <cfRule type="cellIs" dxfId="9" priority="7" operator="equal">
      <formula>"A+"</formula>
    </cfRule>
  </conditionalFormatting>
  <conditionalFormatting sqref="X147">
    <cfRule type="containsBlanks" dxfId="8" priority="5">
      <formula>LEN(TRIM(X147))=0</formula>
    </cfRule>
  </conditionalFormatting>
  <conditionalFormatting sqref="X145:AB145">
    <cfRule type="containsBlanks" dxfId="7" priority="4">
      <formula>LEN(TRIM(X145))=0</formula>
    </cfRule>
  </conditionalFormatting>
  <conditionalFormatting sqref="X160">
    <cfRule type="containsBlanks" dxfId="6" priority="3">
      <formula>LEN(TRIM(X160))=0</formula>
    </cfRule>
  </conditionalFormatting>
  <conditionalFormatting sqref="X158:AB158">
    <cfRule type="containsBlanks" dxfId="5" priority="2">
      <formula>LEN(TRIM(X158))=0</formula>
    </cfRule>
  </conditionalFormatting>
  <conditionalFormatting sqref="X159">
    <cfRule type="containsText" dxfId="4" priority="1" operator="containsText" text="Uwaga! Nie ma zastosowanie w tym rozwiązaniu">
      <formula>NOT(ISERROR(SEARCH("Uwaga! Nie ma zastosowanie w tym rozwiązaniu",X159)))</formula>
    </cfRule>
  </conditionalFormatting>
  <dataValidations disablePrompts="1" count="4">
    <dataValidation type="list" allowBlank="1" showInputMessage="1" showErrorMessage="1" sqref="X137:AB137" xr:uid="{5D3BEDC5-C655-4925-B772-7CCA03668E41}">
      <formula1>wybor_centrali</formula1>
    </dataValidation>
    <dataValidation type="list" allowBlank="1" showInputMessage="1" showErrorMessage="1" sqref="X158:AB158" xr:uid="{175C5DAE-DDF7-4CCC-A39C-67F05FEDEFCD}">
      <formula1>wybor_E390</formula1>
    </dataValidation>
    <dataValidation type="whole" allowBlank="1" showInputMessage="1" showErrorMessage="1" sqref="AC138 AM236" xr:uid="{F15705C9-6D54-4C3F-A144-CDFDC8115047}">
      <formula1>0</formula1>
      <formula2>99</formula2>
    </dataValidation>
    <dataValidation type="list" allowBlank="1" showInputMessage="1" showErrorMessage="1" sqref="X154:AB154" xr:uid="{724A5EAE-E155-466E-9CF1-C0A21760E6C9}">
      <formula1>wybor_sterowanie90</formula1>
    </dataValidation>
  </dataValidations>
  <pageMargins left="0.70866141732283472" right="0.70866141732283472" top="0.74803149606299213" bottom="0.74803149606299213" header="0.31496062992125984" footer="0.31496062992125984"/>
  <pageSetup paperSize="9" scale="5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usz1">
    <tabColor theme="5"/>
  </sheetPr>
  <dimension ref="B2:AP152"/>
  <sheetViews>
    <sheetView showGridLines="0" showRowColHeaders="0" zoomScale="70" zoomScaleNormal="70" workbookViewId="0">
      <selection activeCell="Q74" sqref="Q74"/>
    </sheetView>
  </sheetViews>
  <sheetFormatPr defaultRowHeight="14.4"/>
  <cols>
    <col min="1" max="1" width="4.109375" customWidth="1"/>
    <col min="7" max="8" width="5.88671875" customWidth="1"/>
    <col min="9" max="10" width="11.5546875" bestFit="1" customWidth="1"/>
    <col min="11" max="11" width="11.5546875" customWidth="1"/>
    <col min="12" max="12" width="3.6640625" customWidth="1"/>
    <col min="13" max="13" width="53.33203125" customWidth="1"/>
    <col min="20" max="20" width="10" bestFit="1" customWidth="1"/>
    <col min="25" max="25" width="2.6640625" customWidth="1"/>
  </cols>
  <sheetData>
    <row r="2" spans="2:42" ht="18">
      <c r="B2" s="819" t="s">
        <v>134</v>
      </c>
      <c r="C2" s="819"/>
      <c r="D2" s="819"/>
      <c r="E2" s="819"/>
      <c r="F2" s="819"/>
      <c r="G2" s="819"/>
      <c r="H2" s="129"/>
      <c r="I2" s="129"/>
      <c r="J2" s="129"/>
      <c r="K2" s="129"/>
      <c r="L2" s="121"/>
      <c r="M2" s="121"/>
      <c r="N2" s="121"/>
      <c r="O2" s="121"/>
      <c r="P2" s="121"/>
      <c r="Q2" s="121"/>
      <c r="R2" s="121"/>
      <c r="S2" s="121"/>
      <c r="T2" s="252"/>
      <c r="U2" s="252"/>
      <c r="V2" s="252"/>
      <c r="W2" s="252"/>
      <c r="X2" s="252"/>
      <c r="Y2" s="252"/>
      <c r="Z2" s="252"/>
      <c r="AA2" s="252"/>
      <c r="AB2" s="252"/>
      <c r="AC2" s="252"/>
      <c r="AD2" s="252"/>
      <c r="AE2" s="252"/>
      <c r="AF2" s="252"/>
    </row>
    <row r="3" spans="2:42" ht="18">
      <c r="B3" s="13"/>
      <c r="C3" s="149"/>
      <c r="D3" s="149"/>
      <c r="E3" s="149"/>
      <c r="F3" s="149"/>
      <c r="G3" s="149"/>
      <c r="H3" s="149"/>
      <c r="I3" s="149"/>
      <c r="J3" s="149"/>
      <c r="K3" s="149"/>
      <c r="L3" s="13"/>
      <c r="M3" s="13"/>
      <c r="N3" s="13"/>
      <c r="O3" s="13"/>
      <c r="P3" s="13"/>
      <c r="Q3" s="13"/>
      <c r="R3" s="13"/>
      <c r="S3" s="13"/>
      <c r="T3" s="13"/>
      <c r="U3" s="13"/>
      <c r="V3" s="13"/>
      <c r="W3" s="13"/>
      <c r="X3" s="13"/>
      <c r="Y3" s="13"/>
      <c r="Z3" s="13"/>
      <c r="AA3" s="13"/>
      <c r="AB3" s="13"/>
      <c r="AC3" s="13"/>
      <c r="AD3" s="13"/>
      <c r="AE3" s="13"/>
      <c r="AF3" s="13"/>
    </row>
    <row r="4" spans="2:42" ht="18">
      <c r="B4" s="818" t="s">
        <v>278</v>
      </c>
      <c r="C4" s="818"/>
      <c r="D4" s="818"/>
      <c r="E4" s="818"/>
      <c r="F4" s="818"/>
      <c r="G4" s="818"/>
      <c r="H4" s="149"/>
      <c r="I4" s="149"/>
      <c r="J4" s="149"/>
      <c r="K4" s="149"/>
      <c r="L4" s="13"/>
      <c r="M4" s="13"/>
      <c r="N4" s="13"/>
      <c r="O4" s="13"/>
      <c r="P4" s="13"/>
      <c r="Q4" s="13"/>
      <c r="R4" s="13"/>
      <c r="S4" s="13"/>
      <c r="T4" s="13"/>
      <c r="U4" s="13"/>
      <c r="V4" s="13"/>
      <c r="W4" s="13"/>
      <c r="X4" s="13"/>
      <c r="Y4" s="13"/>
    </row>
    <row r="5" spans="2:42" ht="18">
      <c r="B5" s="251"/>
      <c r="C5" s="251"/>
      <c r="D5" s="149"/>
      <c r="E5" s="149"/>
      <c r="F5" s="149"/>
      <c r="G5" s="149"/>
      <c r="H5" s="149"/>
      <c r="I5" s="149"/>
      <c r="J5" s="149"/>
      <c r="K5" s="149"/>
      <c r="L5" s="13"/>
      <c r="M5" s="13"/>
      <c r="N5" s="13"/>
      <c r="O5" s="13"/>
      <c r="P5" s="13"/>
      <c r="Q5" s="13"/>
      <c r="R5" s="13"/>
      <c r="S5" s="13"/>
      <c r="T5" s="13"/>
      <c r="U5" s="13"/>
      <c r="V5" s="13"/>
      <c r="W5" s="13"/>
      <c r="X5" s="13"/>
      <c r="Y5" s="13"/>
    </row>
    <row r="6" spans="2:42" ht="15.6">
      <c r="I6" s="821" t="s">
        <v>154</v>
      </c>
      <c r="J6" s="821"/>
      <c r="K6" s="821"/>
      <c r="P6" s="817" t="s">
        <v>269</v>
      </c>
      <c r="Q6" s="817"/>
      <c r="R6" s="817"/>
      <c r="S6" s="817"/>
      <c r="AL6" s="250" t="s">
        <v>271</v>
      </c>
      <c r="AM6" s="250"/>
      <c r="AN6" s="250"/>
      <c r="AO6" s="250"/>
      <c r="AP6" s="250"/>
    </row>
    <row r="7" spans="2:42" ht="15.6">
      <c r="I7" s="150" t="s">
        <v>568</v>
      </c>
      <c r="J7" s="150" t="s">
        <v>268</v>
      </c>
      <c r="K7" s="151" t="s">
        <v>267</v>
      </c>
    </row>
    <row r="8" spans="2:42">
      <c r="I8" s="130" t="s">
        <v>291</v>
      </c>
      <c r="J8" s="130" t="s">
        <v>137</v>
      </c>
      <c r="K8" s="131" t="s">
        <v>138</v>
      </c>
      <c r="L8" s="127">
        <v>1</v>
      </c>
      <c r="M8" t="s">
        <v>272</v>
      </c>
    </row>
    <row r="9" spans="2:42" ht="3" customHeight="1">
      <c r="I9" s="130"/>
      <c r="J9" s="130"/>
      <c r="K9" s="131"/>
      <c r="L9" s="128"/>
    </row>
    <row r="10" spans="2:42">
      <c r="I10" s="130" t="s">
        <v>291</v>
      </c>
      <c r="J10" s="130" t="s">
        <v>137</v>
      </c>
      <c r="K10" s="131" t="s">
        <v>138</v>
      </c>
      <c r="L10" s="127">
        <v>2</v>
      </c>
      <c r="M10" t="s">
        <v>236</v>
      </c>
    </row>
    <row r="11" spans="2:42" ht="3" customHeight="1">
      <c r="I11" s="130"/>
      <c r="J11" s="130"/>
      <c r="K11" s="131"/>
      <c r="L11" s="128"/>
    </row>
    <row r="12" spans="2:42">
      <c r="I12" s="130" t="s">
        <v>291</v>
      </c>
      <c r="J12" s="130" t="s">
        <v>137</v>
      </c>
      <c r="K12" s="131" t="s">
        <v>138</v>
      </c>
      <c r="L12" s="127">
        <v>3</v>
      </c>
      <c r="M12" t="s">
        <v>273</v>
      </c>
    </row>
    <row r="13" spans="2:42" ht="3" customHeight="1">
      <c r="I13" s="130"/>
      <c r="J13" s="130"/>
      <c r="K13" s="131"/>
      <c r="L13" s="128"/>
    </row>
    <row r="14" spans="2:42">
      <c r="I14" s="130" t="s">
        <v>291</v>
      </c>
      <c r="J14" s="130" t="s">
        <v>137</v>
      </c>
      <c r="K14" s="131" t="s">
        <v>138</v>
      </c>
      <c r="L14" s="127">
        <v>4</v>
      </c>
      <c r="M14" t="s">
        <v>237</v>
      </c>
    </row>
    <row r="15" spans="2:42" ht="3" customHeight="1">
      <c r="I15" s="132"/>
      <c r="J15" s="132"/>
      <c r="K15" s="133"/>
      <c r="L15" s="128"/>
    </row>
    <row r="16" spans="2:42">
      <c r="I16" s="132"/>
      <c r="J16" s="132"/>
      <c r="K16" s="133"/>
      <c r="L16" s="127">
        <v>5</v>
      </c>
      <c r="M16" t="s">
        <v>135</v>
      </c>
    </row>
    <row r="17" spans="9:19" ht="3" customHeight="1">
      <c r="I17" s="132"/>
      <c r="J17" s="132"/>
      <c r="K17" s="133"/>
      <c r="L17" s="128"/>
    </row>
    <row r="18" spans="9:19">
      <c r="I18" s="132"/>
      <c r="J18" s="132"/>
      <c r="K18" s="133"/>
      <c r="L18" s="127">
        <v>6</v>
      </c>
      <c r="M18" t="s">
        <v>274</v>
      </c>
    </row>
    <row r="19" spans="9:19" ht="3" customHeight="1">
      <c r="I19" s="132"/>
      <c r="J19" s="132"/>
      <c r="K19" s="133"/>
      <c r="L19" s="128"/>
    </row>
    <row r="20" spans="9:19">
      <c r="I20" s="132" t="s">
        <v>139</v>
      </c>
      <c r="J20" s="132" t="s">
        <v>139</v>
      </c>
      <c r="K20" s="133" t="s">
        <v>139</v>
      </c>
      <c r="L20" s="127">
        <v>7</v>
      </c>
      <c r="M20" t="s">
        <v>136</v>
      </c>
    </row>
    <row r="21" spans="9:19" ht="3" customHeight="1">
      <c r="I21" s="132"/>
      <c r="J21" s="132"/>
      <c r="K21" s="133"/>
      <c r="L21" s="128"/>
    </row>
    <row r="22" spans="9:19">
      <c r="I22" s="132" t="s">
        <v>139</v>
      </c>
      <c r="J22" s="132" t="s">
        <v>139</v>
      </c>
      <c r="K22" s="133" t="s">
        <v>139</v>
      </c>
      <c r="L22" s="127">
        <v>8</v>
      </c>
      <c r="M22" t="s">
        <v>140</v>
      </c>
    </row>
    <row r="23" spans="9:19" ht="3" customHeight="1">
      <c r="I23" s="132"/>
      <c r="J23" s="132"/>
      <c r="K23" s="133"/>
      <c r="L23" s="128"/>
    </row>
    <row r="24" spans="9:19">
      <c r="I24" s="134">
        <v>0.9</v>
      </c>
      <c r="J24" s="134">
        <v>0.9</v>
      </c>
      <c r="K24" s="135">
        <v>0.93</v>
      </c>
      <c r="L24" s="127">
        <v>9</v>
      </c>
      <c r="M24" t="s">
        <v>275</v>
      </c>
    </row>
    <row r="25" spans="9:19" ht="3" customHeight="1">
      <c r="I25" s="132"/>
      <c r="J25" s="132"/>
      <c r="K25" s="133"/>
      <c r="L25" s="128"/>
    </row>
    <row r="26" spans="9:19">
      <c r="I26" s="132"/>
      <c r="J26" s="132"/>
      <c r="K26" s="133"/>
      <c r="L26" s="127">
        <v>10</v>
      </c>
      <c r="M26" t="s">
        <v>276</v>
      </c>
    </row>
    <row r="27" spans="9:19" ht="3" customHeight="1">
      <c r="I27" s="132"/>
      <c r="J27" s="132"/>
      <c r="K27" s="133"/>
      <c r="L27" s="128"/>
    </row>
    <row r="28" spans="9:19">
      <c r="I28" s="132" t="s">
        <v>155</v>
      </c>
      <c r="J28" s="132" t="s">
        <v>155</v>
      </c>
      <c r="K28" s="132" t="s">
        <v>155</v>
      </c>
      <c r="L28" s="127">
        <v>11</v>
      </c>
      <c r="M28" t="s">
        <v>141</v>
      </c>
    </row>
    <row r="29" spans="9:19" ht="3" customHeight="1">
      <c r="I29" s="136"/>
      <c r="J29" s="136"/>
      <c r="K29" s="137"/>
    </row>
    <row r="30" spans="9:19">
      <c r="I30" s="136"/>
      <c r="J30" s="136"/>
      <c r="K30" s="137"/>
      <c r="L30" s="127">
        <v>12</v>
      </c>
      <c r="M30" t="s">
        <v>142</v>
      </c>
    </row>
    <row r="31" spans="9:19" ht="3" customHeight="1"/>
    <row r="32" spans="9:19" ht="15.6">
      <c r="L32" s="127">
        <v>13</v>
      </c>
      <c r="M32" t="s">
        <v>238</v>
      </c>
      <c r="P32" s="253"/>
      <c r="Q32" s="253"/>
      <c r="R32" s="253"/>
      <c r="S32" s="253"/>
    </row>
    <row r="33" spans="2:26" ht="3" customHeight="1"/>
    <row r="34" spans="2:26">
      <c r="L34" s="127">
        <v>14</v>
      </c>
      <c r="M34" t="s">
        <v>284</v>
      </c>
    </row>
    <row r="38" spans="2:26" ht="18">
      <c r="B38" s="818" t="s">
        <v>277</v>
      </c>
      <c r="C38" s="818"/>
      <c r="D38" s="818"/>
      <c r="E38" s="818"/>
      <c r="F38" s="818"/>
      <c r="G38" s="818"/>
      <c r="H38" s="149"/>
      <c r="I38" s="149"/>
      <c r="J38" s="149"/>
      <c r="K38" s="149"/>
      <c r="L38" s="13"/>
      <c r="M38" s="13"/>
      <c r="N38" s="13"/>
      <c r="O38" s="13"/>
      <c r="P38" s="13"/>
      <c r="Q38" s="13"/>
      <c r="R38" s="13"/>
      <c r="S38" s="13"/>
      <c r="T38" s="13"/>
      <c r="U38" s="13"/>
      <c r="V38" s="13"/>
      <c r="W38" s="13"/>
      <c r="X38" s="13"/>
      <c r="Y38" s="13"/>
    </row>
    <row r="39" spans="2:26" ht="18">
      <c r="B39" s="251"/>
      <c r="C39" s="251"/>
      <c r="D39" s="149"/>
      <c r="E39" s="149"/>
      <c r="F39" s="149"/>
      <c r="G39" s="149"/>
      <c r="H39" s="149"/>
      <c r="I39" s="149"/>
      <c r="J39" s="149"/>
      <c r="K39" s="149"/>
      <c r="L39" s="13"/>
      <c r="M39" s="13"/>
      <c r="N39" s="13"/>
      <c r="O39" s="13"/>
      <c r="P39" s="13"/>
      <c r="Q39" s="13"/>
      <c r="R39" s="13"/>
      <c r="S39" s="13"/>
      <c r="T39" s="13"/>
      <c r="U39" s="13"/>
      <c r="V39" s="13"/>
      <c r="W39" s="13"/>
      <c r="X39" s="13"/>
      <c r="Y39" s="13"/>
    </row>
    <row r="40" spans="2:26" ht="15.6">
      <c r="I40" s="821" t="s">
        <v>154</v>
      </c>
      <c r="J40" s="821"/>
      <c r="K40" s="821"/>
      <c r="P40" s="817" t="s">
        <v>270</v>
      </c>
      <c r="Q40" s="817"/>
      <c r="R40" s="817"/>
      <c r="S40" s="817"/>
      <c r="U40" s="13"/>
      <c r="V40" s="13"/>
      <c r="W40" s="13"/>
      <c r="X40" s="13"/>
      <c r="Y40" s="13"/>
      <c r="Z40" s="13"/>
    </row>
    <row r="41" spans="2:26" ht="15.6">
      <c r="I41" s="150" t="s">
        <v>568</v>
      </c>
      <c r="J41" s="150" t="s">
        <v>268</v>
      </c>
      <c r="K41" s="151" t="s">
        <v>267</v>
      </c>
    </row>
    <row r="42" spans="2:26">
      <c r="I42" s="130" t="s">
        <v>291</v>
      </c>
      <c r="J42" s="130" t="s">
        <v>137</v>
      </c>
      <c r="K42" s="131" t="s">
        <v>138</v>
      </c>
      <c r="L42" s="127">
        <v>1</v>
      </c>
      <c r="M42" t="s">
        <v>272</v>
      </c>
    </row>
    <row r="43" spans="2:26" ht="3" customHeight="1">
      <c r="I43" s="130"/>
      <c r="J43" s="130"/>
      <c r="K43" s="131"/>
      <c r="L43" s="128"/>
    </row>
    <row r="44" spans="2:26">
      <c r="I44" s="130" t="s">
        <v>291</v>
      </c>
      <c r="J44" s="130" t="s">
        <v>137</v>
      </c>
      <c r="K44" s="131" t="s">
        <v>138</v>
      </c>
      <c r="L44" s="127">
        <v>2</v>
      </c>
      <c r="M44" t="s">
        <v>236</v>
      </c>
    </row>
    <row r="45" spans="2:26" ht="3" customHeight="1">
      <c r="I45" s="130"/>
      <c r="J45" s="130"/>
      <c r="K45" s="131"/>
      <c r="L45" s="128"/>
    </row>
    <row r="46" spans="2:26">
      <c r="I46" s="130" t="s">
        <v>291</v>
      </c>
      <c r="J46" s="130" t="s">
        <v>137</v>
      </c>
      <c r="K46" s="131" t="s">
        <v>138</v>
      </c>
      <c r="L46" s="127">
        <v>3</v>
      </c>
      <c r="M46" t="s">
        <v>273</v>
      </c>
    </row>
    <row r="47" spans="2:26" ht="3" customHeight="1">
      <c r="I47" s="130"/>
      <c r="J47" s="130"/>
      <c r="K47" s="131"/>
      <c r="L47" s="128"/>
    </row>
    <row r="48" spans="2:26">
      <c r="I48" s="130" t="s">
        <v>291</v>
      </c>
      <c r="J48" s="130" t="s">
        <v>137</v>
      </c>
      <c r="K48" s="131" t="s">
        <v>138</v>
      </c>
      <c r="L48" s="127">
        <v>4</v>
      </c>
      <c r="M48" t="s">
        <v>237</v>
      </c>
    </row>
    <row r="49" spans="9:13" ht="3" customHeight="1">
      <c r="I49" s="132"/>
      <c r="J49" s="132"/>
      <c r="K49" s="133"/>
      <c r="L49" s="128"/>
    </row>
    <row r="50" spans="9:13">
      <c r="I50" s="132"/>
      <c r="J50" s="132"/>
      <c r="K50" s="133"/>
      <c r="L50" s="127">
        <v>5</v>
      </c>
      <c r="M50" t="s">
        <v>135</v>
      </c>
    </row>
    <row r="51" spans="9:13" ht="3" customHeight="1">
      <c r="I51" s="132"/>
      <c r="J51" s="132"/>
      <c r="K51" s="133"/>
      <c r="L51" s="128"/>
    </row>
    <row r="52" spans="9:13">
      <c r="I52" s="132"/>
      <c r="J52" s="132"/>
      <c r="K52" s="133"/>
      <c r="L52" s="127">
        <v>6</v>
      </c>
      <c r="M52" t="s">
        <v>274</v>
      </c>
    </row>
    <row r="53" spans="9:13" ht="3" customHeight="1">
      <c r="I53" s="132"/>
      <c r="J53" s="132"/>
      <c r="K53" s="133"/>
      <c r="L53" s="128"/>
    </row>
    <row r="54" spans="9:13">
      <c r="I54" s="132" t="s">
        <v>139</v>
      </c>
      <c r="J54" s="132" t="s">
        <v>139</v>
      </c>
      <c r="K54" s="133" t="s">
        <v>139</v>
      </c>
      <c r="L54" s="127">
        <v>7</v>
      </c>
      <c r="M54" t="s">
        <v>136</v>
      </c>
    </row>
    <row r="55" spans="9:13" ht="3" customHeight="1">
      <c r="I55" s="132"/>
      <c r="J55" s="132"/>
      <c r="K55" s="133"/>
      <c r="L55" s="128"/>
    </row>
    <row r="56" spans="9:13">
      <c r="I56" s="132" t="s">
        <v>139</v>
      </c>
      <c r="J56" s="132" t="s">
        <v>139</v>
      </c>
      <c r="K56" s="133" t="s">
        <v>139</v>
      </c>
      <c r="L56" s="127">
        <v>8</v>
      </c>
      <c r="M56" t="s">
        <v>140</v>
      </c>
    </row>
    <row r="57" spans="9:13" ht="3" customHeight="1">
      <c r="I57" s="132"/>
      <c r="J57" s="132"/>
      <c r="K57" s="133"/>
      <c r="L57" s="128"/>
    </row>
    <row r="58" spans="9:13">
      <c r="I58" s="134">
        <v>0.9</v>
      </c>
      <c r="J58" s="134">
        <v>0.9</v>
      </c>
      <c r="K58" s="135">
        <v>0.93</v>
      </c>
      <c r="L58" s="127">
        <v>9</v>
      </c>
      <c r="M58" t="s">
        <v>275</v>
      </c>
    </row>
    <row r="59" spans="9:13" ht="3" customHeight="1">
      <c r="I59" s="132"/>
      <c r="J59" s="132"/>
      <c r="K59" s="133"/>
      <c r="L59" s="128"/>
    </row>
    <row r="60" spans="9:13">
      <c r="I60" s="132"/>
      <c r="J60" s="132"/>
      <c r="K60" s="133"/>
      <c r="L60" s="127">
        <v>10</v>
      </c>
      <c r="M60" t="s">
        <v>276</v>
      </c>
    </row>
    <row r="61" spans="9:13" ht="3" customHeight="1">
      <c r="I61" s="132"/>
      <c r="J61" s="132"/>
      <c r="K61" s="133"/>
      <c r="L61" s="128"/>
    </row>
    <row r="62" spans="9:13">
      <c r="I62" s="132" t="s">
        <v>155</v>
      </c>
      <c r="J62" s="132" t="s">
        <v>155</v>
      </c>
      <c r="K62" s="132" t="s">
        <v>155</v>
      </c>
      <c r="L62" s="127">
        <v>11</v>
      </c>
      <c r="M62" t="s">
        <v>141</v>
      </c>
    </row>
    <row r="63" spans="9:13" ht="3" customHeight="1">
      <c r="I63" s="136"/>
      <c r="J63" s="136"/>
      <c r="K63" s="137"/>
    </row>
    <row r="64" spans="9:13">
      <c r="I64" s="136"/>
      <c r="J64" s="136"/>
      <c r="K64" s="137"/>
      <c r="L64" s="127">
        <v>12</v>
      </c>
      <c r="M64" t="s">
        <v>142</v>
      </c>
    </row>
    <row r="65" spans="11:23" ht="3" customHeight="1"/>
    <row r="66" spans="11:23">
      <c r="L66" s="127">
        <v>13</v>
      </c>
      <c r="M66" t="s">
        <v>238</v>
      </c>
    </row>
    <row r="67" spans="11:23" ht="3.9" customHeight="1"/>
    <row r="68" spans="11:23">
      <c r="L68" s="127">
        <v>14</v>
      </c>
      <c r="M68" t="s">
        <v>284</v>
      </c>
    </row>
    <row r="70" spans="11:23">
      <c r="L70" s="127">
        <v>15</v>
      </c>
      <c r="M70" t="s">
        <v>665</v>
      </c>
    </row>
    <row r="77" spans="11:23">
      <c r="K77" s="146"/>
      <c r="L77" s="128"/>
      <c r="M77" s="139"/>
      <c r="N77" s="139"/>
      <c r="O77" s="143"/>
      <c r="P77" s="144"/>
      <c r="Q77" s="140"/>
      <c r="R77" s="141"/>
      <c r="S77" s="141"/>
      <c r="T77" s="141"/>
      <c r="U77" s="141"/>
      <c r="V77" s="141"/>
      <c r="W77" s="140"/>
    </row>
    <row r="78" spans="11:23">
      <c r="K78" s="143"/>
      <c r="O78" s="143"/>
      <c r="P78" s="143"/>
      <c r="Q78" s="140"/>
      <c r="R78" s="141"/>
      <c r="S78" s="141"/>
      <c r="T78" s="141"/>
      <c r="U78" s="141"/>
      <c r="V78" s="141"/>
      <c r="W78" s="140"/>
    </row>
    <row r="79" spans="11:23">
      <c r="K79" s="143"/>
      <c r="N79" s="145"/>
      <c r="O79" s="143"/>
      <c r="P79" s="143"/>
    </row>
    <row r="80" spans="11:23">
      <c r="K80" s="143"/>
      <c r="N80" s="145"/>
      <c r="O80" s="143"/>
      <c r="P80" s="143"/>
    </row>
    <row r="81" spans="11:12">
      <c r="K81" s="146"/>
      <c r="L81" s="128"/>
    </row>
    <row r="112" spans="2:24">
      <c r="B112" s="820" t="s">
        <v>210</v>
      </c>
      <c r="C112" s="820"/>
      <c r="D112" s="820"/>
      <c r="E112" s="820"/>
      <c r="F112" s="820"/>
      <c r="G112" s="820"/>
      <c r="H112" s="820"/>
      <c r="I112" s="820"/>
      <c r="J112" s="820"/>
      <c r="K112" s="820"/>
      <c r="L112" s="820"/>
      <c r="M112" s="820"/>
      <c r="S112" s="16"/>
      <c r="T112" s="16"/>
      <c r="U112" s="16"/>
      <c r="V112" s="16"/>
      <c r="X112" s="16"/>
    </row>
    <row r="113" spans="2:24">
      <c r="L113" s="142"/>
      <c r="M113" s="142"/>
      <c r="R113" s="4"/>
      <c r="S113" s="152" t="s">
        <v>164</v>
      </c>
      <c r="T113" s="152"/>
      <c r="U113" s="152"/>
      <c r="V113" s="152"/>
      <c r="W113" s="4"/>
      <c r="X113" s="16"/>
    </row>
    <row r="114" spans="2:24">
      <c r="B114" t="s">
        <v>166</v>
      </c>
      <c r="L114" s="142"/>
      <c r="M114" s="142"/>
      <c r="R114" s="4"/>
      <c r="S114" s="152"/>
      <c r="T114" s="152"/>
      <c r="U114" s="152"/>
      <c r="V114" s="152"/>
      <c r="W114" s="4"/>
      <c r="X114" s="16"/>
    </row>
    <row r="115" spans="2:24">
      <c r="B115" t="s">
        <v>169</v>
      </c>
      <c r="L115" s="142"/>
      <c r="M115" s="142"/>
      <c r="R115" s="4"/>
      <c r="S115" s="152" t="s">
        <v>3</v>
      </c>
      <c r="T115" s="152" t="s">
        <v>4</v>
      </c>
      <c r="U115" s="152"/>
      <c r="V115" s="152"/>
      <c r="W115" s="4"/>
      <c r="X115" s="16"/>
    </row>
    <row r="116" spans="2:24">
      <c r="B116" t="s">
        <v>167</v>
      </c>
      <c r="L116" s="142"/>
      <c r="M116" s="142"/>
      <c r="R116" s="4"/>
      <c r="S116" s="152">
        <v>300</v>
      </c>
      <c r="T116" s="152">
        <v>52</v>
      </c>
      <c r="U116" s="152">
        <v>300</v>
      </c>
      <c r="V116" s="152">
        <v>52</v>
      </c>
      <c r="W116" s="4"/>
      <c r="X116" s="16"/>
    </row>
    <row r="117" spans="2:24">
      <c r="B117" t="s">
        <v>168</v>
      </c>
      <c r="L117" s="142"/>
      <c r="M117" s="142"/>
      <c r="R117" s="4"/>
      <c r="S117" s="152">
        <v>100</v>
      </c>
      <c r="T117" s="152">
        <v>7</v>
      </c>
      <c r="U117" s="152">
        <v>100</v>
      </c>
      <c r="V117" s="152">
        <v>7</v>
      </c>
      <c r="W117" s="4"/>
      <c r="X117" s="16"/>
    </row>
    <row r="118" spans="2:24">
      <c r="B118" t="s">
        <v>180</v>
      </c>
      <c r="L118" s="142"/>
      <c r="M118" s="142"/>
      <c r="R118" s="4"/>
      <c r="S118" s="152" t="s">
        <v>162</v>
      </c>
      <c r="T118" s="152" t="s">
        <v>163</v>
      </c>
      <c r="U118" s="152" t="s">
        <v>162</v>
      </c>
      <c r="V118" s="152" t="s">
        <v>163</v>
      </c>
      <c r="W118" s="4"/>
      <c r="X118" s="16"/>
    </row>
    <row r="119" spans="2:24">
      <c r="B119" t="s">
        <v>174</v>
      </c>
      <c r="L119" s="142"/>
      <c r="M119" s="142"/>
      <c r="R119" s="4"/>
      <c r="S119" s="152">
        <f>(T116-T117)/(200)</f>
        <v>0.22500000000000001</v>
      </c>
      <c r="T119" s="152">
        <f>T117-S119*S117</f>
        <v>-15.5</v>
      </c>
      <c r="U119" s="152">
        <f>(V117-V116)/(-200)</f>
        <v>0.22500000000000001</v>
      </c>
      <c r="V119" s="152">
        <f>V116-U119*U116</f>
        <v>-15.5</v>
      </c>
      <c r="W119" s="4"/>
      <c r="X119" s="16"/>
    </row>
    <row r="120" spans="2:24">
      <c r="B120" t="s">
        <v>173</v>
      </c>
      <c r="L120" s="142"/>
      <c r="M120" s="142"/>
    </row>
    <row r="121" spans="2:24">
      <c r="B121" t="s">
        <v>172</v>
      </c>
      <c r="L121" s="142"/>
      <c r="M121" s="142"/>
    </row>
    <row r="122" spans="2:24">
      <c r="B122" t="s">
        <v>207</v>
      </c>
      <c r="L122" s="142"/>
      <c r="M122" s="142"/>
    </row>
    <row r="123" spans="2:24">
      <c r="B123" t="s">
        <v>179</v>
      </c>
      <c r="L123" s="142"/>
      <c r="M123" s="142"/>
    </row>
    <row r="124" spans="2:24">
      <c r="B124" t="s">
        <v>178</v>
      </c>
      <c r="L124" s="142"/>
      <c r="M124" s="142"/>
    </row>
    <row r="125" spans="2:24">
      <c r="B125" t="s">
        <v>244</v>
      </c>
      <c r="L125" s="142"/>
      <c r="M125" s="142"/>
    </row>
    <row r="126" spans="2:24">
      <c r="L126" s="142"/>
      <c r="M126" s="142"/>
    </row>
    <row r="127" spans="2:24">
      <c r="B127" s="820" t="s">
        <v>208</v>
      </c>
      <c r="C127" s="820"/>
      <c r="D127" s="820"/>
      <c r="E127" s="820"/>
      <c r="F127" s="820"/>
      <c r="G127" s="820"/>
      <c r="H127" s="820"/>
      <c r="I127" s="820"/>
      <c r="J127" s="820"/>
      <c r="K127" s="820"/>
      <c r="L127" s="820"/>
      <c r="M127" s="820"/>
    </row>
    <row r="128" spans="2:24">
      <c r="L128" s="142"/>
      <c r="M128" s="142"/>
    </row>
    <row r="129" spans="2:23">
      <c r="B129" t="s">
        <v>170</v>
      </c>
      <c r="L129" s="142"/>
      <c r="M129" s="142"/>
    </row>
    <row r="130" spans="2:23">
      <c r="B130" t="s">
        <v>177</v>
      </c>
      <c r="L130" s="142"/>
      <c r="M130" s="142"/>
    </row>
    <row r="131" spans="2:23">
      <c r="B131" t="s">
        <v>171</v>
      </c>
      <c r="L131" s="142"/>
      <c r="M131" s="142"/>
    </row>
    <row r="132" spans="2:23">
      <c r="L132" s="142"/>
      <c r="M132" s="142"/>
    </row>
    <row r="133" spans="2:23">
      <c r="B133" s="820" t="s">
        <v>209</v>
      </c>
      <c r="C133" s="820"/>
      <c r="D133" s="820"/>
      <c r="E133" s="820"/>
      <c r="F133" s="820"/>
      <c r="G133" s="820"/>
      <c r="H133" s="820"/>
      <c r="I133" s="820"/>
      <c r="J133" s="820"/>
      <c r="K133" s="820"/>
      <c r="L133" s="820"/>
      <c r="M133" s="820"/>
    </row>
    <row r="134" spans="2:23">
      <c r="L134" s="142"/>
      <c r="M134" s="142"/>
    </row>
    <row r="135" spans="2:23">
      <c r="B135" t="s">
        <v>176</v>
      </c>
      <c r="L135" s="142"/>
      <c r="M135" s="142"/>
    </row>
    <row r="136" spans="2:23">
      <c r="B136" t="s">
        <v>175</v>
      </c>
      <c r="L136" s="142"/>
      <c r="M136" s="142"/>
    </row>
    <row r="137" spans="2:23">
      <c r="B137" s="142"/>
      <c r="C137" s="142"/>
      <c r="D137" s="142"/>
      <c r="E137" s="142"/>
      <c r="F137" s="142"/>
      <c r="G137" s="142"/>
      <c r="H137" s="142"/>
      <c r="I137" s="142"/>
      <c r="J137" s="142"/>
      <c r="K137" s="142"/>
      <c r="L137" s="142"/>
      <c r="M137" s="142"/>
    </row>
    <row r="138" spans="2:23">
      <c r="B138" s="142"/>
      <c r="C138" s="142"/>
      <c r="D138" s="142"/>
      <c r="E138" s="142"/>
      <c r="F138" s="142"/>
      <c r="G138" s="142"/>
      <c r="H138" s="142"/>
      <c r="I138" s="142"/>
      <c r="J138" s="142"/>
      <c r="K138" s="142"/>
      <c r="L138" s="142"/>
      <c r="M138" s="142"/>
    </row>
    <row r="139" spans="2:23">
      <c r="B139" s="142"/>
      <c r="C139" s="142"/>
      <c r="D139" s="142"/>
      <c r="E139" s="142"/>
      <c r="F139" s="142"/>
      <c r="G139" s="142"/>
      <c r="H139" s="142"/>
      <c r="I139" s="142"/>
      <c r="J139" s="142"/>
      <c r="K139" s="142"/>
      <c r="L139" s="142"/>
      <c r="M139" s="142"/>
    </row>
    <row r="140" spans="2:23">
      <c r="B140" s="142"/>
      <c r="C140" s="142"/>
      <c r="D140" s="142"/>
      <c r="E140" s="142"/>
      <c r="F140" s="142"/>
      <c r="G140" s="142"/>
      <c r="H140" s="142"/>
      <c r="I140" s="142"/>
      <c r="J140" s="142"/>
      <c r="K140" s="142"/>
      <c r="L140" s="142"/>
      <c r="M140" s="142"/>
    </row>
    <row r="141" spans="2:23">
      <c r="B141" s="142"/>
      <c r="C141" s="142"/>
      <c r="D141" s="142"/>
      <c r="E141" s="142"/>
      <c r="F141" s="142"/>
      <c r="G141" s="142"/>
      <c r="H141" s="142"/>
      <c r="I141" s="142"/>
      <c r="J141" s="142"/>
      <c r="K141" s="142"/>
      <c r="L141" s="142"/>
      <c r="M141" s="142"/>
    </row>
    <row r="142" spans="2:23">
      <c r="B142" s="142"/>
      <c r="C142" s="142"/>
      <c r="D142" s="142"/>
      <c r="E142" s="142"/>
      <c r="F142" s="142"/>
      <c r="G142" s="142"/>
      <c r="H142" s="142"/>
      <c r="I142" s="142"/>
      <c r="J142" s="142"/>
      <c r="K142" s="142"/>
      <c r="L142" s="142"/>
      <c r="M142" s="142"/>
      <c r="S142" s="16"/>
      <c r="T142" s="16"/>
    </row>
    <row r="143" spans="2:23">
      <c r="B143" s="142"/>
      <c r="C143" s="142"/>
      <c r="D143" s="142"/>
      <c r="E143" s="142"/>
      <c r="F143" s="142"/>
      <c r="G143" s="142"/>
      <c r="H143" s="142"/>
      <c r="I143" s="142"/>
      <c r="J143" s="142"/>
      <c r="K143" s="142"/>
      <c r="L143" s="142"/>
      <c r="M143" s="142"/>
      <c r="S143" s="152" t="s">
        <v>165</v>
      </c>
      <c r="T143" s="152"/>
      <c r="U143" s="4"/>
      <c r="V143" s="4"/>
      <c r="W143" s="4"/>
    </row>
    <row r="144" spans="2:23">
      <c r="B144" s="142"/>
      <c r="C144" s="142"/>
      <c r="D144" s="142"/>
      <c r="E144" s="142"/>
      <c r="F144" s="142"/>
      <c r="G144" s="142"/>
      <c r="H144" s="142"/>
      <c r="I144" s="142"/>
      <c r="J144" s="142"/>
      <c r="K144" s="142"/>
      <c r="L144" s="142"/>
      <c r="M144" s="142"/>
      <c r="S144" s="152"/>
      <c r="T144" s="152"/>
      <c r="U144" s="4"/>
      <c r="V144" s="4"/>
      <c r="W144" s="4"/>
    </row>
    <row r="145" spans="2:23">
      <c r="B145" s="142"/>
      <c r="C145" s="142"/>
      <c r="D145" s="142"/>
      <c r="E145" s="142"/>
      <c r="F145" s="142"/>
      <c r="G145" s="142"/>
      <c r="H145" s="142"/>
      <c r="I145" s="142"/>
      <c r="J145" s="142"/>
      <c r="K145" s="142"/>
      <c r="L145" s="142"/>
      <c r="M145" s="142"/>
      <c r="S145" s="152" t="s">
        <v>3</v>
      </c>
      <c r="T145" s="152" t="s">
        <v>4</v>
      </c>
      <c r="U145" s="4"/>
      <c r="V145" s="4"/>
      <c r="W145" s="4"/>
    </row>
    <row r="146" spans="2:23">
      <c r="B146" s="142"/>
      <c r="C146" s="142"/>
      <c r="D146" s="142"/>
      <c r="E146" s="142"/>
      <c r="F146" s="142"/>
      <c r="G146" s="142"/>
      <c r="H146" s="142"/>
      <c r="I146" s="142"/>
      <c r="J146" s="142"/>
      <c r="K146" s="142"/>
      <c r="L146" s="142"/>
      <c r="M146" s="142"/>
      <c r="S146" s="152">
        <v>400</v>
      </c>
      <c r="T146" s="152">
        <v>83</v>
      </c>
      <c r="U146" s="152">
        <v>400</v>
      </c>
      <c r="V146" s="4">
        <v>83</v>
      </c>
      <c r="W146" s="4"/>
    </row>
    <row r="147" spans="2:23">
      <c r="B147" s="142"/>
      <c r="C147" s="142"/>
      <c r="D147" s="142"/>
      <c r="E147" s="142"/>
      <c r="F147" s="142"/>
      <c r="G147" s="142"/>
      <c r="H147" s="142"/>
      <c r="I147" s="142"/>
      <c r="J147" s="142"/>
      <c r="K147" s="142"/>
      <c r="L147" s="142"/>
      <c r="M147" s="142"/>
      <c r="S147" s="152">
        <v>300</v>
      </c>
      <c r="T147" s="152">
        <v>40</v>
      </c>
      <c r="U147" s="152">
        <v>300</v>
      </c>
      <c r="V147" s="4">
        <v>40</v>
      </c>
      <c r="W147" s="4"/>
    </row>
    <row r="148" spans="2:23">
      <c r="B148" s="142"/>
      <c r="C148" s="142"/>
      <c r="D148" s="142"/>
      <c r="E148" s="142"/>
      <c r="F148" s="142"/>
      <c r="G148" s="142"/>
      <c r="H148" s="142"/>
      <c r="I148" s="142"/>
      <c r="J148" s="142"/>
      <c r="K148" s="142"/>
      <c r="L148" s="142"/>
      <c r="M148" s="142"/>
      <c r="S148" s="152" t="s">
        <v>162</v>
      </c>
      <c r="T148" s="152" t="s">
        <v>163</v>
      </c>
      <c r="U148" s="152" t="s">
        <v>162</v>
      </c>
      <c r="V148" s="152" t="s">
        <v>163</v>
      </c>
      <c r="W148" s="4"/>
    </row>
    <row r="149" spans="2:23">
      <c r="B149" s="142"/>
      <c r="C149" s="142"/>
      <c r="D149" s="142"/>
      <c r="E149" s="142"/>
      <c r="F149" s="142"/>
      <c r="G149" s="142"/>
      <c r="H149" s="142"/>
      <c r="I149" s="142"/>
      <c r="J149" s="142"/>
      <c r="K149" s="142"/>
      <c r="L149" s="142"/>
      <c r="M149" s="142"/>
      <c r="S149" s="152">
        <f>(T147-T146)/(-100)</f>
        <v>0.43</v>
      </c>
      <c r="T149" s="152">
        <f>T146-S149*S146</f>
        <v>-89</v>
      </c>
      <c r="U149" s="152">
        <f>(V147-V146)/(-100)</f>
        <v>0.43</v>
      </c>
      <c r="V149" s="152">
        <f>V146-U149*U146</f>
        <v>-89</v>
      </c>
      <c r="W149" s="4"/>
    </row>
    <row r="152" spans="2:23">
      <c r="T152" s="210"/>
    </row>
  </sheetData>
  <sheetProtection algorithmName="SHA-512" hashValue="eYLGJvm26YagnY5P2vJGbP4oXFOnzlS/+WH3N9pqXN7J7NY6dneN8PmujzQvTCxMmD3q8VMy4DdwW9fv35IpZg==" saltValue="BrLP8WoJ6cZz3i9N3d1t0A==" spinCount="100000" sheet="1" objects="1" scenarios="1"/>
  <customSheetViews>
    <customSheetView guid="{5F1CD432-8628-43E5-87A3-F90570D5BEB1}" scale="80" showGridLines="0" topLeftCell="A43">
      <selection activeCell="H72" sqref="H72"/>
      <pageMargins left="0.7" right="0.7" top="0.75" bottom="0.75" header="0.3" footer="0.3"/>
      <pageSetup paperSize="9" orientation="portrait" r:id="rId1"/>
    </customSheetView>
  </customSheetViews>
  <mergeCells count="10">
    <mergeCell ref="B112:M112"/>
    <mergeCell ref="B127:M127"/>
    <mergeCell ref="B133:M133"/>
    <mergeCell ref="I6:K6"/>
    <mergeCell ref="I40:K40"/>
    <mergeCell ref="P40:S40"/>
    <mergeCell ref="B38:G38"/>
    <mergeCell ref="P6:S6"/>
    <mergeCell ref="B4:G4"/>
    <mergeCell ref="B2:G2"/>
  </mergeCells>
  <pageMargins left="0.7" right="0.7" top="0.75" bottom="0.75" header="0.3" footer="0.3"/>
  <pageSetup paperSize="9"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75899-CBA4-4399-B4D6-CE66E2B51E88}">
  <sheetPr codeName="Arkusz9">
    <tabColor theme="5"/>
  </sheetPr>
  <dimension ref="B2:AC2"/>
  <sheetViews>
    <sheetView zoomScale="85" zoomScaleNormal="85" workbookViewId="0">
      <selection activeCell="R44" sqref="R44"/>
    </sheetView>
  </sheetViews>
  <sheetFormatPr defaultColWidth="8.88671875" defaultRowHeight="14.4"/>
  <cols>
    <col min="1" max="16384" width="8.88671875" style="13"/>
  </cols>
  <sheetData>
    <row r="2" spans="2:29" ht="18">
      <c r="B2" s="819" t="s">
        <v>134</v>
      </c>
      <c r="C2" s="819"/>
      <c r="D2" s="819"/>
      <c r="E2" s="819"/>
      <c r="F2" s="819"/>
      <c r="G2" s="819"/>
      <c r="H2" s="129"/>
      <c r="I2" s="129"/>
      <c r="J2" s="129"/>
      <c r="K2" s="129"/>
      <c r="L2" s="121"/>
      <c r="M2" s="121"/>
      <c r="N2" s="121"/>
      <c r="O2" s="121"/>
      <c r="P2" s="121"/>
      <c r="Q2" s="121"/>
      <c r="R2" s="121"/>
      <c r="S2" s="121"/>
      <c r="T2" s="121"/>
      <c r="U2" s="121"/>
      <c r="V2" s="121"/>
      <c r="W2" s="121"/>
      <c r="X2" s="121"/>
      <c r="Y2" s="121"/>
      <c r="Z2" s="121"/>
      <c r="AA2" s="121"/>
      <c r="AB2" s="121"/>
      <c r="AC2" s="121"/>
    </row>
  </sheetData>
  <sheetProtection algorithmName="SHA-512" hashValue="LvVf2Ibx2SpypsbEK/0RV1YbN8eAhLmltd1ku6GZgSqURyTaYPn1sJAXYr7waDIk1r5JcmTBl30n5LLe4WJPbA==" saltValue="oievEE/eYAaGX79OwG7LHA==" spinCount="100000" sheet="1" objects="1" scenarios="1"/>
  <mergeCells count="1">
    <mergeCell ref="B2:G2"/>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usz3">
    <tabColor theme="7"/>
  </sheetPr>
  <dimension ref="A1:Y104"/>
  <sheetViews>
    <sheetView showGridLines="0" topLeftCell="B1" zoomScale="70" zoomScaleNormal="70" workbookViewId="0">
      <selection activeCell="G3" sqref="G3"/>
    </sheetView>
  </sheetViews>
  <sheetFormatPr defaultRowHeight="14.4"/>
  <cols>
    <col min="1" max="1" width="3.88671875" style="4" hidden="1" customWidth="1"/>
    <col min="2" max="2" width="4.109375" style="4" customWidth="1"/>
    <col min="3" max="3" width="4" bestFit="1" customWidth="1"/>
    <col min="4" max="4" width="44.109375" bestFit="1" customWidth="1"/>
    <col min="5" max="5" width="12.33203125" customWidth="1"/>
    <col min="6" max="6" width="19" customWidth="1"/>
    <col min="7" max="7" width="15.77734375" customWidth="1"/>
    <col min="8" max="8" width="13.44140625" customWidth="1"/>
    <col min="9" max="9" width="3.5546875" customWidth="1"/>
    <col min="22" max="22" width="9.109375" customWidth="1"/>
  </cols>
  <sheetData>
    <row r="1" spans="3:9" ht="15" thickBot="1"/>
    <row r="2" spans="3:9" ht="15" thickBot="1">
      <c r="D2" s="215" t="s">
        <v>42</v>
      </c>
      <c r="E2" s="216" t="s">
        <v>69</v>
      </c>
      <c r="F2" s="216" t="s">
        <v>68</v>
      </c>
      <c r="G2" s="687" t="s">
        <v>691</v>
      </c>
      <c r="H2" s="705"/>
    </row>
    <row r="3" spans="3:9">
      <c r="C3" s="126">
        <v>0</v>
      </c>
      <c r="D3" s="235" t="s">
        <v>285</v>
      </c>
      <c r="E3" s="236" t="s">
        <v>43</v>
      </c>
      <c r="F3" s="236" t="s">
        <v>667</v>
      </c>
      <c r="G3" s="652">
        <v>12628</v>
      </c>
      <c r="H3" s="652"/>
      <c r="I3" s="138">
        <v>1</v>
      </c>
    </row>
    <row r="4" spans="3:9">
      <c r="C4" s="126"/>
      <c r="D4" s="235" t="s">
        <v>288</v>
      </c>
      <c r="E4" s="236" t="s">
        <v>43</v>
      </c>
      <c r="F4" s="236" t="s">
        <v>668</v>
      </c>
      <c r="G4" s="652">
        <v>12628</v>
      </c>
      <c r="H4" s="652"/>
      <c r="I4" s="138"/>
    </row>
    <row r="5" spans="3:9">
      <c r="C5" s="126">
        <v>1</v>
      </c>
      <c r="D5" s="235" t="s">
        <v>287</v>
      </c>
      <c r="E5" s="236" t="s">
        <v>43</v>
      </c>
      <c r="F5" s="236" t="s">
        <v>669</v>
      </c>
      <c r="G5" s="652">
        <v>13685</v>
      </c>
      <c r="H5" s="652"/>
      <c r="I5" s="138">
        <v>2</v>
      </c>
    </row>
    <row r="6" spans="3:9">
      <c r="C6" s="126"/>
      <c r="D6" s="235" t="s">
        <v>286</v>
      </c>
      <c r="E6" s="236" t="s">
        <v>43</v>
      </c>
      <c r="F6" s="236" t="s">
        <v>670</v>
      </c>
      <c r="G6" s="652">
        <v>13685</v>
      </c>
      <c r="H6" s="652"/>
      <c r="I6" s="138"/>
    </row>
    <row r="7" spans="3:9">
      <c r="C7" s="126">
        <v>2</v>
      </c>
      <c r="D7" s="235" t="s">
        <v>289</v>
      </c>
      <c r="E7" s="236" t="s">
        <v>43</v>
      </c>
      <c r="F7" s="236" t="s">
        <v>671</v>
      </c>
      <c r="G7" s="652">
        <v>11693</v>
      </c>
      <c r="H7" s="652"/>
      <c r="I7" s="138"/>
    </row>
    <row r="8" spans="3:9">
      <c r="C8" s="126"/>
      <c r="D8" s="235" t="s">
        <v>290</v>
      </c>
      <c r="E8" s="236" t="s">
        <v>43</v>
      </c>
      <c r="F8" s="236" t="s">
        <v>666</v>
      </c>
      <c r="G8" s="652">
        <v>11693</v>
      </c>
      <c r="H8" s="652"/>
      <c r="I8" s="138"/>
    </row>
    <row r="9" spans="3:9">
      <c r="C9" s="126"/>
      <c r="D9" s="235" t="s">
        <v>624</v>
      </c>
      <c r="E9" s="236" t="s">
        <v>43</v>
      </c>
      <c r="F9" s="236" t="s">
        <v>673</v>
      </c>
      <c r="G9" s="652">
        <v>16393</v>
      </c>
      <c r="H9" s="652"/>
      <c r="I9" s="138"/>
    </row>
    <row r="10" spans="3:9">
      <c r="C10" s="126"/>
      <c r="D10" s="235" t="s">
        <v>625</v>
      </c>
      <c r="E10" s="236" t="s">
        <v>43</v>
      </c>
      <c r="F10" s="236" t="s">
        <v>672</v>
      </c>
      <c r="G10" s="652">
        <v>16393</v>
      </c>
      <c r="H10" s="652"/>
      <c r="I10" s="138"/>
    </row>
    <row r="11" spans="3:9">
      <c r="C11" s="126"/>
      <c r="D11" s="235" t="s">
        <v>415</v>
      </c>
      <c r="E11" s="236" t="s">
        <v>43</v>
      </c>
      <c r="F11" s="236" t="s">
        <v>674</v>
      </c>
      <c r="G11" s="652">
        <v>13824</v>
      </c>
      <c r="H11" s="652"/>
      <c r="I11" s="138"/>
    </row>
    <row r="12" spans="3:9">
      <c r="C12" s="126"/>
      <c r="D12" s="235" t="s">
        <v>414</v>
      </c>
      <c r="E12" s="236" t="s">
        <v>43</v>
      </c>
      <c r="F12" s="236">
        <v>7372079</v>
      </c>
      <c r="G12" s="652">
        <v>1913</v>
      </c>
      <c r="H12" s="652"/>
      <c r="I12" s="138"/>
    </row>
    <row r="13" spans="3:9">
      <c r="C13" s="126"/>
      <c r="D13" s="235" t="s">
        <v>413</v>
      </c>
      <c r="E13" s="236" t="s">
        <v>43</v>
      </c>
      <c r="F13" s="236" t="s">
        <v>408</v>
      </c>
      <c r="G13" s="652">
        <v>153</v>
      </c>
      <c r="H13" s="652"/>
      <c r="I13" s="138"/>
    </row>
    <row r="14" spans="3:9">
      <c r="C14" s="126"/>
      <c r="D14" s="235" t="s">
        <v>412</v>
      </c>
      <c r="E14" s="236" t="s">
        <v>43</v>
      </c>
      <c r="F14" s="236" t="s">
        <v>409</v>
      </c>
      <c r="G14" s="652">
        <v>299</v>
      </c>
      <c r="H14" s="652"/>
      <c r="I14" s="138"/>
    </row>
    <row r="15" spans="3:9">
      <c r="C15" s="126"/>
      <c r="D15" s="235" t="s">
        <v>411</v>
      </c>
      <c r="E15" s="236" t="s">
        <v>43</v>
      </c>
      <c r="F15" s="236" t="s">
        <v>410</v>
      </c>
      <c r="G15" s="652">
        <v>525</v>
      </c>
      <c r="H15" s="652"/>
      <c r="I15" s="138"/>
    </row>
    <row r="16" spans="3:9">
      <c r="C16" s="126"/>
      <c r="D16" s="235" t="s">
        <v>416</v>
      </c>
      <c r="E16" s="236" t="s">
        <v>43</v>
      </c>
      <c r="F16" s="236">
        <v>7959522</v>
      </c>
      <c r="G16" s="652">
        <v>1508</v>
      </c>
      <c r="H16" s="652"/>
      <c r="I16" s="138"/>
    </row>
    <row r="17" spans="1:25">
      <c r="C17" s="126"/>
      <c r="D17" s="235" t="s">
        <v>418</v>
      </c>
      <c r="E17" s="236" t="s">
        <v>43</v>
      </c>
      <c r="F17" s="236" t="s">
        <v>419</v>
      </c>
      <c r="G17" s="652">
        <v>323</v>
      </c>
      <c r="H17" s="652"/>
      <c r="I17" s="138"/>
    </row>
    <row r="18" spans="1:25">
      <c r="C18" s="126"/>
      <c r="D18" s="235" t="s">
        <v>420</v>
      </c>
      <c r="E18" s="236" t="s">
        <v>43</v>
      </c>
      <c r="F18" s="236">
        <v>7372092</v>
      </c>
      <c r="G18" s="652">
        <v>681</v>
      </c>
      <c r="H18" s="652"/>
      <c r="I18" s="138"/>
    </row>
    <row r="19" spans="1:25">
      <c r="C19" s="126"/>
      <c r="D19" s="235" t="s">
        <v>689</v>
      </c>
      <c r="E19" s="236" t="s">
        <v>43</v>
      </c>
      <c r="F19" s="236" t="s">
        <v>661</v>
      </c>
      <c r="G19" s="652">
        <v>1173</v>
      </c>
      <c r="H19" s="652"/>
      <c r="I19" s="138"/>
    </row>
    <row r="20" spans="1:25">
      <c r="C20" s="126">
        <v>3</v>
      </c>
      <c r="D20" s="237" t="s">
        <v>422</v>
      </c>
      <c r="E20" s="238" t="s">
        <v>43</v>
      </c>
      <c r="F20" s="238" t="s">
        <v>63</v>
      </c>
      <c r="G20" s="653">
        <v>1259</v>
      </c>
      <c r="H20" s="653"/>
      <c r="I20" s="138">
        <v>3</v>
      </c>
    </row>
    <row r="21" spans="1:25">
      <c r="C21" s="126">
        <v>4</v>
      </c>
      <c r="D21" s="237" t="s">
        <v>407</v>
      </c>
      <c r="E21" s="238" t="s">
        <v>43</v>
      </c>
      <c r="F21" s="238" t="s">
        <v>64</v>
      </c>
      <c r="G21" s="653">
        <v>144</v>
      </c>
      <c r="H21" s="653"/>
      <c r="I21" s="138">
        <v>4</v>
      </c>
    </row>
    <row r="22" spans="1:25">
      <c r="C22" s="126">
        <v>5</v>
      </c>
      <c r="D22" s="237" t="s">
        <v>65</v>
      </c>
      <c r="E22" s="238" t="s">
        <v>43</v>
      </c>
      <c r="F22" s="238" t="s">
        <v>66</v>
      </c>
      <c r="G22" s="653">
        <v>1449</v>
      </c>
      <c r="H22" s="653"/>
      <c r="I22" s="138">
        <v>5</v>
      </c>
    </row>
    <row r="23" spans="1:25">
      <c r="C23" s="126">
        <v>6</v>
      </c>
      <c r="D23" s="237" t="s">
        <v>67</v>
      </c>
      <c r="E23" s="238" t="s">
        <v>43</v>
      </c>
      <c r="F23" s="238">
        <v>7501978</v>
      </c>
      <c r="G23" s="653">
        <v>1826</v>
      </c>
      <c r="H23" s="653"/>
      <c r="I23" s="138">
        <v>6</v>
      </c>
    </row>
    <row r="24" spans="1:25">
      <c r="A24" s="4" t="s">
        <v>148</v>
      </c>
      <c r="C24" s="126">
        <v>7</v>
      </c>
      <c r="D24" s="239" t="s">
        <v>44</v>
      </c>
      <c r="E24" s="236" t="s">
        <v>45</v>
      </c>
      <c r="F24" s="240">
        <v>7228294</v>
      </c>
      <c r="G24" s="708">
        <v>417</v>
      </c>
      <c r="H24" s="654"/>
      <c r="I24" s="138">
        <v>7</v>
      </c>
      <c r="Y24" s="4" t="s">
        <v>74</v>
      </c>
    </row>
    <row r="25" spans="1:25">
      <c r="A25" s="4" t="s">
        <v>149</v>
      </c>
      <c r="C25" s="126">
        <v>8</v>
      </c>
      <c r="D25" s="239" t="s">
        <v>46</v>
      </c>
      <c r="E25" s="236" t="s">
        <v>43</v>
      </c>
      <c r="F25" s="240">
        <v>7546057</v>
      </c>
      <c r="G25" s="708">
        <v>325</v>
      </c>
      <c r="H25" s="654"/>
      <c r="I25" s="138">
        <v>8</v>
      </c>
      <c r="Y25" s="4"/>
    </row>
    <row r="26" spans="1:25">
      <c r="C26" s="126">
        <v>9</v>
      </c>
      <c r="D26" s="239" t="s">
        <v>404</v>
      </c>
      <c r="E26" s="236" t="s">
        <v>43</v>
      </c>
      <c r="F26" s="240">
        <v>7634370</v>
      </c>
      <c r="G26" s="708">
        <v>12</v>
      </c>
      <c r="H26" s="654"/>
      <c r="I26" s="138"/>
      <c r="Y26" s="4"/>
    </row>
    <row r="27" spans="1:25">
      <c r="C27" s="126">
        <v>10</v>
      </c>
      <c r="D27" s="239" t="s">
        <v>145</v>
      </c>
      <c r="E27" s="236" t="s">
        <v>43</v>
      </c>
      <c r="F27" s="240">
        <v>7546059</v>
      </c>
      <c r="G27" s="708">
        <v>63</v>
      </c>
      <c r="H27" s="654"/>
      <c r="I27" s="138"/>
      <c r="Y27" s="4"/>
    </row>
    <row r="28" spans="1:25">
      <c r="C28" s="126">
        <v>11</v>
      </c>
      <c r="D28" s="239" t="s">
        <v>146</v>
      </c>
      <c r="E28" s="236" t="s">
        <v>43</v>
      </c>
      <c r="F28" s="240">
        <v>7546060</v>
      </c>
      <c r="G28" s="708">
        <v>51</v>
      </c>
      <c r="H28" s="654"/>
      <c r="I28" s="138">
        <v>9</v>
      </c>
      <c r="Y28" s="4"/>
    </row>
    <row r="29" spans="1:25">
      <c r="C29" s="126">
        <v>12</v>
      </c>
      <c r="D29" s="239" t="s">
        <v>47</v>
      </c>
      <c r="E29" s="236" t="s">
        <v>43</v>
      </c>
      <c r="F29" s="240">
        <v>7546061</v>
      </c>
      <c r="G29" s="708">
        <v>1207</v>
      </c>
      <c r="H29" s="654"/>
      <c r="I29" s="138">
        <v>10</v>
      </c>
    </row>
    <row r="30" spans="1:25">
      <c r="A30" s="4" t="s">
        <v>149</v>
      </c>
      <c r="C30" s="126">
        <v>13</v>
      </c>
      <c r="D30" s="239" t="s">
        <v>48</v>
      </c>
      <c r="E30" s="236" t="s">
        <v>43</v>
      </c>
      <c r="F30" s="240">
        <v>7546062</v>
      </c>
      <c r="G30" s="708">
        <v>1032</v>
      </c>
      <c r="H30" s="654"/>
      <c r="I30" s="138">
        <v>11</v>
      </c>
    </row>
    <row r="31" spans="1:25">
      <c r="A31" s="4" t="s">
        <v>149</v>
      </c>
      <c r="C31" s="126">
        <v>14</v>
      </c>
      <c r="D31" s="241" t="s">
        <v>261</v>
      </c>
      <c r="E31" s="242" t="s">
        <v>43</v>
      </c>
      <c r="F31" s="243"/>
      <c r="G31" s="709"/>
      <c r="H31" s="654"/>
      <c r="I31" s="138">
        <v>12</v>
      </c>
    </row>
    <row r="32" spans="1:25">
      <c r="C32" s="126">
        <v>15</v>
      </c>
      <c r="D32" s="241" t="s">
        <v>262</v>
      </c>
      <c r="E32" s="242" t="s">
        <v>43</v>
      </c>
      <c r="F32" s="244" t="s">
        <v>263</v>
      </c>
      <c r="G32" s="709">
        <v>684</v>
      </c>
      <c r="H32" s="654"/>
      <c r="I32" s="138">
        <v>13</v>
      </c>
    </row>
    <row r="33" spans="1:9">
      <c r="C33" s="126">
        <v>16</v>
      </c>
      <c r="D33" s="245" t="s">
        <v>49</v>
      </c>
      <c r="E33" s="238" t="s">
        <v>43</v>
      </c>
      <c r="F33" s="244">
        <v>7546065</v>
      </c>
      <c r="G33" s="710">
        <v>566</v>
      </c>
      <c r="H33" s="654"/>
      <c r="I33" s="138">
        <v>14</v>
      </c>
    </row>
    <row r="34" spans="1:9">
      <c r="C34" s="126">
        <v>17</v>
      </c>
      <c r="D34" s="245" t="s">
        <v>50</v>
      </c>
      <c r="E34" s="238" t="s">
        <v>43</v>
      </c>
      <c r="F34" s="244">
        <v>7546066</v>
      </c>
      <c r="G34" s="710">
        <v>566</v>
      </c>
      <c r="H34" s="654"/>
      <c r="I34" s="138">
        <v>15</v>
      </c>
    </row>
    <row r="35" spans="1:9">
      <c r="C35" s="126">
        <v>18</v>
      </c>
      <c r="D35" s="245" t="s">
        <v>51</v>
      </c>
      <c r="E35" s="238" t="s">
        <v>43</v>
      </c>
      <c r="F35" s="244">
        <v>7546067</v>
      </c>
      <c r="G35" s="710">
        <v>40</v>
      </c>
      <c r="H35" s="654"/>
      <c r="I35" s="138">
        <v>16</v>
      </c>
    </row>
    <row r="36" spans="1:9">
      <c r="C36" s="126">
        <v>19</v>
      </c>
      <c r="D36" s="245" t="s">
        <v>52</v>
      </c>
      <c r="E36" s="238" t="s">
        <v>43</v>
      </c>
      <c r="F36" s="244">
        <v>7546068</v>
      </c>
      <c r="G36" s="710">
        <v>305</v>
      </c>
      <c r="H36" s="654"/>
      <c r="I36" s="138">
        <v>17</v>
      </c>
    </row>
    <row r="37" spans="1:9">
      <c r="C37" s="126">
        <v>20</v>
      </c>
      <c r="D37" s="239" t="s">
        <v>53</v>
      </c>
      <c r="E37" s="236" t="s">
        <v>43</v>
      </c>
      <c r="F37" s="240">
        <v>7546069</v>
      </c>
      <c r="G37" s="708">
        <v>9.5</v>
      </c>
      <c r="H37" s="654"/>
      <c r="I37" s="138">
        <v>18</v>
      </c>
    </row>
    <row r="38" spans="1:9">
      <c r="C38" s="126">
        <v>21</v>
      </c>
      <c r="D38" s="239" t="s">
        <v>54</v>
      </c>
      <c r="E38" s="236" t="s">
        <v>55</v>
      </c>
      <c r="F38" s="240">
        <v>7546070</v>
      </c>
      <c r="G38" s="708">
        <v>459</v>
      </c>
      <c r="H38" s="654"/>
      <c r="I38" s="138">
        <v>19</v>
      </c>
    </row>
    <row r="39" spans="1:9">
      <c r="A39" s="4" t="s">
        <v>150</v>
      </c>
      <c r="C39" s="126">
        <v>22</v>
      </c>
      <c r="D39" s="239" t="s">
        <v>56</v>
      </c>
      <c r="E39" s="236" t="s">
        <v>43</v>
      </c>
      <c r="F39" s="240">
        <v>7546071</v>
      </c>
      <c r="G39" s="708">
        <v>204</v>
      </c>
      <c r="H39" s="654"/>
      <c r="I39" s="138">
        <v>20</v>
      </c>
    </row>
    <row r="40" spans="1:9">
      <c r="A40" s="4" t="s">
        <v>151</v>
      </c>
      <c r="C40" s="126">
        <v>23</v>
      </c>
      <c r="D40" s="239" t="s">
        <v>57</v>
      </c>
      <c r="E40" s="236" t="s">
        <v>43</v>
      </c>
      <c r="F40" s="240">
        <v>7546072</v>
      </c>
      <c r="G40" s="708">
        <v>143</v>
      </c>
      <c r="H40" s="654"/>
      <c r="I40" s="138">
        <v>21</v>
      </c>
    </row>
    <row r="41" spans="1:9">
      <c r="C41" s="126">
        <v>24</v>
      </c>
      <c r="D41" s="239" t="s">
        <v>266</v>
      </c>
      <c r="E41" s="236" t="s">
        <v>43</v>
      </c>
      <c r="F41" s="240">
        <v>7775845</v>
      </c>
      <c r="G41" s="708">
        <v>824</v>
      </c>
      <c r="H41" s="654"/>
      <c r="I41" s="138"/>
    </row>
    <row r="42" spans="1:9">
      <c r="A42" s="4" t="s">
        <v>152</v>
      </c>
      <c r="C42" s="126">
        <v>25</v>
      </c>
      <c r="D42" s="239" t="s">
        <v>58</v>
      </c>
      <c r="E42" s="236" t="s">
        <v>43</v>
      </c>
      <c r="F42" s="240">
        <v>7546073</v>
      </c>
      <c r="G42" s="708">
        <v>68</v>
      </c>
      <c r="H42" s="654"/>
      <c r="I42" s="138">
        <v>22</v>
      </c>
    </row>
    <row r="43" spans="1:9">
      <c r="C43" s="126">
        <v>26</v>
      </c>
      <c r="D43" s="245" t="s">
        <v>260</v>
      </c>
      <c r="E43" s="238" t="s">
        <v>43</v>
      </c>
      <c r="F43" s="244">
        <v>7546074</v>
      </c>
      <c r="G43" s="710">
        <v>84</v>
      </c>
      <c r="H43" s="654"/>
      <c r="I43" s="138">
        <v>23</v>
      </c>
    </row>
    <row r="44" spans="1:9">
      <c r="C44" s="126">
        <v>27</v>
      </c>
      <c r="D44" s="245" t="s">
        <v>59</v>
      </c>
      <c r="E44" s="238" t="s">
        <v>43</v>
      </c>
      <c r="F44" s="244">
        <v>7546075</v>
      </c>
      <c r="G44" s="710">
        <v>84</v>
      </c>
      <c r="H44" s="654"/>
      <c r="I44" s="138">
        <v>24</v>
      </c>
    </row>
    <row r="45" spans="1:9">
      <c r="C45" s="126">
        <v>28</v>
      </c>
      <c r="D45" s="245" t="s">
        <v>405</v>
      </c>
      <c r="E45" s="238" t="s">
        <v>43</v>
      </c>
      <c r="F45" s="244">
        <v>7663729</v>
      </c>
      <c r="G45" s="710">
        <v>308</v>
      </c>
      <c r="H45" s="654"/>
      <c r="I45" s="138">
        <v>25</v>
      </c>
    </row>
    <row r="46" spans="1:9">
      <c r="C46" s="126">
        <v>29</v>
      </c>
      <c r="D46" s="246" t="s">
        <v>60</v>
      </c>
      <c r="E46" s="247" t="s">
        <v>43</v>
      </c>
      <c r="F46" s="248">
        <v>7546076</v>
      </c>
      <c r="G46" s="711">
        <v>502</v>
      </c>
      <c r="H46" s="654"/>
      <c r="I46" s="138">
        <v>26</v>
      </c>
    </row>
    <row r="47" spans="1:9">
      <c r="A47" s="4" t="s">
        <v>153</v>
      </c>
      <c r="C47" s="126">
        <v>30</v>
      </c>
      <c r="D47" s="241" t="s">
        <v>61</v>
      </c>
      <c r="E47" s="249" t="s">
        <v>43</v>
      </c>
      <c r="F47" s="249">
        <v>7547618</v>
      </c>
      <c r="G47" s="709">
        <v>877</v>
      </c>
      <c r="H47" s="654"/>
      <c r="I47" s="138">
        <v>27</v>
      </c>
    </row>
    <row r="48" spans="1:9">
      <c r="C48" s="126">
        <v>31</v>
      </c>
      <c r="D48" s="241" t="s">
        <v>265</v>
      </c>
      <c r="E48" s="249" t="s">
        <v>43</v>
      </c>
      <c r="F48" s="249">
        <v>7546058</v>
      </c>
      <c r="G48" s="709">
        <v>35</v>
      </c>
      <c r="H48" s="654"/>
      <c r="I48" s="138">
        <v>28</v>
      </c>
    </row>
    <row r="49" spans="4:8">
      <c r="D49" s="18"/>
      <c r="E49" s="19"/>
      <c r="F49" s="19"/>
      <c r="G49" s="234"/>
      <c r="H49" s="19"/>
    </row>
    <row r="50" spans="4:8">
      <c r="D50" s="18"/>
      <c r="E50" s="19"/>
      <c r="F50" s="19"/>
      <c r="G50" s="234"/>
      <c r="H50" s="19"/>
    </row>
    <row r="53" spans="4:8">
      <c r="D53" s="17"/>
      <c r="E53" s="17"/>
      <c r="F53" s="17"/>
      <c r="G53" s="17"/>
      <c r="H53" s="17"/>
    </row>
    <row r="54" spans="4:8">
      <c r="D54" s="18"/>
      <c r="E54" s="19"/>
      <c r="F54" s="19"/>
      <c r="G54" s="20"/>
      <c r="H54" s="19"/>
    </row>
    <row r="55" spans="4:8">
      <c r="D55" s="18"/>
      <c r="E55" s="19"/>
      <c r="F55" s="19"/>
      <c r="G55" s="20"/>
      <c r="H55" s="19"/>
    </row>
    <row r="56" spans="4:8">
      <c r="D56" s="18"/>
      <c r="E56" s="19"/>
      <c r="F56" s="19"/>
      <c r="G56" s="20"/>
      <c r="H56" s="19"/>
    </row>
    <row r="57" spans="4:8">
      <c r="D57" s="18"/>
      <c r="E57" s="19"/>
      <c r="F57" s="19"/>
      <c r="G57" s="20"/>
      <c r="H57" s="19"/>
    </row>
    <row r="58" spans="4:8">
      <c r="D58" s="18"/>
      <c r="E58" s="19"/>
      <c r="F58" s="19"/>
      <c r="G58" s="20"/>
      <c r="H58" s="19"/>
    </row>
    <row r="59" spans="4:8">
      <c r="D59" s="18"/>
      <c r="E59" s="19"/>
      <c r="F59" s="19"/>
      <c r="G59" s="20"/>
      <c r="H59" s="19"/>
    </row>
    <row r="60" spans="4:8">
      <c r="D60" s="18"/>
      <c r="E60" s="19"/>
      <c r="F60" s="19"/>
      <c r="G60" s="20"/>
      <c r="H60" s="19"/>
    </row>
    <row r="61" spans="4:8">
      <c r="D61" s="18"/>
      <c r="E61" s="19"/>
      <c r="F61" s="19"/>
      <c r="G61" s="20"/>
      <c r="H61" s="19"/>
    </row>
    <row r="62" spans="4:8">
      <c r="D62" s="18"/>
      <c r="E62" s="19"/>
      <c r="F62" s="19"/>
      <c r="G62" s="20"/>
      <c r="H62" s="19"/>
    </row>
    <row r="63" spans="4:8">
      <c r="D63" s="18"/>
      <c r="E63" s="19"/>
      <c r="F63" s="19"/>
      <c r="G63" s="20"/>
      <c r="H63" s="19"/>
    </row>
    <row r="64" spans="4:8">
      <c r="D64" s="18"/>
      <c r="E64" s="19"/>
      <c r="F64" s="19"/>
      <c r="G64" s="20"/>
      <c r="H64" s="19"/>
    </row>
    <row r="65" spans="3:12">
      <c r="D65" s="18"/>
      <c r="E65" s="19"/>
      <c r="F65" s="19"/>
      <c r="G65" s="20"/>
      <c r="H65" s="19"/>
    </row>
    <row r="66" spans="3:12">
      <c r="D66" s="18"/>
      <c r="E66" s="19"/>
      <c r="F66" s="19"/>
      <c r="G66" s="20"/>
      <c r="H66" s="19"/>
    </row>
    <row r="67" spans="3:12">
      <c r="D67" s="18"/>
      <c r="E67" s="19"/>
      <c r="F67" s="19"/>
      <c r="G67" s="20"/>
      <c r="H67" s="19"/>
    </row>
    <row r="68" spans="3:12">
      <c r="D68" s="18"/>
      <c r="E68" s="19"/>
      <c r="F68" s="19"/>
      <c r="G68" s="20"/>
      <c r="H68" s="19"/>
    </row>
    <row r="69" spans="3:12">
      <c r="D69" s="18"/>
      <c r="E69" s="19"/>
      <c r="F69" s="19"/>
      <c r="G69" s="20"/>
      <c r="H69" s="19"/>
    </row>
    <row r="70" spans="3:12">
      <c r="D70" s="18"/>
      <c r="E70" s="19"/>
      <c r="F70" s="19"/>
      <c r="G70" s="20"/>
      <c r="H70" s="19"/>
    </row>
    <row r="71" spans="3:12">
      <c r="D71" s="18"/>
      <c r="E71" s="19"/>
      <c r="F71" s="19"/>
      <c r="G71" s="20"/>
      <c r="H71" s="19"/>
    </row>
    <row r="72" spans="3:12">
      <c r="D72" s="18"/>
      <c r="E72" s="19"/>
      <c r="F72" s="19"/>
      <c r="G72" s="20"/>
      <c r="H72" s="19"/>
    </row>
    <row r="73" spans="3:12">
      <c r="D73" s="18"/>
      <c r="E73" s="19"/>
      <c r="F73" s="19"/>
      <c r="G73" s="20"/>
      <c r="H73" s="19"/>
    </row>
    <row r="74" spans="3:12">
      <c r="D74" s="18"/>
      <c r="E74" s="19"/>
      <c r="F74" s="19"/>
      <c r="G74" s="20"/>
      <c r="H74" s="19"/>
    </row>
    <row r="75" spans="3:12">
      <c r="D75" s="18"/>
      <c r="E75" s="19"/>
      <c r="F75" s="19"/>
      <c r="G75" s="20"/>
      <c r="H75" s="19"/>
    </row>
    <row r="76" spans="3:12">
      <c r="D76" s="18"/>
      <c r="E76" s="19"/>
      <c r="F76" s="19"/>
      <c r="G76" s="20"/>
      <c r="H76" s="19"/>
    </row>
    <row r="77" spans="3:12">
      <c r="D77" s="18"/>
      <c r="E77" s="19"/>
      <c r="F77" s="19"/>
      <c r="G77" s="20"/>
      <c r="H77" s="19"/>
    </row>
    <row r="78" spans="3:12">
      <c r="D78" s="18"/>
      <c r="E78" s="19"/>
      <c r="F78" s="19"/>
      <c r="G78" s="20"/>
      <c r="H78" s="19"/>
    </row>
    <row r="79" spans="3:12">
      <c r="D79" s="18"/>
      <c r="E79" s="19"/>
      <c r="F79" s="19"/>
      <c r="G79" s="20"/>
      <c r="H79" s="19"/>
    </row>
    <row r="80" spans="3:12">
      <c r="C80" s="211" t="s">
        <v>210</v>
      </c>
      <c r="D80" s="212"/>
      <c r="E80" s="212"/>
      <c r="F80" s="212"/>
      <c r="G80" s="213"/>
      <c r="H80" s="212"/>
      <c r="I80" s="213"/>
      <c r="J80" s="213"/>
      <c r="K80" s="213"/>
      <c r="L80" s="214"/>
    </row>
    <row r="82" spans="3:12">
      <c r="C82" t="s">
        <v>166</v>
      </c>
    </row>
    <row r="83" spans="3:12">
      <c r="C83" t="s">
        <v>169</v>
      </c>
    </row>
    <row r="84" spans="3:12">
      <c r="C84" t="s">
        <v>167</v>
      </c>
    </row>
    <row r="85" spans="3:12">
      <c r="C85" t="s">
        <v>168</v>
      </c>
    </row>
    <row r="86" spans="3:12">
      <c r="C86" t="s">
        <v>180</v>
      </c>
    </row>
    <row r="87" spans="3:12">
      <c r="C87" t="s">
        <v>174</v>
      </c>
    </row>
    <row r="88" spans="3:12">
      <c r="C88" t="s">
        <v>173</v>
      </c>
    </row>
    <row r="89" spans="3:12">
      <c r="C89" t="s">
        <v>172</v>
      </c>
    </row>
    <row r="90" spans="3:12">
      <c r="C90" t="s">
        <v>207</v>
      </c>
    </row>
    <row r="91" spans="3:12">
      <c r="C91" t="s">
        <v>179</v>
      </c>
    </row>
    <row r="92" spans="3:12">
      <c r="C92" t="s">
        <v>178</v>
      </c>
    </row>
    <row r="93" spans="3:12">
      <c r="C93" t="s">
        <v>244</v>
      </c>
    </row>
    <row r="95" spans="3:12">
      <c r="C95" s="211" t="s">
        <v>208</v>
      </c>
      <c r="D95" s="212"/>
      <c r="E95" s="212"/>
      <c r="F95" s="212"/>
      <c r="G95" s="213"/>
      <c r="H95" s="212"/>
      <c r="I95" s="213"/>
      <c r="J95" s="213"/>
      <c r="K95" s="213"/>
      <c r="L95" s="214"/>
    </row>
    <row r="97" spans="3:12">
      <c r="C97" t="s">
        <v>170</v>
      </c>
    </row>
    <row r="98" spans="3:12">
      <c r="C98" t="s">
        <v>177</v>
      </c>
    </row>
    <row r="99" spans="3:12">
      <c r="C99" t="s">
        <v>171</v>
      </c>
    </row>
    <row r="101" spans="3:12">
      <c r="C101" s="211" t="s">
        <v>209</v>
      </c>
      <c r="D101" s="212"/>
      <c r="E101" s="212"/>
      <c r="F101" s="212"/>
      <c r="G101" s="213"/>
      <c r="H101" s="212"/>
      <c r="I101" s="213"/>
      <c r="J101" s="213"/>
      <c r="K101" s="213"/>
      <c r="L101" s="214"/>
    </row>
    <row r="103" spans="3:12">
      <c r="C103" t="s">
        <v>176</v>
      </c>
    </row>
    <row r="104" spans="3:12">
      <c r="C104" t="s">
        <v>175</v>
      </c>
    </row>
  </sheetData>
  <sheetProtection algorithmName="SHA-512" hashValue="I41XfHz/NAUNGwfX3ygePcgaLm4kfvdXRnBFLBh/7QpksXGee7OYKB7CAoFgQHWFdwP25Gl1de3yZ7EAi8fcow==" saltValue="lbSsgJ7Y/Tk0BVEDAkYO4w==" spinCount="100000" sheet="1" objects="1" scenarios="1"/>
  <customSheetViews>
    <customSheetView guid="{5F1CD432-8628-43E5-87A3-F90570D5BEB1}" scale="70" showGridLines="0" topLeftCell="B40">
      <selection activeCell="F6" sqref="F6"/>
      <pageMargins left="0.7" right="0.7" top="0.75" bottom="0.75" header="0.3" footer="0.3"/>
      <pageSetup paperSize="9" orientation="portrait" r:id="rId1"/>
    </customSheetView>
  </customSheetViews>
  <pageMargins left="0.7" right="0.7" top="0.75" bottom="0.75" header="0.3" footer="0.3"/>
  <pageSetup paperSize="9"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9F5F6-4008-4C90-BBB0-E178683FBAD6}">
  <sheetPr codeName="Arkusz16">
    <tabColor rgb="FFFFC000"/>
  </sheetPr>
  <dimension ref="A1:AP149"/>
  <sheetViews>
    <sheetView showGridLines="0" topLeftCell="D1" zoomScale="70" zoomScaleNormal="70" workbookViewId="0">
      <selection activeCell="AD35" sqref="AD35"/>
    </sheetView>
  </sheetViews>
  <sheetFormatPr defaultColWidth="8.88671875" defaultRowHeight="14.4"/>
  <cols>
    <col min="1" max="1" width="3.88671875" style="297" hidden="1" customWidth="1"/>
    <col min="2" max="2" width="4.109375" style="297" customWidth="1"/>
    <col min="3" max="3" width="4" style="298" bestFit="1" customWidth="1"/>
    <col min="4" max="4" width="47.44140625" style="298" bestFit="1" customWidth="1"/>
    <col min="5" max="5" width="12.33203125" style="298" customWidth="1"/>
    <col min="6" max="6" width="19" style="298" customWidth="1"/>
    <col min="7" max="7" width="12.109375" style="298" bestFit="1" customWidth="1"/>
    <col min="8" max="8" width="58.33203125" style="298" customWidth="1"/>
    <col min="9" max="9" width="3.5546875" style="298" customWidth="1"/>
    <col min="10" max="21" width="8.88671875" style="298"/>
    <col min="22" max="22" width="9.109375" style="298" customWidth="1"/>
    <col min="23" max="16384" width="8.88671875" style="298"/>
  </cols>
  <sheetData>
    <row r="1" spans="1:25" ht="15" thickBot="1"/>
    <row r="2" spans="1:25" ht="30.75" customHeight="1" thickBot="1">
      <c r="D2" s="299" t="s">
        <v>319</v>
      </c>
      <c r="E2" s="300" t="s">
        <v>69</v>
      </c>
      <c r="F2" s="300" t="s">
        <v>68</v>
      </c>
      <c r="G2" s="301" t="s">
        <v>662</v>
      </c>
      <c r="H2" s="301" t="s">
        <v>508</v>
      </c>
    </row>
    <row r="3" spans="1:25">
      <c r="C3" s="302">
        <v>0</v>
      </c>
      <c r="D3" s="316" t="s">
        <v>302</v>
      </c>
      <c r="E3" s="317" t="s">
        <v>43</v>
      </c>
      <c r="F3" s="317">
        <v>7249105</v>
      </c>
      <c r="G3" s="655">
        <v>658</v>
      </c>
      <c r="H3" s="318"/>
      <c r="I3" s="303">
        <v>1</v>
      </c>
    </row>
    <row r="4" spans="1:25">
      <c r="C4" s="302"/>
      <c r="D4" s="316" t="s">
        <v>318</v>
      </c>
      <c r="E4" s="317" t="s">
        <v>43</v>
      </c>
      <c r="F4" s="317" t="s">
        <v>303</v>
      </c>
      <c r="G4" s="655">
        <v>626</v>
      </c>
      <c r="H4" s="318"/>
      <c r="I4" s="303"/>
    </row>
    <row r="5" spans="1:25">
      <c r="C5" s="302"/>
      <c r="D5" s="316" t="s">
        <v>317</v>
      </c>
      <c r="E5" s="317" t="s">
        <v>43</v>
      </c>
      <c r="F5" s="317" t="s">
        <v>263</v>
      </c>
      <c r="G5" s="655">
        <v>684</v>
      </c>
      <c r="H5" s="318"/>
      <c r="I5" s="303">
        <v>2</v>
      </c>
    </row>
    <row r="6" spans="1:25">
      <c r="C6" s="302">
        <v>1</v>
      </c>
      <c r="D6" s="316" t="s">
        <v>314</v>
      </c>
      <c r="E6" s="317" t="s">
        <v>43</v>
      </c>
      <c r="F6" s="317">
        <v>7501764</v>
      </c>
      <c r="G6" s="655">
        <v>133</v>
      </c>
      <c r="H6" s="318"/>
      <c r="I6" s="303"/>
    </row>
    <row r="7" spans="1:25">
      <c r="C7" s="302"/>
      <c r="D7" s="316" t="s">
        <v>315</v>
      </c>
      <c r="E7" s="317" t="s">
        <v>43</v>
      </c>
      <c r="F7" s="317">
        <v>7501765</v>
      </c>
      <c r="G7" s="655">
        <v>186</v>
      </c>
      <c r="H7" s="318"/>
      <c r="I7" s="303"/>
    </row>
    <row r="8" spans="1:25">
      <c r="C8" s="302"/>
      <c r="D8" s="316" t="s">
        <v>316</v>
      </c>
      <c r="E8" s="317" t="s">
        <v>43</v>
      </c>
      <c r="F8" s="317">
        <v>7501766</v>
      </c>
      <c r="G8" s="655">
        <v>228</v>
      </c>
      <c r="H8" s="318"/>
      <c r="I8" s="303"/>
    </row>
    <row r="9" spans="1:25">
      <c r="C9" s="302">
        <v>2</v>
      </c>
      <c r="D9" s="316" t="s">
        <v>320</v>
      </c>
      <c r="E9" s="317" t="s">
        <v>43</v>
      </c>
      <c r="F9" s="317">
        <v>7501767</v>
      </c>
      <c r="G9" s="655">
        <v>92</v>
      </c>
      <c r="H9" s="318" t="s">
        <v>513</v>
      </c>
      <c r="I9" s="303">
        <v>3</v>
      </c>
    </row>
    <row r="10" spans="1:25">
      <c r="C10" s="302"/>
      <c r="D10" s="316" t="s">
        <v>321</v>
      </c>
      <c r="E10" s="317" t="s">
        <v>43</v>
      </c>
      <c r="F10" s="317">
        <v>7501768</v>
      </c>
      <c r="G10" s="655">
        <v>133</v>
      </c>
      <c r="H10" s="318" t="s">
        <v>513</v>
      </c>
      <c r="I10" s="303">
        <v>4</v>
      </c>
    </row>
    <row r="11" spans="1:25">
      <c r="C11" s="302"/>
      <c r="D11" s="316" t="s">
        <v>322</v>
      </c>
      <c r="E11" s="317" t="s">
        <v>43</v>
      </c>
      <c r="F11" s="317">
        <v>7501769</v>
      </c>
      <c r="G11" s="655">
        <v>171</v>
      </c>
      <c r="H11" s="318" t="s">
        <v>513</v>
      </c>
      <c r="I11" s="303">
        <v>5</v>
      </c>
    </row>
    <row r="12" spans="1:25">
      <c r="C12" s="302">
        <v>3</v>
      </c>
      <c r="D12" s="316" t="s">
        <v>304</v>
      </c>
      <c r="E12" s="317" t="s">
        <v>43</v>
      </c>
      <c r="F12" s="317">
        <v>7501770</v>
      </c>
      <c r="G12" s="655">
        <v>40.6</v>
      </c>
      <c r="H12" s="318"/>
      <c r="I12" s="303">
        <v>6</v>
      </c>
    </row>
    <row r="13" spans="1:25">
      <c r="A13" s="297" t="s">
        <v>148</v>
      </c>
      <c r="C13" s="302"/>
      <c r="D13" s="316" t="s">
        <v>305</v>
      </c>
      <c r="E13" s="317" t="s">
        <v>43</v>
      </c>
      <c r="F13" s="319">
        <v>7501771</v>
      </c>
      <c r="G13" s="656">
        <v>42.1</v>
      </c>
      <c r="H13" s="320"/>
      <c r="I13" s="303">
        <v>7</v>
      </c>
      <c r="Y13" s="297" t="s">
        <v>74</v>
      </c>
    </row>
    <row r="14" spans="1:25">
      <c r="A14" s="297" t="s">
        <v>149</v>
      </c>
      <c r="C14" s="302"/>
      <c r="D14" s="316" t="s">
        <v>306</v>
      </c>
      <c r="E14" s="317" t="s">
        <v>43</v>
      </c>
      <c r="F14" s="319">
        <v>7501772</v>
      </c>
      <c r="G14" s="656">
        <v>45.8</v>
      </c>
      <c r="H14" s="320"/>
      <c r="I14" s="303">
        <v>8</v>
      </c>
      <c r="Y14" s="297"/>
    </row>
    <row r="15" spans="1:25">
      <c r="C15" s="302" t="s">
        <v>490</v>
      </c>
      <c r="D15" s="316" t="s">
        <v>307</v>
      </c>
      <c r="E15" s="317" t="s">
        <v>43</v>
      </c>
      <c r="F15" s="319" t="s">
        <v>310</v>
      </c>
      <c r="G15" s="656">
        <v>143</v>
      </c>
      <c r="H15" s="584" t="s">
        <v>512</v>
      </c>
      <c r="I15" s="303"/>
      <c r="Y15" s="297"/>
    </row>
    <row r="16" spans="1:25">
      <c r="C16" s="302"/>
      <c r="D16" s="316" t="s">
        <v>308</v>
      </c>
      <c r="E16" s="317" t="s">
        <v>43</v>
      </c>
      <c r="F16" s="319" t="s">
        <v>311</v>
      </c>
      <c r="G16" s="656">
        <v>152</v>
      </c>
      <c r="H16" s="584" t="s">
        <v>512</v>
      </c>
      <c r="I16" s="303"/>
      <c r="Y16" s="297"/>
    </row>
    <row r="17" spans="1:25">
      <c r="C17" s="302"/>
      <c r="D17" s="316" t="s">
        <v>309</v>
      </c>
      <c r="E17" s="317" t="s">
        <v>43</v>
      </c>
      <c r="F17" s="319" t="s">
        <v>312</v>
      </c>
      <c r="G17" s="656">
        <v>152</v>
      </c>
      <c r="H17" s="584" t="s">
        <v>512</v>
      </c>
      <c r="I17" s="303">
        <v>9</v>
      </c>
      <c r="Y17" s="297"/>
    </row>
    <row r="18" spans="1:25">
      <c r="C18" s="302"/>
      <c r="D18" s="321" t="s">
        <v>313</v>
      </c>
      <c r="E18" s="317" t="s">
        <v>43</v>
      </c>
      <c r="F18" s="319">
        <v>7501773</v>
      </c>
      <c r="G18" s="656">
        <v>84</v>
      </c>
      <c r="H18" s="320"/>
      <c r="I18" s="303">
        <v>10</v>
      </c>
    </row>
    <row r="19" spans="1:25">
      <c r="A19" s="297" t="s">
        <v>149</v>
      </c>
      <c r="C19" s="302">
        <v>4</v>
      </c>
      <c r="D19" s="321" t="s">
        <v>492</v>
      </c>
      <c r="E19" s="317" t="s">
        <v>43</v>
      </c>
      <c r="F19" s="319" t="s">
        <v>491</v>
      </c>
      <c r="G19" s="656">
        <v>335</v>
      </c>
      <c r="H19" s="320"/>
      <c r="I19" s="303">
        <v>11</v>
      </c>
    </row>
    <row r="20" spans="1:25">
      <c r="A20" s="297" t="s">
        <v>149</v>
      </c>
      <c r="C20" s="304"/>
      <c r="D20" s="321" t="s">
        <v>493</v>
      </c>
      <c r="E20" s="317" t="s">
        <v>43</v>
      </c>
      <c r="F20" s="323" t="s">
        <v>495</v>
      </c>
      <c r="G20" s="657">
        <v>318</v>
      </c>
      <c r="H20" s="324"/>
      <c r="I20" s="303">
        <v>12</v>
      </c>
    </row>
    <row r="21" spans="1:25">
      <c r="C21" s="304"/>
      <c r="D21" s="321" t="s">
        <v>494</v>
      </c>
      <c r="E21" s="317" t="s">
        <v>43</v>
      </c>
      <c r="F21" s="325" t="s">
        <v>496</v>
      </c>
      <c r="G21" s="658">
        <v>357</v>
      </c>
      <c r="H21" s="326"/>
      <c r="I21" s="303">
        <v>13</v>
      </c>
    </row>
    <row r="22" spans="1:25" ht="28.8">
      <c r="C22" s="302" t="s">
        <v>585</v>
      </c>
      <c r="D22" s="316" t="s">
        <v>575</v>
      </c>
      <c r="E22" s="317" t="s">
        <v>43</v>
      </c>
      <c r="F22" s="582">
        <v>7377369</v>
      </c>
      <c r="G22" s="659">
        <v>1049</v>
      </c>
      <c r="H22" s="586" t="s">
        <v>580</v>
      </c>
      <c r="I22" s="305"/>
    </row>
    <row r="23" spans="1:25" ht="28.8">
      <c r="C23" s="302" t="s">
        <v>586</v>
      </c>
      <c r="D23" s="316" t="s">
        <v>576</v>
      </c>
      <c r="E23" s="317" t="s">
        <v>43</v>
      </c>
      <c r="F23" s="583">
        <v>7377372</v>
      </c>
      <c r="G23" s="660">
        <v>1115</v>
      </c>
      <c r="H23" s="586" t="s">
        <v>581</v>
      </c>
    </row>
    <row r="24" spans="1:25" ht="28.8">
      <c r="C24" s="306" t="s">
        <v>587</v>
      </c>
      <c r="D24" s="316" t="s">
        <v>577</v>
      </c>
      <c r="E24" s="317" t="s">
        <v>43</v>
      </c>
      <c r="F24" s="582">
        <v>7377375</v>
      </c>
      <c r="G24" s="660">
        <v>1171</v>
      </c>
      <c r="H24" s="586" t="s">
        <v>582</v>
      </c>
    </row>
    <row r="25" spans="1:25" ht="28.8">
      <c r="C25" s="306" t="s">
        <v>588</v>
      </c>
      <c r="D25" s="316" t="s">
        <v>578</v>
      </c>
      <c r="E25" s="317" t="s">
        <v>43</v>
      </c>
      <c r="F25" s="582">
        <v>7377378</v>
      </c>
      <c r="G25" s="660">
        <v>1225</v>
      </c>
      <c r="H25" s="586" t="s">
        <v>583</v>
      </c>
    </row>
    <row r="26" spans="1:25" ht="28.8">
      <c r="C26" s="306" t="s">
        <v>589</v>
      </c>
      <c r="D26" s="316" t="s">
        <v>579</v>
      </c>
      <c r="E26" s="317" t="s">
        <v>43</v>
      </c>
      <c r="F26" s="582">
        <v>7377381</v>
      </c>
      <c r="G26" s="660">
        <v>1956</v>
      </c>
      <c r="H26" s="586" t="s">
        <v>584</v>
      </c>
    </row>
    <row r="27" spans="1:25" ht="28.8">
      <c r="C27" s="306" t="s">
        <v>592</v>
      </c>
      <c r="D27" s="316" t="s">
        <v>590</v>
      </c>
      <c r="E27" s="317" t="s">
        <v>43</v>
      </c>
      <c r="F27" s="317">
        <v>7377370</v>
      </c>
      <c r="G27" s="655">
        <v>681</v>
      </c>
      <c r="H27" s="585" t="s">
        <v>604</v>
      </c>
      <c r="I27" s="303">
        <v>14</v>
      </c>
    </row>
    <row r="28" spans="1:25" ht="28.8">
      <c r="C28" s="302" t="s">
        <v>593</v>
      </c>
      <c r="D28" s="316" t="s">
        <v>591</v>
      </c>
      <c r="E28" s="317" t="s">
        <v>43</v>
      </c>
      <c r="F28" s="319">
        <v>7377373</v>
      </c>
      <c r="G28" s="656">
        <v>726</v>
      </c>
      <c r="H28" s="585" t="s">
        <v>605</v>
      </c>
      <c r="I28" s="303">
        <v>15</v>
      </c>
    </row>
    <row r="29" spans="1:25" ht="28.8">
      <c r="C29" s="302" t="s">
        <v>594</v>
      </c>
      <c r="D29" s="316" t="s">
        <v>597</v>
      </c>
      <c r="E29" s="317"/>
      <c r="F29" s="317">
        <v>7377376</v>
      </c>
      <c r="G29" s="655">
        <v>903</v>
      </c>
      <c r="H29" s="585" t="s">
        <v>606</v>
      </c>
      <c r="I29" s="303"/>
    </row>
    <row r="30" spans="1:25" ht="28.8">
      <c r="C30" s="302" t="s">
        <v>595</v>
      </c>
      <c r="D30" s="316" t="s">
        <v>598</v>
      </c>
      <c r="E30" s="317"/>
      <c r="F30" s="317">
        <v>7377379</v>
      </c>
      <c r="G30" s="655">
        <v>1178</v>
      </c>
      <c r="H30" s="585" t="s">
        <v>607</v>
      </c>
      <c r="I30" s="303"/>
    </row>
    <row r="31" spans="1:25" ht="28.8">
      <c r="C31" s="302" t="s">
        <v>596</v>
      </c>
      <c r="D31" s="316" t="s">
        <v>599</v>
      </c>
      <c r="E31" s="317"/>
      <c r="F31" s="317">
        <v>7377382</v>
      </c>
      <c r="G31" s="655">
        <v>1488</v>
      </c>
      <c r="H31" s="585" t="s">
        <v>608</v>
      </c>
      <c r="I31" s="303"/>
    </row>
    <row r="32" spans="1:25" ht="28.8">
      <c r="C32" s="302" t="s">
        <v>610</v>
      </c>
      <c r="D32" s="316" t="s">
        <v>609</v>
      </c>
      <c r="E32" s="317" t="s">
        <v>43</v>
      </c>
      <c r="F32" s="629">
        <v>7377371</v>
      </c>
      <c r="G32" s="655">
        <v>678</v>
      </c>
      <c r="H32" s="585" t="s">
        <v>604</v>
      </c>
      <c r="I32" s="303"/>
    </row>
    <row r="33" spans="1:9" ht="28.8">
      <c r="C33" s="302" t="s">
        <v>614</v>
      </c>
      <c r="D33" s="316" t="s">
        <v>600</v>
      </c>
      <c r="E33" s="317" t="s">
        <v>43</v>
      </c>
      <c r="F33" s="630">
        <v>7377374</v>
      </c>
      <c r="G33" s="656">
        <v>728</v>
      </c>
      <c r="H33" s="585" t="s">
        <v>605</v>
      </c>
      <c r="I33" s="303"/>
    </row>
    <row r="34" spans="1:9" ht="28.8">
      <c r="C34" s="302" t="s">
        <v>611</v>
      </c>
      <c r="D34" s="316" t="s">
        <v>601</v>
      </c>
      <c r="E34" s="317"/>
      <c r="F34" s="630">
        <v>7377377</v>
      </c>
      <c r="G34" s="656">
        <v>893</v>
      </c>
      <c r="H34" s="585" t="s">
        <v>606</v>
      </c>
      <c r="I34" s="303"/>
    </row>
    <row r="35" spans="1:9" ht="28.8">
      <c r="C35" s="302" t="s">
        <v>612</v>
      </c>
      <c r="D35" s="316" t="s">
        <v>602</v>
      </c>
      <c r="E35" s="317"/>
      <c r="F35" s="630">
        <v>7377380</v>
      </c>
      <c r="G35" s="656">
        <v>1187</v>
      </c>
      <c r="H35" s="585" t="s">
        <v>607</v>
      </c>
      <c r="I35" s="303"/>
    </row>
    <row r="36" spans="1:9" ht="28.8">
      <c r="C36" s="302" t="s">
        <v>613</v>
      </c>
      <c r="D36" s="316" t="s">
        <v>603</v>
      </c>
      <c r="E36" s="317"/>
      <c r="F36" s="630">
        <v>7377383</v>
      </c>
      <c r="G36" s="656">
        <v>1497</v>
      </c>
      <c r="H36" s="585" t="s">
        <v>608</v>
      </c>
      <c r="I36" s="303"/>
    </row>
    <row r="37" spans="1:9">
      <c r="C37" s="302">
        <v>8</v>
      </c>
      <c r="D37" s="321" t="s">
        <v>497</v>
      </c>
      <c r="E37" s="317" t="s">
        <v>43</v>
      </c>
      <c r="F37" s="319" t="s">
        <v>498</v>
      </c>
      <c r="G37" s="656">
        <v>124</v>
      </c>
      <c r="H37" s="320" t="s">
        <v>620</v>
      </c>
      <c r="I37" s="303">
        <v>16</v>
      </c>
    </row>
    <row r="38" spans="1:9">
      <c r="C38" s="302"/>
      <c r="D38" s="321" t="s">
        <v>499</v>
      </c>
      <c r="E38" s="317" t="s">
        <v>43</v>
      </c>
      <c r="F38" s="319" t="s">
        <v>502</v>
      </c>
      <c r="G38" s="656">
        <v>124</v>
      </c>
      <c r="H38" s="320" t="s">
        <v>620</v>
      </c>
      <c r="I38" s="303">
        <v>17</v>
      </c>
    </row>
    <row r="39" spans="1:9">
      <c r="C39" s="302"/>
      <c r="D39" s="321" t="s">
        <v>500</v>
      </c>
      <c r="E39" s="317" t="s">
        <v>43</v>
      </c>
      <c r="F39" s="319" t="s">
        <v>501</v>
      </c>
      <c r="G39" s="656">
        <v>129</v>
      </c>
      <c r="H39" s="320" t="s">
        <v>620</v>
      </c>
      <c r="I39" s="303">
        <v>18</v>
      </c>
    </row>
    <row r="40" spans="1:9" ht="28.8">
      <c r="C40" s="302">
        <v>9</v>
      </c>
      <c r="D40" s="677" t="s">
        <v>504</v>
      </c>
      <c r="E40" s="678" t="s">
        <v>43</v>
      </c>
      <c r="F40" s="679" t="s">
        <v>503</v>
      </c>
      <c r="G40" s="680">
        <v>494</v>
      </c>
      <c r="H40" s="681" t="s">
        <v>511</v>
      </c>
      <c r="I40" s="303">
        <v>19</v>
      </c>
    </row>
    <row r="41" spans="1:9" ht="28.8">
      <c r="A41" s="297" t="s">
        <v>150</v>
      </c>
      <c r="C41" s="302"/>
      <c r="D41" s="321" t="s">
        <v>505</v>
      </c>
      <c r="E41" s="317" t="s">
        <v>43</v>
      </c>
      <c r="F41" s="319">
        <v>7228295</v>
      </c>
      <c r="G41" s="656">
        <v>520</v>
      </c>
      <c r="H41" s="584" t="s">
        <v>524</v>
      </c>
      <c r="I41" s="303">
        <v>20</v>
      </c>
    </row>
    <row r="42" spans="1:9" ht="28.8">
      <c r="C42" s="302" t="s">
        <v>553</v>
      </c>
      <c r="D42" s="677" t="s">
        <v>548</v>
      </c>
      <c r="E42" s="678" t="s">
        <v>43</v>
      </c>
      <c r="F42" s="679" t="s">
        <v>550</v>
      </c>
      <c r="G42" s="680">
        <v>661</v>
      </c>
      <c r="H42" s="681" t="s">
        <v>511</v>
      </c>
      <c r="I42" s="303"/>
    </row>
    <row r="43" spans="1:9" ht="28.8">
      <c r="C43" s="302"/>
      <c r="D43" s="321" t="s">
        <v>549</v>
      </c>
      <c r="E43" s="317" t="s">
        <v>43</v>
      </c>
      <c r="F43" s="319">
        <v>7228296</v>
      </c>
      <c r="G43" s="656">
        <v>726</v>
      </c>
      <c r="H43" s="584" t="s">
        <v>524</v>
      </c>
      <c r="I43" s="303"/>
    </row>
    <row r="44" spans="1:9">
      <c r="A44" s="297" t="s">
        <v>151</v>
      </c>
      <c r="C44" s="302">
        <v>10</v>
      </c>
      <c r="D44" s="321" t="s">
        <v>506</v>
      </c>
      <c r="E44" s="317" t="s">
        <v>43</v>
      </c>
      <c r="F44" s="319">
        <v>7372825</v>
      </c>
      <c r="G44" s="656">
        <v>72</v>
      </c>
      <c r="H44" s="320" t="s">
        <v>510</v>
      </c>
      <c r="I44" s="303">
        <v>21</v>
      </c>
    </row>
    <row r="45" spans="1:9">
      <c r="C45" s="302"/>
      <c r="D45" s="321" t="s">
        <v>554</v>
      </c>
      <c r="E45" s="317" t="s">
        <v>43</v>
      </c>
      <c r="F45" s="319">
        <v>7372826</v>
      </c>
      <c r="G45" s="656">
        <v>80</v>
      </c>
      <c r="H45" s="320" t="s">
        <v>510</v>
      </c>
      <c r="I45" s="303"/>
    </row>
    <row r="46" spans="1:9" ht="28.8">
      <c r="C46" s="302">
        <v>11</v>
      </c>
      <c r="D46" s="321" t="s">
        <v>507</v>
      </c>
      <c r="E46" s="317" t="s">
        <v>43</v>
      </c>
      <c r="F46" s="319">
        <v>7372923</v>
      </c>
      <c r="G46" s="656">
        <v>142</v>
      </c>
      <c r="H46" s="584" t="s">
        <v>509</v>
      </c>
      <c r="I46" s="303"/>
    </row>
    <row r="47" spans="1:9" ht="28.8">
      <c r="C47" s="302"/>
      <c r="D47" s="321" t="s">
        <v>555</v>
      </c>
      <c r="E47" s="317" t="s">
        <v>43</v>
      </c>
      <c r="F47" s="319">
        <v>7372924</v>
      </c>
      <c r="G47" s="656">
        <v>142</v>
      </c>
      <c r="H47" s="584" t="s">
        <v>509</v>
      </c>
      <c r="I47" s="303"/>
    </row>
    <row r="48" spans="1:9">
      <c r="A48" s="297" t="s">
        <v>152</v>
      </c>
      <c r="C48" s="302">
        <v>12</v>
      </c>
      <c r="D48" s="321" t="s">
        <v>514</v>
      </c>
      <c r="E48" s="317" t="s">
        <v>43</v>
      </c>
      <c r="F48" s="319">
        <v>7377341</v>
      </c>
      <c r="G48" s="656">
        <v>174</v>
      </c>
      <c r="H48" s="320" t="s">
        <v>616</v>
      </c>
      <c r="I48" s="303">
        <v>22</v>
      </c>
    </row>
    <row r="49" spans="1:42">
      <c r="C49" s="302">
        <v>13</v>
      </c>
      <c r="D49" s="321" t="s">
        <v>615</v>
      </c>
      <c r="E49" s="317" t="s">
        <v>43</v>
      </c>
      <c r="F49" s="319">
        <v>7377351</v>
      </c>
      <c r="G49" s="656">
        <v>207</v>
      </c>
      <c r="H49" s="320" t="s">
        <v>616</v>
      </c>
      <c r="I49" s="303">
        <v>24</v>
      </c>
    </row>
    <row r="50" spans="1:42">
      <c r="C50" s="302"/>
      <c r="D50" s="321" t="s">
        <v>551</v>
      </c>
      <c r="E50" s="317" t="s">
        <v>43</v>
      </c>
      <c r="F50" s="319">
        <v>7377343</v>
      </c>
      <c r="G50" s="656">
        <v>174</v>
      </c>
      <c r="H50" s="320" t="s">
        <v>552</v>
      </c>
      <c r="I50" s="303"/>
    </row>
    <row r="51" spans="1:42">
      <c r="C51" s="302"/>
      <c r="D51" s="321" t="s">
        <v>617</v>
      </c>
      <c r="E51" s="317" t="s">
        <v>43</v>
      </c>
      <c r="F51" s="319">
        <v>7377348</v>
      </c>
      <c r="G51" s="656">
        <v>207</v>
      </c>
      <c r="H51" s="320" t="s">
        <v>552</v>
      </c>
      <c r="I51" s="303">
        <v>23</v>
      </c>
    </row>
    <row r="52" spans="1:42">
      <c r="C52" s="302">
        <v>14</v>
      </c>
      <c r="D52" s="631" t="s">
        <v>618</v>
      </c>
      <c r="E52" s="331"/>
      <c r="F52" s="632" t="s">
        <v>556</v>
      </c>
      <c r="G52" s="661">
        <v>57</v>
      </c>
      <c r="H52" s="329" t="s">
        <v>557</v>
      </c>
      <c r="I52" s="303"/>
    </row>
    <row r="53" spans="1:42">
      <c r="C53" s="302">
        <v>15</v>
      </c>
      <c r="D53" s="631" t="s">
        <v>571</v>
      </c>
      <c r="E53" s="331" t="s">
        <v>43</v>
      </c>
      <c r="F53" s="632">
        <v>7377367</v>
      </c>
      <c r="G53" s="661">
        <v>195</v>
      </c>
      <c r="H53" s="329" t="s">
        <v>557</v>
      </c>
      <c r="I53" s="303"/>
    </row>
    <row r="54" spans="1:42">
      <c r="C54" s="302"/>
      <c r="D54" s="631" t="s">
        <v>572</v>
      </c>
      <c r="E54" s="331" t="s">
        <v>43</v>
      </c>
      <c r="F54" s="632">
        <v>7377368</v>
      </c>
      <c r="G54" s="661">
        <v>195</v>
      </c>
      <c r="H54" s="329" t="s">
        <v>557</v>
      </c>
      <c r="I54" s="303"/>
    </row>
    <row r="55" spans="1:42">
      <c r="C55" s="302">
        <v>16</v>
      </c>
      <c r="D55" s="322" t="s">
        <v>686</v>
      </c>
      <c r="E55" s="327" t="s">
        <v>43</v>
      </c>
      <c r="F55" s="328">
        <v>7974004</v>
      </c>
      <c r="G55" s="661">
        <v>169</v>
      </c>
      <c r="H55" s="329" t="s">
        <v>688</v>
      </c>
      <c r="I55" s="303">
        <v>26</v>
      </c>
    </row>
    <row r="56" spans="1:42">
      <c r="A56" s="297" t="s">
        <v>153</v>
      </c>
      <c r="C56" s="302">
        <v>17</v>
      </c>
      <c r="D56" s="322" t="s">
        <v>687</v>
      </c>
      <c r="E56" s="331" t="s">
        <v>43</v>
      </c>
      <c r="F56" s="331">
        <v>7974005</v>
      </c>
      <c r="G56" s="658">
        <v>169</v>
      </c>
      <c r="H56" s="329" t="s">
        <v>688</v>
      </c>
      <c r="I56" s="303">
        <v>27</v>
      </c>
    </row>
    <row r="57" spans="1:42">
      <c r="C57" s="302">
        <v>18</v>
      </c>
      <c r="D57" s="330" t="s">
        <v>515</v>
      </c>
      <c r="E57" s="331" t="s">
        <v>43</v>
      </c>
      <c r="F57" s="331">
        <v>7372852</v>
      </c>
      <c r="G57" s="658">
        <v>335</v>
      </c>
      <c r="H57" s="326" t="s">
        <v>619</v>
      </c>
      <c r="I57" s="303">
        <v>28</v>
      </c>
    </row>
    <row r="58" spans="1:42">
      <c r="D58" s="307"/>
      <c r="E58" s="308"/>
      <c r="F58" s="308"/>
      <c r="G58" s="309"/>
      <c r="H58" s="309"/>
    </row>
    <row r="59" spans="1:42">
      <c r="D59" s="307"/>
      <c r="E59" s="308"/>
      <c r="F59" s="308"/>
      <c r="G59" s="309"/>
      <c r="H59" s="309"/>
    </row>
    <row r="62" spans="1:42">
      <c r="D62" s="310"/>
      <c r="E62" s="310"/>
      <c r="F62" s="310"/>
      <c r="G62" s="310"/>
      <c r="H62" s="310"/>
    </row>
    <row r="63" spans="1:42">
      <c r="D63" s="307"/>
      <c r="E63" s="308"/>
      <c r="F63" s="308"/>
      <c r="G63" s="311"/>
      <c r="H63" s="311"/>
    </row>
    <row r="64" spans="1:42">
      <c r="D64" s="307"/>
      <c r="E64" s="308"/>
      <c r="F64" s="308"/>
      <c r="G64" s="311"/>
      <c r="H64" s="311"/>
      <c r="AP64"/>
    </row>
    <row r="65" spans="4:17">
      <c r="D65"/>
      <c r="E65" s="308"/>
      <c r="F65" s="308"/>
      <c r="G65" s="311"/>
      <c r="H65" s="311"/>
      <c r="Q65"/>
    </row>
    <row r="66" spans="4:17">
      <c r="D66" s="307"/>
      <c r="E66" s="308"/>
      <c r="F66" s="308"/>
      <c r="G66" s="311"/>
      <c r="H66" s="311"/>
      <c r="I66"/>
    </row>
    <row r="67" spans="4:17">
      <c r="D67" s="307"/>
      <c r="E67" s="308"/>
      <c r="F67" s="308"/>
      <c r="G67" s="311"/>
      <c r="H67" s="311"/>
    </row>
    <row r="68" spans="4:17">
      <c r="D68" s="307"/>
      <c r="E68"/>
      <c r="F68" s="308"/>
      <c r="G68" s="311"/>
      <c r="H68" s="311"/>
    </row>
    <row r="69" spans="4:17">
      <c r="D69" s="307"/>
      <c r="E69" s="308"/>
      <c r="F69" s="308"/>
      <c r="G69" s="311"/>
      <c r="H69" s="311"/>
    </row>
    <row r="70" spans="4:17">
      <c r="D70" s="307"/>
      <c r="E70" s="308"/>
      <c r="F70" s="308"/>
      <c r="G70" s="311"/>
      <c r="H70" s="311"/>
    </row>
    <row r="71" spans="4:17">
      <c r="D71" s="307"/>
      <c r="E71" s="308"/>
      <c r="F71" s="308"/>
      <c r="G71" s="311"/>
      <c r="H71" s="311"/>
    </row>
    <row r="72" spans="4:17">
      <c r="D72" s="307"/>
      <c r="E72" s="308"/>
      <c r="F72" s="308"/>
      <c r="G72" s="311"/>
      <c r="H72" s="311"/>
    </row>
    <row r="73" spans="4:17">
      <c r="D73" s="307"/>
      <c r="E73" s="308"/>
      <c r="F73" s="308"/>
      <c r="G73" s="311"/>
      <c r="H73" s="311"/>
    </row>
    <row r="74" spans="4:17">
      <c r="D74" s="307"/>
      <c r="E74" s="308"/>
      <c r="F74" s="308"/>
      <c r="G74" s="311"/>
      <c r="H74" s="311"/>
    </row>
    <row r="75" spans="4:17">
      <c r="D75" s="307"/>
      <c r="E75" s="308"/>
      <c r="F75" s="308"/>
      <c r="G75" s="311"/>
      <c r="H75" s="311"/>
    </row>
    <row r="88" spans="14:34">
      <c r="N88"/>
    </row>
    <row r="96" spans="14:34">
      <c r="AH96"/>
    </row>
    <row r="116" spans="3:27">
      <c r="O116"/>
    </row>
    <row r="121" spans="3:27">
      <c r="AA121"/>
    </row>
    <row r="125" spans="3:27">
      <c r="C125" s="312" t="s">
        <v>210</v>
      </c>
      <c r="D125" s="313"/>
      <c r="E125" s="313"/>
      <c r="F125" s="313"/>
      <c r="G125" s="314"/>
      <c r="H125" s="314"/>
      <c r="I125" s="314"/>
      <c r="J125" s="314"/>
      <c r="K125" s="314"/>
      <c r="L125" s="315"/>
    </row>
    <row r="127" spans="3:27">
      <c r="C127" s="298" t="s">
        <v>323</v>
      </c>
    </row>
    <row r="128" spans="3:27">
      <c r="C128" s="298" t="s">
        <v>169</v>
      </c>
    </row>
    <row r="129" spans="3:12">
      <c r="C129" s="298" t="s">
        <v>167</v>
      </c>
    </row>
    <row r="130" spans="3:12">
      <c r="C130" s="298" t="s">
        <v>168</v>
      </c>
    </row>
    <row r="131" spans="3:12">
      <c r="C131" s="298" t="s">
        <v>180</v>
      </c>
    </row>
    <row r="132" spans="3:12">
      <c r="C132" s="298" t="s">
        <v>174</v>
      </c>
    </row>
    <row r="133" spans="3:12">
      <c r="C133" s="298" t="s">
        <v>173</v>
      </c>
    </row>
    <row r="134" spans="3:12">
      <c r="C134" s="298" t="s">
        <v>172</v>
      </c>
    </row>
    <row r="135" spans="3:12">
      <c r="C135" s="298" t="s">
        <v>207</v>
      </c>
    </row>
    <row r="136" spans="3:12">
      <c r="C136" s="298" t="s">
        <v>179</v>
      </c>
    </row>
    <row r="137" spans="3:12">
      <c r="C137" s="298" t="s">
        <v>178</v>
      </c>
    </row>
    <row r="138" spans="3:12">
      <c r="C138" s="298" t="s">
        <v>244</v>
      </c>
    </row>
    <row r="140" spans="3:12">
      <c r="C140" s="312" t="s">
        <v>208</v>
      </c>
      <c r="D140" s="313"/>
      <c r="E140" s="313"/>
      <c r="F140" s="313"/>
      <c r="G140" s="314"/>
      <c r="H140" s="314"/>
      <c r="I140" s="314"/>
      <c r="J140" s="314"/>
      <c r="K140" s="314"/>
      <c r="L140" s="315"/>
    </row>
    <row r="142" spans="3:12">
      <c r="C142" s="298" t="s">
        <v>170</v>
      </c>
    </row>
    <row r="143" spans="3:12">
      <c r="C143" s="298" t="s">
        <v>177</v>
      </c>
    </row>
    <row r="144" spans="3:12">
      <c r="C144" s="298" t="s">
        <v>171</v>
      </c>
    </row>
    <row r="146" spans="3:12">
      <c r="C146" s="312" t="s">
        <v>209</v>
      </c>
      <c r="D146" s="313"/>
      <c r="E146" s="313"/>
      <c r="F146" s="313"/>
      <c r="G146" s="314"/>
      <c r="H146" s="314"/>
      <c r="I146" s="314"/>
      <c r="J146" s="314"/>
      <c r="K146" s="314"/>
      <c r="L146" s="315"/>
    </row>
    <row r="148" spans="3:12">
      <c r="C148" s="298" t="s">
        <v>176</v>
      </c>
    </row>
    <row r="149" spans="3:12">
      <c r="C149" s="298" t="s">
        <v>175</v>
      </c>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8D9B37-8D0E-4523-BD2B-F1673012369A}">
  <sheetPr codeName="Arkusz10">
    <tabColor rgb="FFFFC000"/>
  </sheetPr>
  <dimension ref="A1:AP149"/>
  <sheetViews>
    <sheetView showGridLines="0" topLeftCell="B23" zoomScale="70" zoomScaleNormal="70" workbookViewId="0">
      <selection activeCell="G40" sqref="G40"/>
    </sheetView>
  </sheetViews>
  <sheetFormatPr defaultColWidth="8.88671875" defaultRowHeight="14.4"/>
  <cols>
    <col min="1" max="1" width="3.88671875" style="297" hidden="1" customWidth="1"/>
    <col min="2" max="2" width="4.109375" style="297" customWidth="1"/>
    <col min="3" max="3" width="4" style="298" bestFit="1" customWidth="1"/>
    <col min="4" max="4" width="47.44140625" style="298" bestFit="1" customWidth="1"/>
    <col min="5" max="5" width="12.33203125" style="298" customWidth="1"/>
    <col min="6" max="6" width="19" style="298" customWidth="1"/>
    <col min="7" max="7" width="12.109375" style="298" bestFit="1" customWidth="1"/>
    <col min="8" max="8" width="58.33203125" style="298" customWidth="1"/>
    <col min="9" max="9" width="3.5546875" style="298" customWidth="1"/>
    <col min="10" max="21" width="8.88671875" style="298"/>
    <col min="22" max="22" width="9.109375" style="298" customWidth="1"/>
    <col min="23" max="16384" width="8.88671875" style="298"/>
  </cols>
  <sheetData>
    <row r="1" spans="1:25" ht="15" thickBot="1"/>
    <row r="2" spans="1:25" ht="30.75" customHeight="1" thickBot="1">
      <c r="D2" s="299" t="s">
        <v>319</v>
      </c>
      <c r="E2" s="300" t="s">
        <v>69</v>
      </c>
      <c r="F2" s="300" t="s">
        <v>68</v>
      </c>
      <c r="G2" s="301" t="s">
        <v>662</v>
      </c>
      <c r="H2" s="301" t="s">
        <v>508</v>
      </c>
    </row>
    <row r="3" spans="1:25">
      <c r="C3" s="302">
        <v>0</v>
      </c>
      <c r="D3" s="316" t="s">
        <v>302</v>
      </c>
      <c r="E3" s="317" t="s">
        <v>43</v>
      </c>
      <c r="F3" s="317">
        <v>7249105</v>
      </c>
      <c r="G3" s="655">
        <v>658</v>
      </c>
      <c r="H3" s="318"/>
      <c r="I3" s="303">
        <v>1</v>
      </c>
    </row>
    <row r="4" spans="1:25">
      <c r="C4" s="302"/>
      <c r="D4" s="316" t="s">
        <v>318</v>
      </c>
      <c r="E4" s="317" t="s">
        <v>43</v>
      </c>
      <c r="F4" s="317" t="s">
        <v>303</v>
      </c>
      <c r="G4" s="655">
        <v>626</v>
      </c>
      <c r="H4" s="318"/>
      <c r="I4" s="303"/>
    </row>
    <row r="5" spans="1:25">
      <c r="C5" s="302"/>
      <c r="D5" s="316" t="s">
        <v>317</v>
      </c>
      <c r="E5" s="317" t="s">
        <v>43</v>
      </c>
      <c r="F5" s="317" t="s">
        <v>263</v>
      </c>
      <c r="G5" s="655">
        <v>684</v>
      </c>
      <c r="H5" s="318"/>
      <c r="I5" s="303">
        <v>2</v>
      </c>
    </row>
    <row r="6" spans="1:25">
      <c r="C6" s="302">
        <v>1</v>
      </c>
      <c r="D6" s="316" t="s">
        <v>314</v>
      </c>
      <c r="E6" s="317" t="s">
        <v>43</v>
      </c>
      <c r="F6" s="317">
        <v>7501764</v>
      </c>
      <c r="G6" s="655">
        <v>133</v>
      </c>
      <c r="H6" s="318"/>
      <c r="I6" s="303"/>
    </row>
    <row r="7" spans="1:25">
      <c r="C7" s="302"/>
      <c r="D7" s="316" t="s">
        <v>315</v>
      </c>
      <c r="E7" s="317" t="s">
        <v>43</v>
      </c>
      <c r="F7" s="317">
        <v>7501765</v>
      </c>
      <c r="G7" s="655">
        <v>186</v>
      </c>
      <c r="H7" s="318"/>
      <c r="I7" s="303"/>
    </row>
    <row r="8" spans="1:25">
      <c r="C8" s="302"/>
      <c r="D8" s="316" t="s">
        <v>316</v>
      </c>
      <c r="E8" s="317" t="s">
        <v>43</v>
      </c>
      <c r="F8" s="317">
        <v>7501766</v>
      </c>
      <c r="G8" s="655">
        <v>228</v>
      </c>
      <c r="H8" s="318"/>
      <c r="I8" s="303"/>
    </row>
    <row r="9" spans="1:25">
      <c r="C9" s="302">
        <v>2</v>
      </c>
      <c r="D9" s="316" t="s">
        <v>320</v>
      </c>
      <c r="E9" s="317" t="s">
        <v>43</v>
      </c>
      <c r="F9" s="317">
        <v>7501767</v>
      </c>
      <c r="G9" s="655">
        <v>92</v>
      </c>
      <c r="H9" s="318" t="s">
        <v>513</v>
      </c>
      <c r="I9" s="303">
        <v>3</v>
      </c>
    </row>
    <row r="10" spans="1:25">
      <c r="C10" s="302"/>
      <c r="D10" s="316" t="s">
        <v>321</v>
      </c>
      <c r="E10" s="317" t="s">
        <v>43</v>
      </c>
      <c r="F10" s="317">
        <v>7501768</v>
      </c>
      <c r="G10" s="655">
        <v>133</v>
      </c>
      <c r="H10" s="318" t="s">
        <v>513</v>
      </c>
      <c r="I10" s="303">
        <v>4</v>
      </c>
    </row>
    <row r="11" spans="1:25">
      <c r="C11" s="302"/>
      <c r="D11" s="316" t="s">
        <v>322</v>
      </c>
      <c r="E11" s="317" t="s">
        <v>43</v>
      </c>
      <c r="F11" s="317">
        <v>7501769</v>
      </c>
      <c r="G11" s="655">
        <v>171</v>
      </c>
      <c r="H11" s="318" t="s">
        <v>513</v>
      </c>
      <c r="I11" s="303">
        <v>5</v>
      </c>
    </row>
    <row r="12" spans="1:25">
      <c r="C12" s="302">
        <v>3</v>
      </c>
      <c r="D12" s="316" t="s">
        <v>304</v>
      </c>
      <c r="E12" s="317" t="s">
        <v>43</v>
      </c>
      <c r="F12" s="317">
        <v>7501770</v>
      </c>
      <c r="G12" s="655">
        <v>40.6</v>
      </c>
      <c r="H12" s="318"/>
      <c r="I12" s="303">
        <v>6</v>
      </c>
    </row>
    <row r="13" spans="1:25">
      <c r="A13" s="297" t="s">
        <v>148</v>
      </c>
      <c r="C13" s="302"/>
      <c r="D13" s="316" t="s">
        <v>305</v>
      </c>
      <c r="E13" s="317" t="s">
        <v>43</v>
      </c>
      <c r="F13" s="319">
        <v>7501771</v>
      </c>
      <c r="G13" s="656">
        <v>42.1</v>
      </c>
      <c r="H13" s="320"/>
      <c r="I13" s="303">
        <v>7</v>
      </c>
      <c r="Y13" s="297" t="s">
        <v>74</v>
      </c>
    </row>
    <row r="14" spans="1:25">
      <c r="A14" s="297" t="s">
        <v>149</v>
      </c>
      <c r="C14" s="302"/>
      <c r="D14" s="316" t="s">
        <v>306</v>
      </c>
      <c r="E14" s="317" t="s">
        <v>43</v>
      </c>
      <c r="F14" s="319">
        <v>7501772</v>
      </c>
      <c r="G14" s="656">
        <v>45.8</v>
      </c>
      <c r="H14" s="320"/>
      <c r="I14" s="303">
        <v>8</v>
      </c>
      <c r="Y14" s="297"/>
    </row>
    <row r="15" spans="1:25">
      <c r="C15" s="302" t="s">
        <v>490</v>
      </c>
      <c r="D15" s="316" t="s">
        <v>307</v>
      </c>
      <c r="E15" s="317" t="s">
        <v>43</v>
      </c>
      <c r="F15" s="319" t="s">
        <v>310</v>
      </c>
      <c r="G15" s="656">
        <v>143</v>
      </c>
      <c r="H15" s="584" t="s">
        <v>512</v>
      </c>
      <c r="I15" s="303"/>
      <c r="Y15" s="297"/>
    </row>
    <row r="16" spans="1:25">
      <c r="C16" s="302"/>
      <c r="D16" s="316" t="s">
        <v>308</v>
      </c>
      <c r="E16" s="317" t="s">
        <v>43</v>
      </c>
      <c r="F16" s="319" t="s">
        <v>311</v>
      </c>
      <c r="G16" s="656">
        <v>152</v>
      </c>
      <c r="H16" s="584" t="s">
        <v>512</v>
      </c>
      <c r="I16" s="303"/>
      <c r="Y16" s="297"/>
    </row>
    <row r="17" spans="1:25">
      <c r="C17" s="302"/>
      <c r="D17" s="316" t="s">
        <v>309</v>
      </c>
      <c r="E17" s="317" t="s">
        <v>43</v>
      </c>
      <c r="F17" s="319" t="s">
        <v>312</v>
      </c>
      <c r="G17" s="656">
        <v>152</v>
      </c>
      <c r="H17" s="584" t="s">
        <v>512</v>
      </c>
      <c r="I17" s="303">
        <v>9</v>
      </c>
      <c r="Y17" s="297"/>
    </row>
    <row r="18" spans="1:25">
      <c r="C18" s="302"/>
      <c r="D18" s="321" t="s">
        <v>313</v>
      </c>
      <c r="E18" s="317" t="s">
        <v>43</v>
      </c>
      <c r="F18" s="319">
        <v>7501773</v>
      </c>
      <c r="G18" s="656">
        <v>84</v>
      </c>
      <c r="H18" s="320"/>
      <c r="I18" s="303">
        <v>10</v>
      </c>
    </row>
    <row r="19" spans="1:25">
      <c r="A19" s="297" t="s">
        <v>149</v>
      </c>
      <c r="C19" s="302">
        <v>4</v>
      </c>
      <c r="D19" s="321" t="s">
        <v>492</v>
      </c>
      <c r="E19" s="317" t="s">
        <v>43</v>
      </c>
      <c r="F19" s="319" t="s">
        <v>491</v>
      </c>
      <c r="G19" s="656">
        <v>335</v>
      </c>
      <c r="H19" s="320"/>
      <c r="I19" s="303">
        <v>11</v>
      </c>
    </row>
    <row r="20" spans="1:25">
      <c r="A20" s="297" t="s">
        <v>149</v>
      </c>
      <c r="C20" s="304"/>
      <c r="D20" s="321" t="s">
        <v>493</v>
      </c>
      <c r="E20" s="317" t="s">
        <v>43</v>
      </c>
      <c r="F20" s="323" t="s">
        <v>495</v>
      </c>
      <c r="G20" s="657">
        <v>318</v>
      </c>
      <c r="H20" s="324"/>
      <c r="I20" s="303">
        <v>12</v>
      </c>
    </row>
    <row r="21" spans="1:25">
      <c r="C21" s="304"/>
      <c r="D21" s="321" t="s">
        <v>494</v>
      </c>
      <c r="E21" s="317" t="s">
        <v>43</v>
      </c>
      <c r="F21" s="325" t="s">
        <v>496</v>
      </c>
      <c r="G21" s="658">
        <v>357</v>
      </c>
      <c r="H21" s="326"/>
      <c r="I21" s="303">
        <v>13</v>
      </c>
    </row>
    <row r="22" spans="1:25">
      <c r="C22" s="302" t="s">
        <v>682</v>
      </c>
      <c r="D22" s="316" t="s">
        <v>675</v>
      </c>
      <c r="E22" s="317" t="s">
        <v>43</v>
      </c>
      <c r="F22" s="582">
        <v>7988050</v>
      </c>
      <c r="G22" s="659">
        <v>824</v>
      </c>
      <c r="H22" s="586" t="s">
        <v>679</v>
      </c>
      <c r="I22" s="305"/>
    </row>
    <row r="23" spans="1:25">
      <c r="C23" s="302" t="s">
        <v>683</v>
      </c>
      <c r="D23" s="316" t="s">
        <v>676</v>
      </c>
      <c r="E23" s="317" t="s">
        <v>43</v>
      </c>
      <c r="F23" s="583">
        <v>7988051</v>
      </c>
      <c r="G23" s="660">
        <v>923</v>
      </c>
      <c r="H23" s="586" t="s">
        <v>680</v>
      </c>
    </row>
    <row r="24" spans="1:25">
      <c r="C24" s="306" t="s">
        <v>684</v>
      </c>
      <c r="D24" s="316" t="s">
        <v>677</v>
      </c>
      <c r="E24" s="317" t="s">
        <v>43</v>
      </c>
      <c r="F24" s="582">
        <v>7988052</v>
      </c>
      <c r="G24" s="660">
        <v>1057</v>
      </c>
      <c r="H24" s="586" t="s">
        <v>680</v>
      </c>
    </row>
    <row r="25" spans="1:25">
      <c r="C25" s="306" t="s">
        <v>685</v>
      </c>
      <c r="D25" s="316" t="s">
        <v>678</v>
      </c>
      <c r="E25" s="317" t="s">
        <v>43</v>
      </c>
      <c r="F25" s="582">
        <v>7988053</v>
      </c>
      <c r="G25" s="660">
        <v>1080</v>
      </c>
      <c r="H25" s="586" t="s">
        <v>681</v>
      </c>
    </row>
    <row r="26" spans="1:25">
      <c r="C26" s="306"/>
      <c r="D26" s="316"/>
      <c r="E26" s="317"/>
      <c r="F26" s="582"/>
      <c r="G26" s="660"/>
      <c r="H26" s="586"/>
    </row>
    <row r="27" spans="1:25">
      <c r="C27" s="306"/>
      <c r="D27" s="316" t="s">
        <v>689</v>
      </c>
      <c r="E27" s="317" t="s">
        <v>43</v>
      </c>
      <c r="F27" s="317" t="s">
        <v>661</v>
      </c>
      <c r="G27" s="655">
        <v>1173</v>
      </c>
      <c r="H27" s="585"/>
      <c r="I27" s="303">
        <v>14</v>
      </c>
    </row>
    <row r="28" spans="1:25">
      <c r="C28" s="302"/>
      <c r="D28" s="316"/>
      <c r="E28" s="317"/>
      <c r="F28" s="319"/>
      <c r="G28" s="656"/>
      <c r="H28" s="585"/>
      <c r="I28" s="303">
        <v>15</v>
      </c>
    </row>
    <row r="29" spans="1:25">
      <c r="C29" s="302"/>
      <c r="D29" s="316"/>
      <c r="E29" s="317"/>
      <c r="F29" s="317"/>
      <c r="G29" s="655"/>
      <c r="H29" s="585"/>
      <c r="I29" s="303"/>
    </row>
    <row r="30" spans="1:25">
      <c r="C30" s="302"/>
      <c r="D30" s="316"/>
      <c r="E30" s="317"/>
      <c r="F30" s="317"/>
      <c r="G30" s="655"/>
      <c r="H30" s="585"/>
      <c r="I30" s="303"/>
    </row>
    <row r="31" spans="1:25">
      <c r="C31" s="302"/>
      <c r="D31" s="316"/>
      <c r="E31" s="317"/>
      <c r="F31" s="317"/>
      <c r="G31" s="655"/>
      <c r="H31" s="585"/>
      <c r="I31" s="303"/>
    </row>
    <row r="32" spans="1:25">
      <c r="C32" s="302"/>
      <c r="D32" s="316"/>
      <c r="E32" s="317"/>
      <c r="F32" s="629"/>
      <c r="G32" s="655"/>
      <c r="H32" s="585"/>
      <c r="I32" s="303"/>
    </row>
    <row r="33" spans="1:9">
      <c r="C33" s="302"/>
      <c r="D33" s="316"/>
      <c r="E33" s="317"/>
      <c r="F33" s="630"/>
      <c r="G33" s="656"/>
      <c r="H33" s="585"/>
      <c r="I33" s="303"/>
    </row>
    <row r="34" spans="1:9">
      <c r="C34" s="302"/>
      <c r="D34" s="316"/>
      <c r="E34" s="317"/>
      <c r="F34" s="630"/>
      <c r="G34" s="656"/>
      <c r="H34" s="585"/>
      <c r="I34" s="303"/>
    </row>
    <row r="35" spans="1:9">
      <c r="C35" s="302"/>
      <c r="D35" s="316"/>
      <c r="E35" s="317"/>
      <c r="F35" s="630"/>
      <c r="G35" s="656"/>
      <c r="H35" s="585"/>
      <c r="I35" s="303"/>
    </row>
    <row r="36" spans="1:9">
      <c r="C36" s="302"/>
      <c r="D36" s="316"/>
      <c r="E36" s="317"/>
      <c r="F36" s="630"/>
      <c r="G36" s="656"/>
      <c r="H36" s="585"/>
      <c r="I36" s="303"/>
    </row>
    <row r="37" spans="1:9">
      <c r="C37" s="302">
        <v>8</v>
      </c>
      <c r="D37" s="321" t="s">
        <v>497</v>
      </c>
      <c r="E37" s="317" t="s">
        <v>43</v>
      </c>
      <c r="F37" s="319">
        <v>7775842</v>
      </c>
      <c r="G37" s="656">
        <v>56</v>
      </c>
      <c r="H37" s="320" t="s">
        <v>620</v>
      </c>
      <c r="I37" s="303">
        <v>16</v>
      </c>
    </row>
    <row r="38" spans="1:9">
      <c r="C38" s="302"/>
      <c r="D38" s="321" t="s">
        <v>499</v>
      </c>
      <c r="E38" s="317" t="s">
        <v>43</v>
      </c>
      <c r="F38" s="319">
        <v>7775843</v>
      </c>
      <c r="G38" s="656">
        <v>56</v>
      </c>
      <c r="H38" s="320" t="s">
        <v>620</v>
      </c>
      <c r="I38" s="303">
        <v>17</v>
      </c>
    </row>
    <row r="39" spans="1:9">
      <c r="C39" s="302"/>
      <c r="D39" s="321" t="s">
        <v>500</v>
      </c>
      <c r="E39" s="317" t="s">
        <v>43</v>
      </c>
      <c r="F39" s="319">
        <v>7775844</v>
      </c>
      <c r="G39" s="656">
        <v>56</v>
      </c>
      <c r="H39" s="320" t="s">
        <v>620</v>
      </c>
      <c r="I39" s="303">
        <v>18</v>
      </c>
    </row>
    <row r="40" spans="1:9" ht="28.8">
      <c r="C40" s="302">
        <v>9</v>
      </c>
      <c r="D40" s="677" t="s">
        <v>504</v>
      </c>
      <c r="E40" s="678" t="s">
        <v>43</v>
      </c>
      <c r="F40" s="679" t="s">
        <v>503</v>
      </c>
      <c r="G40" s="680">
        <v>494</v>
      </c>
      <c r="H40" s="681" t="s">
        <v>511</v>
      </c>
      <c r="I40" s="303">
        <v>19</v>
      </c>
    </row>
    <row r="41" spans="1:9" ht="28.8">
      <c r="A41" s="297" t="s">
        <v>150</v>
      </c>
      <c r="C41" s="302"/>
      <c r="D41" s="321" t="s">
        <v>505</v>
      </c>
      <c r="E41" s="317" t="s">
        <v>43</v>
      </c>
      <c r="F41" s="319">
        <v>7228295</v>
      </c>
      <c r="G41" s="656">
        <v>520</v>
      </c>
      <c r="H41" s="584" t="s">
        <v>524</v>
      </c>
      <c r="I41" s="303">
        <v>20</v>
      </c>
    </row>
    <row r="42" spans="1:9" ht="28.8">
      <c r="C42" s="302" t="s">
        <v>553</v>
      </c>
      <c r="D42" s="677" t="s">
        <v>548</v>
      </c>
      <c r="E42" s="678" t="s">
        <v>43</v>
      </c>
      <c r="F42" s="679" t="s">
        <v>550</v>
      </c>
      <c r="G42" s="680">
        <v>661</v>
      </c>
      <c r="H42" s="681" t="s">
        <v>511</v>
      </c>
      <c r="I42" s="303"/>
    </row>
    <row r="43" spans="1:9" ht="28.8">
      <c r="C43" s="302"/>
      <c r="D43" s="321" t="s">
        <v>549</v>
      </c>
      <c r="E43" s="317" t="s">
        <v>43</v>
      </c>
      <c r="F43" s="319">
        <v>7228296</v>
      </c>
      <c r="G43" s="656">
        <v>726</v>
      </c>
      <c r="H43" s="584" t="s">
        <v>524</v>
      </c>
      <c r="I43" s="303"/>
    </row>
    <row r="44" spans="1:9">
      <c r="A44" s="297" t="s">
        <v>151</v>
      </c>
      <c r="C44" s="302">
        <v>10</v>
      </c>
      <c r="D44" s="321" t="s">
        <v>506</v>
      </c>
      <c r="E44" s="317" t="s">
        <v>43</v>
      </c>
      <c r="F44" s="319">
        <v>7372825</v>
      </c>
      <c r="G44" s="656">
        <v>72</v>
      </c>
      <c r="H44" s="320" t="s">
        <v>510</v>
      </c>
      <c r="I44" s="303">
        <v>21</v>
      </c>
    </row>
    <row r="45" spans="1:9">
      <c r="C45" s="302"/>
      <c r="D45" s="321" t="s">
        <v>554</v>
      </c>
      <c r="E45" s="317" t="s">
        <v>43</v>
      </c>
      <c r="F45" s="319">
        <v>7372826</v>
      </c>
      <c r="G45" s="656">
        <v>80</v>
      </c>
      <c r="H45" s="320" t="s">
        <v>510</v>
      </c>
      <c r="I45" s="303"/>
    </row>
    <row r="46" spans="1:9" ht="28.8">
      <c r="C46" s="302">
        <v>11</v>
      </c>
      <c r="D46" s="321" t="s">
        <v>507</v>
      </c>
      <c r="E46" s="317" t="s">
        <v>43</v>
      </c>
      <c r="F46" s="319">
        <v>7372923</v>
      </c>
      <c r="G46" s="656">
        <v>142</v>
      </c>
      <c r="H46" s="584" t="s">
        <v>509</v>
      </c>
      <c r="I46" s="303"/>
    </row>
    <row r="47" spans="1:9" ht="28.8">
      <c r="C47" s="302"/>
      <c r="D47" s="321" t="s">
        <v>555</v>
      </c>
      <c r="E47" s="317" t="s">
        <v>43</v>
      </c>
      <c r="F47" s="319">
        <v>7372924</v>
      </c>
      <c r="G47" s="656">
        <v>142</v>
      </c>
      <c r="H47" s="584" t="s">
        <v>509</v>
      </c>
      <c r="I47" s="303"/>
    </row>
    <row r="48" spans="1:9">
      <c r="A48" s="297" t="s">
        <v>152</v>
      </c>
      <c r="C48" s="302">
        <v>12</v>
      </c>
      <c r="D48" s="321" t="s">
        <v>514</v>
      </c>
      <c r="E48" s="317" t="s">
        <v>43</v>
      </c>
      <c r="F48" s="319">
        <v>7988045</v>
      </c>
      <c r="G48" s="656">
        <v>92</v>
      </c>
      <c r="H48" s="320" t="s">
        <v>616</v>
      </c>
      <c r="I48" s="303">
        <v>22</v>
      </c>
    </row>
    <row r="49" spans="1:42">
      <c r="C49" s="302">
        <v>13</v>
      </c>
      <c r="D49" s="321" t="s">
        <v>615</v>
      </c>
      <c r="E49" s="317" t="s">
        <v>43</v>
      </c>
      <c r="F49" s="319">
        <v>7377351</v>
      </c>
      <c r="G49" s="656">
        <v>207</v>
      </c>
      <c r="H49" s="320" t="s">
        <v>616</v>
      </c>
      <c r="I49" s="303">
        <v>24</v>
      </c>
    </row>
    <row r="50" spans="1:42">
      <c r="C50" s="302"/>
      <c r="D50" s="321" t="s">
        <v>551</v>
      </c>
      <c r="E50" s="317" t="s">
        <v>43</v>
      </c>
      <c r="F50" s="319">
        <v>7988046</v>
      </c>
      <c r="G50" s="656">
        <v>134</v>
      </c>
      <c r="H50" s="320" t="s">
        <v>552</v>
      </c>
      <c r="I50" s="303"/>
    </row>
    <row r="51" spans="1:42">
      <c r="C51" s="302"/>
      <c r="D51" s="321" t="s">
        <v>617</v>
      </c>
      <c r="E51" s="317" t="s">
        <v>43</v>
      </c>
      <c r="F51" s="319">
        <v>7377348</v>
      </c>
      <c r="G51" s="656">
        <v>207</v>
      </c>
      <c r="H51" s="320" t="s">
        <v>552</v>
      </c>
      <c r="I51" s="303">
        <v>23</v>
      </c>
    </row>
    <row r="52" spans="1:42">
      <c r="C52" s="302">
        <v>14</v>
      </c>
      <c r="D52" s="631" t="s">
        <v>618</v>
      </c>
      <c r="E52" s="331"/>
      <c r="F52" s="632" t="s">
        <v>556</v>
      </c>
      <c r="G52" s="661">
        <v>57</v>
      </c>
      <c r="H52" s="329" t="s">
        <v>557</v>
      </c>
      <c r="I52" s="303"/>
    </row>
    <row r="53" spans="1:42">
      <c r="C53" s="302">
        <v>15</v>
      </c>
      <c r="D53" s="631" t="s">
        <v>571</v>
      </c>
      <c r="E53" s="331" t="s">
        <v>43</v>
      </c>
      <c r="F53" s="632">
        <v>7377367</v>
      </c>
      <c r="G53" s="661">
        <v>195</v>
      </c>
      <c r="H53" s="329" t="s">
        <v>557</v>
      </c>
      <c r="I53" s="303"/>
    </row>
    <row r="54" spans="1:42">
      <c r="C54" s="302"/>
      <c r="D54" s="631" t="s">
        <v>572</v>
      </c>
      <c r="E54" s="331" t="s">
        <v>43</v>
      </c>
      <c r="F54" s="632">
        <v>7377368</v>
      </c>
      <c r="G54" s="661">
        <v>195</v>
      </c>
      <c r="H54" s="329" t="s">
        <v>557</v>
      </c>
      <c r="I54" s="303"/>
    </row>
    <row r="55" spans="1:42">
      <c r="C55" s="302">
        <v>16</v>
      </c>
      <c r="D55" s="322" t="s">
        <v>686</v>
      </c>
      <c r="E55" s="327" t="s">
        <v>43</v>
      </c>
      <c r="F55" s="328">
        <v>7974004</v>
      </c>
      <c r="G55" s="661">
        <v>169</v>
      </c>
      <c r="H55" s="329" t="s">
        <v>688</v>
      </c>
      <c r="I55" s="303">
        <v>26</v>
      </c>
    </row>
    <row r="56" spans="1:42">
      <c r="A56" s="297" t="s">
        <v>153</v>
      </c>
      <c r="C56" s="302">
        <v>17</v>
      </c>
      <c r="D56" s="322" t="s">
        <v>687</v>
      </c>
      <c r="E56" s="331" t="s">
        <v>43</v>
      </c>
      <c r="F56" s="331">
        <v>7974005</v>
      </c>
      <c r="G56" s="658">
        <v>169</v>
      </c>
      <c r="H56" s="329" t="s">
        <v>688</v>
      </c>
      <c r="I56" s="303">
        <v>27</v>
      </c>
    </row>
    <row r="57" spans="1:42">
      <c r="C57" s="302">
        <v>18</v>
      </c>
      <c r="D57" s="330" t="s">
        <v>515</v>
      </c>
      <c r="E57" s="331" t="s">
        <v>43</v>
      </c>
      <c r="F57" s="331">
        <v>7372852</v>
      </c>
      <c r="G57" s="658">
        <v>335</v>
      </c>
      <c r="H57" s="326" t="s">
        <v>619</v>
      </c>
      <c r="I57" s="303">
        <v>28</v>
      </c>
    </row>
    <row r="58" spans="1:42">
      <c r="D58" s="307"/>
      <c r="E58" s="308"/>
      <c r="F58" s="308"/>
      <c r="G58" s="309"/>
      <c r="H58" s="309"/>
    </row>
    <row r="59" spans="1:42">
      <c r="D59" s="307"/>
      <c r="E59" s="308"/>
      <c r="F59" s="308"/>
      <c r="G59" s="309"/>
      <c r="H59" s="309"/>
    </row>
    <row r="62" spans="1:42">
      <c r="D62" s="310"/>
      <c r="E62" s="310"/>
      <c r="F62" s="310"/>
      <c r="G62" s="310"/>
      <c r="H62" s="310"/>
    </row>
    <row r="63" spans="1:42">
      <c r="D63" s="307"/>
      <c r="E63" s="308"/>
      <c r="F63" s="308"/>
      <c r="G63" s="311"/>
      <c r="H63" s="311"/>
    </row>
    <row r="64" spans="1:42">
      <c r="D64" s="307"/>
      <c r="E64" s="308"/>
      <c r="F64" s="308"/>
      <c r="G64" s="311"/>
      <c r="H64" s="311"/>
      <c r="AP64"/>
    </row>
    <row r="65" spans="4:17">
      <c r="D65"/>
      <c r="E65" s="308"/>
      <c r="F65" s="308"/>
      <c r="G65" s="311"/>
      <c r="H65" s="311"/>
      <c r="Q65"/>
    </row>
    <row r="66" spans="4:17">
      <c r="D66" s="307"/>
      <c r="E66" s="308"/>
      <c r="F66" s="308"/>
      <c r="G66" s="311"/>
      <c r="H66" s="311"/>
      <c r="I66"/>
    </row>
    <row r="67" spans="4:17">
      <c r="D67" s="307"/>
      <c r="E67" s="308"/>
      <c r="F67" s="308"/>
      <c r="G67" s="311"/>
      <c r="H67" s="311"/>
    </row>
    <row r="68" spans="4:17">
      <c r="D68" s="307"/>
      <c r="E68"/>
      <c r="F68" s="308"/>
      <c r="G68" s="311"/>
      <c r="H68" s="311"/>
    </row>
    <row r="69" spans="4:17">
      <c r="D69" s="307"/>
      <c r="E69" s="308"/>
      <c r="F69" s="308"/>
      <c r="G69" s="311"/>
      <c r="H69" s="311"/>
    </row>
    <row r="70" spans="4:17">
      <c r="D70" s="307"/>
      <c r="E70" s="308"/>
      <c r="F70" s="308"/>
      <c r="G70" s="311"/>
      <c r="H70" s="311"/>
    </row>
    <row r="71" spans="4:17">
      <c r="D71" s="307"/>
      <c r="E71" s="308"/>
      <c r="F71" s="308"/>
      <c r="G71" s="311"/>
      <c r="H71" s="311"/>
    </row>
    <row r="72" spans="4:17">
      <c r="D72" s="307"/>
      <c r="E72" s="308"/>
      <c r="F72" s="308"/>
      <c r="G72" s="311"/>
      <c r="H72" s="311"/>
    </row>
    <row r="73" spans="4:17">
      <c r="D73" s="307"/>
      <c r="E73" s="308"/>
      <c r="F73" s="308"/>
      <c r="G73" s="311"/>
      <c r="H73" s="311"/>
    </row>
    <row r="74" spans="4:17">
      <c r="D74" s="307"/>
      <c r="E74" s="308"/>
      <c r="F74" s="308"/>
      <c r="G74" s="311"/>
      <c r="H74" s="311"/>
    </row>
    <row r="75" spans="4:17">
      <c r="D75" s="307"/>
      <c r="E75" s="308"/>
      <c r="F75" s="308"/>
      <c r="G75" s="311"/>
      <c r="H75" s="311"/>
    </row>
    <row r="88" spans="14:34">
      <c r="N88"/>
    </row>
    <row r="96" spans="14:34">
      <c r="AH96"/>
    </row>
    <row r="116" spans="3:27">
      <c r="O116"/>
    </row>
    <row r="121" spans="3:27">
      <c r="AA121"/>
    </row>
    <row r="125" spans="3:27">
      <c r="C125" s="312" t="s">
        <v>210</v>
      </c>
      <c r="D125" s="313"/>
      <c r="E125" s="313"/>
      <c r="F125" s="313"/>
      <c r="G125" s="314"/>
      <c r="H125" s="314"/>
      <c r="I125" s="314"/>
      <c r="J125" s="314"/>
      <c r="K125" s="314"/>
      <c r="L125" s="315"/>
    </row>
    <row r="127" spans="3:27">
      <c r="C127" s="298" t="s">
        <v>323</v>
      </c>
    </row>
    <row r="128" spans="3:27">
      <c r="C128" s="298" t="s">
        <v>169</v>
      </c>
    </row>
    <row r="129" spans="3:12">
      <c r="C129" s="298" t="s">
        <v>167</v>
      </c>
    </row>
    <row r="130" spans="3:12">
      <c r="C130" s="298" t="s">
        <v>168</v>
      </c>
    </row>
    <row r="131" spans="3:12">
      <c r="C131" s="298" t="s">
        <v>180</v>
      </c>
    </row>
    <row r="132" spans="3:12">
      <c r="C132" s="298" t="s">
        <v>174</v>
      </c>
    </row>
    <row r="133" spans="3:12">
      <c r="C133" s="298" t="s">
        <v>173</v>
      </c>
    </row>
    <row r="134" spans="3:12">
      <c r="C134" s="298" t="s">
        <v>172</v>
      </c>
    </row>
    <row r="135" spans="3:12">
      <c r="C135" s="298" t="s">
        <v>207</v>
      </c>
    </row>
    <row r="136" spans="3:12">
      <c r="C136" s="298" t="s">
        <v>179</v>
      </c>
    </row>
    <row r="137" spans="3:12">
      <c r="C137" s="298" t="s">
        <v>178</v>
      </c>
    </row>
    <row r="138" spans="3:12">
      <c r="C138" s="298" t="s">
        <v>244</v>
      </c>
    </row>
    <row r="140" spans="3:12">
      <c r="C140" s="312" t="s">
        <v>208</v>
      </c>
      <c r="D140" s="313"/>
      <c r="E140" s="313"/>
      <c r="F140" s="313"/>
      <c r="G140" s="314"/>
      <c r="H140" s="314"/>
      <c r="I140" s="314"/>
      <c r="J140" s="314"/>
      <c r="K140" s="314"/>
      <c r="L140" s="315"/>
    </row>
    <row r="142" spans="3:12">
      <c r="C142" s="298" t="s">
        <v>170</v>
      </c>
    </row>
    <row r="143" spans="3:12">
      <c r="C143" s="298" t="s">
        <v>177</v>
      </c>
    </row>
    <row r="144" spans="3:12">
      <c r="C144" s="298" t="s">
        <v>171</v>
      </c>
    </row>
    <row r="146" spans="3:12">
      <c r="C146" s="312" t="s">
        <v>209</v>
      </c>
      <c r="D146" s="313"/>
      <c r="E146" s="313"/>
      <c r="F146" s="313"/>
      <c r="G146" s="314"/>
      <c r="H146" s="314"/>
      <c r="I146" s="314"/>
      <c r="J146" s="314"/>
      <c r="K146" s="314"/>
      <c r="L146" s="315"/>
    </row>
    <row r="148" spans="3:12">
      <c r="C148" s="298" t="s">
        <v>176</v>
      </c>
    </row>
    <row r="149" spans="3:12">
      <c r="C149" s="298" t="s">
        <v>175</v>
      </c>
    </row>
  </sheetData>
  <sheetProtection algorithmName="SHA-512" hashValue="JPoOu3x8/ZkakfpH69FwlHWYAs2VY6WVqcxC3j8ZQi9J4WUtVcpWOrKBhsOsB6Cf1W9J9howxW2CQrgAWoh+Ug==" saltValue="AahLbbNjNgpY999uMsq6fQ==" spinCount="100000" sheet="1" objects="1" scenarios="1"/>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Arkusze</vt:lpstr>
      </vt:variant>
      <vt:variant>
        <vt:i4>16</vt:i4>
      </vt:variant>
      <vt:variant>
        <vt:lpstr>Nazwane zakresy</vt:lpstr>
      </vt:variant>
      <vt:variant>
        <vt:i4>44</vt:i4>
      </vt:variant>
    </vt:vector>
  </HeadingPairs>
  <TitlesOfParts>
    <vt:vector size="60" baseType="lpstr">
      <vt:lpstr>Dane</vt:lpstr>
      <vt:lpstr>System DN63</vt:lpstr>
      <vt:lpstr>System DN75</vt:lpstr>
      <vt:lpstr>System DN90</vt:lpstr>
      <vt:lpstr>Centrala Vitovent</vt:lpstr>
      <vt:lpstr>Centrala Vitoair FS</vt:lpstr>
      <vt:lpstr>Elementy DN63</vt:lpstr>
      <vt:lpstr>Elementy DN75&amp;90 ViAir</vt:lpstr>
      <vt:lpstr>Elementy DN75&amp;90 2024-09</vt:lpstr>
      <vt:lpstr>Obliczenia</vt:lpstr>
      <vt:lpstr>Dane techniczne</vt:lpstr>
      <vt:lpstr>Zmiany</vt:lpstr>
      <vt:lpstr>Nowe kanały 2023-11</vt:lpstr>
      <vt:lpstr>Warunki</vt:lpstr>
      <vt:lpstr>obliczenia-temp</vt:lpstr>
      <vt:lpstr>Arkusz1</vt:lpstr>
      <vt:lpstr>big_tabela</vt:lpstr>
      <vt:lpstr>lista_naw</vt:lpstr>
      <vt:lpstr>lista_pod_rodzaj_ruchu_powietrza</vt:lpstr>
      <vt:lpstr>lista_pom</vt:lpstr>
      <vt:lpstr>lista_pomieszczen</vt:lpstr>
      <vt:lpstr>lista_pomieszczen_obliczenia</vt:lpstr>
      <vt:lpstr>listaN</vt:lpstr>
      <vt:lpstr>montaz</vt:lpstr>
      <vt:lpstr>nawiew</vt:lpstr>
      <vt:lpstr>nawiew_lista</vt:lpstr>
      <vt:lpstr>nawiew_wywiew_lista</vt:lpstr>
      <vt:lpstr>nawiew_wywiew_lista2</vt:lpstr>
      <vt:lpstr>nawiew2</vt:lpstr>
      <vt:lpstr>nawiew3</vt:lpstr>
      <vt:lpstr>nawiew4</vt:lpstr>
      <vt:lpstr>Dane!Obszar_wydruku</vt:lpstr>
      <vt:lpstr>'System DN63'!Obszar_wydruku</vt:lpstr>
      <vt:lpstr>'System DN75'!Obszar_wydruku</vt:lpstr>
      <vt:lpstr>'System DN90'!Obszar_wydruku</vt:lpstr>
      <vt:lpstr>pom_wywiew1</vt:lpstr>
      <vt:lpstr>pomieszczenia</vt:lpstr>
      <vt:lpstr>Pomieszczenie___nawiew</vt:lpstr>
      <vt:lpstr>rooms</vt:lpstr>
      <vt:lpstr>rozdzial</vt:lpstr>
      <vt:lpstr>'Elementy DN75&amp;90 ViAir'!rozdzial75</vt:lpstr>
      <vt:lpstr>rozdzial75</vt:lpstr>
      <vt:lpstr>Salon</vt:lpstr>
      <vt:lpstr>sort_pomieszczen</vt:lpstr>
      <vt:lpstr>Sypialnia</vt:lpstr>
      <vt:lpstr>warunki</vt:lpstr>
      <vt:lpstr>warunki2</vt:lpstr>
      <vt:lpstr>warunki3</vt:lpstr>
      <vt:lpstr>warunki4</vt:lpstr>
      <vt:lpstr>wybor_centrali</vt:lpstr>
      <vt:lpstr>wybor_E3</vt:lpstr>
      <vt:lpstr>wybor_E375</vt:lpstr>
      <vt:lpstr>wybor_E390</vt:lpstr>
      <vt:lpstr>wybor_sterowanie</vt:lpstr>
      <vt:lpstr>wybor_sterowanie75</vt:lpstr>
      <vt:lpstr>wybor_sterowanie90</vt:lpstr>
      <vt:lpstr>wywiew</vt:lpstr>
      <vt:lpstr>wywiew_lista</vt:lpstr>
      <vt:lpstr>wywiew2</vt:lpstr>
      <vt:lpstr>wywiew3</vt:lpstr>
    </vt:vector>
  </TitlesOfParts>
  <Company>Viessmann Werke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Dawid_Pantera</dc:creator>
  <cp:lastModifiedBy>Dawid_Pantera</cp:lastModifiedBy>
  <cp:lastPrinted>2023-11-10T14:44:27Z</cp:lastPrinted>
  <dcterms:created xsi:type="dcterms:W3CDTF">2017-09-08T14:17:58Z</dcterms:created>
  <dcterms:modified xsi:type="dcterms:W3CDTF">2024-09-11T17:27:01Z</dcterms:modified>
</cp:coreProperties>
</file>