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updateLinks="never" codeName="Ten_skoroszyt" defaultThemeVersion="166925"/>
  <mc:AlternateContent xmlns:mc="http://schemas.openxmlformats.org/markup-compatibility/2006">
    <mc:Choice Requires="x15">
      <x15ac:absPath xmlns:x15ac="http://schemas.microsoft.com/office/spreadsheetml/2010/11/ac" url="C:\Users\golk\Desktop\"/>
    </mc:Choice>
  </mc:AlternateContent>
  <xr:revisionPtr revIDLastSave="0" documentId="8_{EC4B0252-9980-42FB-B54C-88DFC6C05784}" xr6:coauthVersionLast="47" xr6:coauthVersionMax="47" xr10:uidLastSave="{00000000-0000-0000-0000-000000000000}"/>
  <workbookProtection workbookAlgorithmName="SHA-512" workbookHashValue="wNKQO1q8cuSxsVFJy0VNt1jHYBQawQ02HNtDEeA0v4lvTMcwvQcSNdcZUN2CMcqakEqsaerWO0/Wz7ucRf648g==" workbookSaltValue="J/tIWqQMu1rEe7jx2t5OOw==" workbookSpinCount="100000" lockStructure="1"/>
  <bookViews>
    <workbookView xWindow="-108" yWindow="-108" windowWidth="23256" windowHeight="12576" firstSheet="3" activeTab="3" xr2:uid="{00000000-000D-0000-FFFF-FFFF00000000}"/>
  </bookViews>
  <sheets>
    <sheet name="PV poziomo" sheetId="5" state="hidden" r:id="rId1"/>
    <sheet name="Rąbek_kalzip" sheetId="10" state="hidden" r:id="rId2"/>
    <sheet name="KalZip_Rąbek" sheetId="9" state="hidden" r:id="rId3"/>
    <sheet name="Dachówka_blachodachówka" sheetId="1" r:id="rId4"/>
    <sheet name="Dachówka" sheetId="2" state="hidden" r:id="rId5"/>
    <sheet name="Blachodachowka" sheetId="3" state="hidden" r:id="rId6"/>
    <sheet name="Cennik" sheetId="4" r:id="rId7"/>
  </sheets>
  <externalReferences>
    <externalReference r:id="rId8"/>
    <externalReference r:id="rId9"/>
  </externalReferences>
  <definedNames>
    <definedName name="_GoBack" localSheetId="6">Cennik!$M$12</definedName>
    <definedName name="Cennik">Cennik!$F$4:$H$59</definedName>
    <definedName name="Data" localSheetId="2">W10K7</definedName>
    <definedName name="Data" localSheetId="0">W10K7</definedName>
    <definedName name="Data" localSheetId="1">W10K7</definedName>
    <definedName name="Data">W10K7</definedName>
    <definedName name="drugie_zr_c">[1]rozwiazanie_1!$B$139:$B$147</definedName>
    <definedName name="klient" localSheetId="2">KalZip_Rąbek!$L$10,KalZip_Rąbek!$G$10</definedName>
    <definedName name="klient" localSheetId="0">'PV poziomo'!$L$10,'PV poziomo'!$G$10</definedName>
    <definedName name="klient">Dachówka_blachodachówka!$L$10,Dachówka_blachodachówka!$G$10</definedName>
    <definedName name="lista_pom">[2]Warunki!$B$36:$B$57</definedName>
    <definedName name="miasta">[1]Klimat!$A$64:$A$73</definedName>
    <definedName name="moduly">Cennik!$F$4:$H$8</definedName>
    <definedName name="moduł">Cennik!$G$5:$H$8</definedName>
    <definedName name="_xlnm.Print_Area" localSheetId="3">Dachówka_blachodachówka!$B$1:$R$137</definedName>
    <definedName name="_xlnm.Print_Area" localSheetId="2">KalZip_Rąbek!$B$1:$R$138</definedName>
    <definedName name="_xlnm.Print_Area" localSheetId="0">'PV poziomo'!$B$1:$R$96</definedName>
    <definedName name="pompy_ciepla_wybor">[1]dane_pomp_ciepla!$M$3:$M$21</definedName>
    <definedName name="PV">Cennik!$F$5:$H$8</definedName>
    <definedName name="rozdzial">[2]Rozdział_powietrza!$D$3:$H$30</definedName>
    <definedName name="ruch_pow">[2]Arkusz_doborowy!$AY$7:$AY$8</definedName>
    <definedName name="vitocal100">INDEX(!#REF!,MATCH(!#REF!,!#REF!,0),1)</definedName>
    <definedName name="warunki3">[2]Warunki!$B$6:$H$27</definedName>
    <definedName name="warunki4">[2]Warunki!$B$6:$I$27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09" i="1" l="1"/>
  <c r="G108" i="1"/>
  <c r="I100" i="1"/>
  <c r="J106" i="1"/>
  <c r="O106" i="1" s="1"/>
  <c r="I106" i="1"/>
  <c r="D106" i="1"/>
  <c r="Q59" i="1"/>
  <c r="D109" i="1"/>
  <c r="F42" i="2"/>
  <c r="E42" i="2"/>
  <c r="G42" i="2" l="1"/>
  <c r="C6" i="10"/>
  <c r="C7" i="10"/>
  <c r="C8" i="10"/>
  <c r="C9" i="10"/>
  <c r="D9" i="10" s="1"/>
  <c r="C10" i="10"/>
  <c r="C11" i="10"/>
  <c r="C12" i="10"/>
  <c r="C13" i="10"/>
  <c r="E13" i="10" s="1"/>
  <c r="K13" i="10" s="1"/>
  <c r="C14" i="10"/>
  <c r="C15" i="10"/>
  <c r="C16" i="10"/>
  <c r="C17" i="10"/>
  <c r="E17" i="10" s="1"/>
  <c r="K17" i="10" s="1"/>
  <c r="C18" i="10"/>
  <c r="C19" i="10"/>
  <c r="C20" i="10"/>
  <c r="C21" i="10"/>
  <c r="E21" i="10" s="1"/>
  <c r="K21" i="10" s="1"/>
  <c r="C22" i="10"/>
  <c r="H22" i="10" s="1"/>
  <c r="C5" i="10"/>
  <c r="L5" i="10" s="1"/>
  <c r="G45" i="10"/>
  <c r="F38" i="10" s="1"/>
  <c r="F42" i="10"/>
  <c r="F41" i="10"/>
  <c r="E41" i="10"/>
  <c r="F40" i="10"/>
  <c r="C40" i="10"/>
  <c r="F39" i="10"/>
  <c r="C39" i="10"/>
  <c r="B38" i="10"/>
  <c r="E38" i="10" s="1"/>
  <c r="B37" i="10"/>
  <c r="E37" i="10" s="1"/>
  <c r="B36" i="10"/>
  <c r="E36" i="10" s="1"/>
  <c r="B35" i="10"/>
  <c r="D35" i="10" s="1"/>
  <c r="B34" i="10"/>
  <c r="E34" i="10" s="1"/>
  <c r="B33" i="10"/>
  <c r="B32" i="10"/>
  <c r="E32" i="10" s="1"/>
  <c r="F27" i="10"/>
  <c r="B27" i="10"/>
  <c r="E27" i="10" s="1"/>
  <c r="F26" i="10"/>
  <c r="B26" i="10"/>
  <c r="F2" i="10" s="1"/>
  <c r="L22" i="10"/>
  <c r="E22" i="10"/>
  <c r="K22" i="10" s="1"/>
  <c r="D22" i="10"/>
  <c r="L21" i="10"/>
  <c r="M20" i="10"/>
  <c r="N20" i="10" s="1"/>
  <c r="L20" i="10"/>
  <c r="H20" i="10"/>
  <c r="J20" i="10" s="1"/>
  <c r="E20" i="10"/>
  <c r="K20" i="10" s="1"/>
  <c r="D20" i="10"/>
  <c r="M19" i="10"/>
  <c r="N19" i="10" s="1"/>
  <c r="L19" i="10"/>
  <c r="H19" i="10"/>
  <c r="J19" i="10" s="1"/>
  <c r="E19" i="10"/>
  <c r="K19" i="10" s="1"/>
  <c r="D19" i="10"/>
  <c r="M18" i="10"/>
  <c r="N18" i="10" s="1"/>
  <c r="L18" i="10"/>
  <c r="H18" i="10"/>
  <c r="I18" i="10" s="1"/>
  <c r="E18" i="10"/>
  <c r="K18" i="10" s="1"/>
  <c r="D18" i="10"/>
  <c r="L17" i="10"/>
  <c r="M16" i="10"/>
  <c r="N16" i="10" s="1"/>
  <c r="L16" i="10"/>
  <c r="H16" i="10"/>
  <c r="J16" i="10" s="1"/>
  <c r="E16" i="10"/>
  <c r="K16" i="10" s="1"/>
  <c r="D16" i="10"/>
  <c r="M15" i="10"/>
  <c r="N15" i="10" s="1"/>
  <c r="L15" i="10"/>
  <c r="H15" i="10"/>
  <c r="J15" i="10" s="1"/>
  <c r="E15" i="10"/>
  <c r="K15" i="10" s="1"/>
  <c r="D15" i="10"/>
  <c r="M14" i="10"/>
  <c r="N14" i="10" s="1"/>
  <c r="L14" i="10"/>
  <c r="H14" i="10"/>
  <c r="I14" i="10" s="1"/>
  <c r="E14" i="10"/>
  <c r="K14" i="10" s="1"/>
  <c r="D14" i="10"/>
  <c r="L13" i="10"/>
  <c r="M12" i="10"/>
  <c r="N12" i="10" s="1"/>
  <c r="L12" i="10"/>
  <c r="H12" i="10"/>
  <c r="J12" i="10" s="1"/>
  <c r="E12" i="10"/>
  <c r="K12" i="10" s="1"/>
  <c r="D12" i="10"/>
  <c r="M11" i="10"/>
  <c r="N11" i="10" s="1"/>
  <c r="L11" i="10"/>
  <c r="H11" i="10"/>
  <c r="J11" i="10" s="1"/>
  <c r="E11" i="10"/>
  <c r="K11" i="10" s="1"/>
  <c r="D11" i="10"/>
  <c r="M10" i="10"/>
  <c r="N10" i="10" s="1"/>
  <c r="L10" i="10"/>
  <c r="H10" i="10"/>
  <c r="I10" i="10" s="1"/>
  <c r="E10" i="10"/>
  <c r="K10" i="10" s="1"/>
  <c r="D10" i="10"/>
  <c r="L9" i="10"/>
  <c r="E9" i="10"/>
  <c r="K9" i="10" s="1"/>
  <c r="L8" i="10"/>
  <c r="E8" i="10"/>
  <c r="K8" i="10" s="1"/>
  <c r="D8" i="10"/>
  <c r="L7" i="10"/>
  <c r="E7" i="10"/>
  <c r="K7" i="10" s="1"/>
  <c r="D7" i="10"/>
  <c r="L6" i="10"/>
  <c r="E6" i="10"/>
  <c r="K6" i="10" s="1"/>
  <c r="D6" i="10"/>
  <c r="E5" i="10"/>
  <c r="D5" i="10"/>
  <c r="C23" i="10"/>
  <c r="C26" i="10" s="1"/>
  <c r="G4" i="10"/>
  <c r="B31" i="10" s="1"/>
  <c r="F4" i="10"/>
  <c r="B30" i="10" s="1"/>
  <c r="C2" i="10"/>
  <c r="M9" i="10" s="1"/>
  <c r="N9" i="10" s="1"/>
  <c r="G119" i="9"/>
  <c r="P119" i="9"/>
  <c r="J113" i="9"/>
  <c r="O115" i="9" s="1"/>
  <c r="I113" i="9"/>
  <c r="J112" i="9"/>
  <c r="O114" i="9" s="1"/>
  <c r="I112" i="9"/>
  <c r="G110" i="9"/>
  <c r="O112" i="9" s="1"/>
  <c r="D110" i="9"/>
  <c r="S111" i="9"/>
  <c r="G109" i="9"/>
  <c r="O111" i="9" s="1"/>
  <c r="D109" i="9"/>
  <c r="G108" i="9"/>
  <c r="D108" i="9"/>
  <c r="J108" i="9" s="1"/>
  <c r="D107" i="9"/>
  <c r="I107" i="9" s="1"/>
  <c r="S108" i="9"/>
  <c r="D106" i="9"/>
  <c r="J106" i="9" s="1"/>
  <c r="O108" i="9" s="1"/>
  <c r="S107" i="9"/>
  <c r="G104" i="9"/>
  <c r="G103" i="9"/>
  <c r="D100" i="9"/>
  <c r="D97" i="9"/>
  <c r="I97" i="9" s="1"/>
  <c r="D96" i="9"/>
  <c r="J96" i="9" s="1"/>
  <c r="J95" i="9"/>
  <c r="I95" i="9"/>
  <c r="G95" i="9"/>
  <c r="J94" i="9"/>
  <c r="I94" i="9"/>
  <c r="Q90" i="9"/>
  <c r="J88" i="9"/>
  <c r="I84" i="9"/>
  <c r="I81" i="9"/>
  <c r="I78" i="9"/>
  <c r="D78" i="9"/>
  <c r="I75" i="9"/>
  <c r="I66" i="9"/>
  <c r="D64" i="9"/>
  <c r="I63" i="9"/>
  <c r="Q64" i="9"/>
  <c r="N55" i="9"/>
  <c r="G10" i="9"/>
  <c r="Q1" i="9"/>
  <c r="J1" i="9"/>
  <c r="F32" i="10" l="1"/>
  <c r="F34" i="10"/>
  <c r="F28" i="10"/>
  <c r="F36" i="10"/>
  <c r="G36" i="10" s="1"/>
  <c r="F29" i="10"/>
  <c r="F30" i="10"/>
  <c r="F35" i="10"/>
  <c r="J18" i="10"/>
  <c r="F31" i="10"/>
  <c r="F37" i="10"/>
  <c r="G37" i="10" s="1"/>
  <c r="I11" i="10"/>
  <c r="G27" i="10"/>
  <c r="L4" i="10"/>
  <c r="G41" i="10"/>
  <c r="I19" i="10"/>
  <c r="J4" i="10"/>
  <c r="K4" i="10"/>
  <c r="D37" i="10"/>
  <c r="D38" i="10"/>
  <c r="J10" i="10"/>
  <c r="I15" i="10"/>
  <c r="J14" i="10"/>
  <c r="D27" i="10"/>
  <c r="O110" i="9"/>
  <c r="F21" i="10"/>
  <c r="G21" i="10" s="1"/>
  <c r="F20" i="10"/>
  <c r="G20" i="10" s="1"/>
  <c r="F19" i="10"/>
  <c r="G19" i="10" s="1"/>
  <c r="F14" i="10"/>
  <c r="G14" i="10" s="1"/>
  <c r="F13" i="10"/>
  <c r="G13" i="10" s="1"/>
  <c r="F12" i="10"/>
  <c r="G12" i="10" s="1"/>
  <c r="F11" i="10"/>
  <c r="G11" i="10" s="1"/>
  <c r="F18" i="10"/>
  <c r="G18" i="10" s="1"/>
  <c r="F17" i="10"/>
  <c r="G17" i="10" s="1"/>
  <c r="F16" i="10"/>
  <c r="G16" i="10" s="1"/>
  <c r="F15" i="10"/>
  <c r="G15" i="10" s="1"/>
  <c r="F8" i="10"/>
  <c r="G8" i="10" s="1"/>
  <c r="F7" i="10"/>
  <c r="G7" i="10" s="1"/>
  <c r="F6" i="10"/>
  <c r="G6" i="10" s="1"/>
  <c r="F10" i="10"/>
  <c r="G10" i="10" s="1"/>
  <c r="E26" i="10"/>
  <c r="G26" i="10" s="1"/>
  <c r="C45" i="10"/>
  <c r="D26" i="10"/>
  <c r="H4" i="10"/>
  <c r="I22" i="10"/>
  <c r="J22" i="10"/>
  <c r="F9" i="10"/>
  <c r="G9" i="10" s="1"/>
  <c r="I12" i="10"/>
  <c r="H13" i="10"/>
  <c r="M13" i="10"/>
  <c r="N13" i="10" s="1"/>
  <c r="I16" i="10"/>
  <c r="H17" i="10"/>
  <c r="M17" i="10"/>
  <c r="N17" i="10" s="1"/>
  <c r="I20" i="10"/>
  <c r="H21" i="10"/>
  <c r="M21" i="10"/>
  <c r="N21" i="10" s="1"/>
  <c r="F22" i="10"/>
  <c r="G22" i="10" s="1"/>
  <c r="M22" i="10"/>
  <c r="N22" i="10" s="1"/>
  <c r="D17" i="10"/>
  <c r="D21" i="10"/>
  <c r="L23" i="10"/>
  <c r="C38" i="10" s="1"/>
  <c r="G38" i="10" s="1"/>
  <c r="E23" i="10"/>
  <c r="C29" i="10" s="1"/>
  <c r="D13" i="10"/>
  <c r="D23" i="10" s="1"/>
  <c r="C28" i="10" s="1"/>
  <c r="F5" i="10"/>
  <c r="J97" i="9"/>
  <c r="I106" i="9"/>
  <c r="D101" i="9"/>
  <c r="J101" i="9" s="1"/>
  <c r="O97" i="9"/>
  <c r="E30" i="10"/>
  <c r="D30" i="10"/>
  <c r="D31" i="10"/>
  <c r="E31" i="10"/>
  <c r="I4" i="10"/>
  <c r="K5" i="10"/>
  <c r="K23" i="10" s="1"/>
  <c r="C35" i="10" s="1"/>
  <c r="E35" i="10"/>
  <c r="D36" i="10"/>
  <c r="H5" i="10"/>
  <c r="H6" i="10"/>
  <c r="H7" i="10"/>
  <c r="H8" i="10"/>
  <c r="H9" i="10"/>
  <c r="D32" i="10"/>
  <c r="D34" i="10"/>
  <c r="M5" i="10"/>
  <c r="M6" i="10"/>
  <c r="N6" i="10" s="1"/>
  <c r="M7" i="10"/>
  <c r="N7" i="10" s="1"/>
  <c r="M8" i="10"/>
  <c r="N8" i="10" s="1"/>
  <c r="J107" i="9"/>
  <c r="O109" i="9" s="1"/>
  <c r="I108" i="9"/>
  <c r="I96" i="9"/>
  <c r="I100" i="9"/>
  <c r="J100" i="9"/>
  <c r="J85" i="1"/>
  <c r="Q85" i="1"/>
  <c r="Q1" i="1"/>
  <c r="B33" i="2"/>
  <c r="I4" i="2" s="1"/>
  <c r="G120" i="1"/>
  <c r="O114" i="1"/>
  <c r="I114" i="1"/>
  <c r="D105" i="1"/>
  <c r="I81" i="1"/>
  <c r="J112" i="1"/>
  <c r="O112" i="1" s="1"/>
  <c r="I112" i="1"/>
  <c r="J92" i="1"/>
  <c r="D97" i="1"/>
  <c r="I97" i="1" s="1"/>
  <c r="D103" i="1"/>
  <c r="D94" i="1"/>
  <c r="D93" i="1"/>
  <c r="J93" i="1" s="1"/>
  <c r="I92" i="1"/>
  <c r="J91" i="1"/>
  <c r="I91" i="1"/>
  <c r="J104" i="1" l="1"/>
  <c r="I104" i="1"/>
  <c r="J21" i="10"/>
  <c r="I21" i="10"/>
  <c r="J13" i="10"/>
  <c r="I13" i="10"/>
  <c r="F23" i="10"/>
  <c r="C30" i="10" s="1"/>
  <c r="G30" i="10" s="1"/>
  <c r="J17" i="10"/>
  <c r="I17" i="10"/>
  <c r="G5" i="10"/>
  <c r="G23" i="10" s="1"/>
  <c r="C31" i="10" s="1"/>
  <c r="G31" i="10" s="1"/>
  <c r="I101" i="9"/>
  <c r="I94" i="1"/>
  <c r="B29" i="10"/>
  <c r="J5" i="10"/>
  <c r="I5" i="10"/>
  <c r="H23" i="10"/>
  <c r="C32" i="10" s="1"/>
  <c r="G32" i="10" s="1"/>
  <c r="N5" i="10"/>
  <c r="N23" i="10" s="1"/>
  <c r="M23" i="10"/>
  <c r="J8" i="10"/>
  <c r="I8" i="10"/>
  <c r="J7" i="10"/>
  <c r="I7" i="10"/>
  <c r="G35" i="10"/>
  <c r="J9" i="10"/>
  <c r="I9" i="10"/>
  <c r="I93" i="1"/>
  <c r="B28" i="10"/>
  <c r="J105" i="1"/>
  <c r="O105" i="1" s="1"/>
  <c r="B39" i="10"/>
  <c r="J6" i="10"/>
  <c r="I6" i="10"/>
  <c r="J94" i="1"/>
  <c r="I105" i="1"/>
  <c r="J97" i="1"/>
  <c r="D61" i="1"/>
  <c r="E28" i="10" l="1"/>
  <c r="G28" i="10" s="1"/>
  <c r="D28" i="10"/>
  <c r="J23" i="10"/>
  <c r="C34" i="10" s="1"/>
  <c r="G34" i="10" s="1"/>
  <c r="I23" i="10"/>
  <c r="C33" i="10" s="1"/>
  <c r="E39" i="10"/>
  <c r="G39" i="10" s="1"/>
  <c r="D39" i="10"/>
  <c r="D29" i="10"/>
  <c r="E29" i="10"/>
  <c r="G29" i="10" s="1"/>
  <c r="F40" i="2"/>
  <c r="B40" i="10"/>
  <c r="B32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5" i="2"/>
  <c r="M18" i="2" l="1"/>
  <c r="H18" i="2"/>
  <c r="I18" i="2" s="1"/>
  <c r="H16" i="2"/>
  <c r="M16" i="2"/>
  <c r="H15" i="2"/>
  <c r="M15" i="2"/>
  <c r="H14" i="2"/>
  <c r="M14" i="2"/>
  <c r="M13" i="2"/>
  <c r="H13" i="2"/>
  <c r="M20" i="2"/>
  <c r="H20" i="2"/>
  <c r="M12" i="2"/>
  <c r="H12" i="2"/>
  <c r="H17" i="2"/>
  <c r="M17" i="2"/>
  <c r="H22" i="2"/>
  <c r="M22" i="2"/>
  <c r="M21" i="2"/>
  <c r="H21" i="2"/>
  <c r="M19" i="2"/>
  <c r="H19" i="2"/>
  <c r="M11" i="2"/>
  <c r="H11" i="2"/>
  <c r="M7" i="2"/>
  <c r="H7" i="2"/>
  <c r="D40" i="10"/>
  <c r="E40" i="10"/>
  <c r="G40" i="10" s="1"/>
  <c r="G47" i="10" s="1"/>
  <c r="G48" i="10" s="1"/>
  <c r="B40" i="2"/>
  <c r="E40" i="2" s="1"/>
  <c r="D40" i="2" l="1"/>
  <c r="G89" i="5"/>
  <c r="D89" i="5"/>
  <c r="S88" i="5"/>
  <c r="G88" i="5"/>
  <c r="D88" i="5"/>
  <c r="S87" i="5"/>
  <c r="S86" i="5"/>
  <c r="G85" i="5"/>
  <c r="G84" i="5"/>
  <c r="G76" i="5"/>
  <c r="I69" i="5"/>
  <c r="D69" i="5"/>
  <c r="I66" i="5"/>
  <c r="D66" i="5"/>
  <c r="Q53" i="5"/>
  <c r="D45" i="5"/>
  <c r="N44" i="5"/>
  <c r="D42" i="5"/>
  <c r="G10" i="5"/>
  <c r="J1" i="5"/>
  <c r="F40" i="3"/>
  <c r="F39" i="3"/>
  <c r="E39" i="3"/>
  <c r="E38" i="3"/>
  <c r="D38" i="3"/>
  <c r="E33" i="3"/>
  <c r="D33" i="3"/>
  <c r="B32" i="3"/>
  <c r="E32" i="3" s="1"/>
  <c r="B27" i="3"/>
  <c r="E27" i="3" s="1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G4" i="3"/>
  <c r="B31" i="3" s="1"/>
  <c r="C2" i="3"/>
  <c r="F43" i="2"/>
  <c r="F41" i="2"/>
  <c r="E41" i="2"/>
  <c r="F39" i="2"/>
  <c r="C39" i="2"/>
  <c r="B39" i="2"/>
  <c r="D39" i="2" s="1"/>
  <c r="B38" i="2"/>
  <c r="B37" i="3" s="1"/>
  <c r="K4" i="3" s="1"/>
  <c r="B37" i="2"/>
  <c r="B36" i="2"/>
  <c r="B35" i="2"/>
  <c r="D35" i="2" s="1"/>
  <c r="B34" i="2"/>
  <c r="E34" i="2" s="1"/>
  <c r="E32" i="2"/>
  <c r="B29" i="2"/>
  <c r="E29" i="2" s="1"/>
  <c r="B28" i="2"/>
  <c r="B28" i="3" s="1"/>
  <c r="F27" i="2"/>
  <c r="B27" i="2"/>
  <c r="D27" i="2" s="1"/>
  <c r="I76" i="5" s="1"/>
  <c r="F26" i="2"/>
  <c r="B26" i="2"/>
  <c r="D26" i="2" s="1"/>
  <c r="I75" i="5" s="1"/>
  <c r="E22" i="3"/>
  <c r="J22" i="3" s="1"/>
  <c r="E20" i="3"/>
  <c r="J20" i="3" s="1"/>
  <c r="E18" i="3"/>
  <c r="J18" i="3" s="1"/>
  <c r="E16" i="3"/>
  <c r="J16" i="3" s="1"/>
  <c r="E14" i="3"/>
  <c r="J14" i="3" s="1"/>
  <c r="E12" i="3"/>
  <c r="J12" i="3" s="1"/>
  <c r="E10" i="3"/>
  <c r="J10" i="3" s="1"/>
  <c r="E9" i="2"/>
  <c r="K9" i="2" s="1"/>
  <c r="E8" i="3"/>
  <c r="J8" i="3" s="1"/>
  <c r="E6" i="3"/>
  <c r="J6" i="3" s="1"/>
  <c r="G4" i="2"/>
  <c r="D60" i="9" s="1"/>
  <c r="D99" i="9" s="1"/>
  <c r="F4" i="2"/>
  <c r="C2" i="2"/>
  <c r="G110" i="1"/>
  <c r="D110" i="1"/>
  <c r="O108" i="1"/>
  <c r="D108" i="1"/>
  <c r="G101" i="1"/>
  <c r="G100" i="1"/>
  <c r="G92" i="1"/>
  <c r="D75" i="1"/>
  <c r="N50" i="1"/>
  <c r="S108" i="1"/>
  <c r="S104" i="1"/>
  <c r="S102" i="1"/>
  <c r="G10" i="1"/>
  <c r="J1" i="1"/>
  <c r="M10" i="2" l="1"/>
  <c r="H10" i="2"/>
  <c r="H8" i="2"/>
  <c r="M9" i="2"/>
  <c r="H9" i="2"/>
  <c r="M8" i="2"/>
  <c r="L13" i="3"/>
  <c r="M13" i="3" s="1"/>
  <c r="H13" i="3"/>
  <c r="I13" i="3" s="1"/>
  <c r="L21" i="3"/>
  <c r="M21" i="3" s="1"/>
  <c r="H21" i="3"/>
  <c r="I21" i="3" s="1"/>
  <c r="H14" i="3"/>
  <c r="I14" i="3" s="1"/>
  <c r="L14" i="3"/>
  <c r="M14" i="3" s="1"/>
  <c r="H22" i="3"/>
  <c r="I22" i="3" s="1"/>
  <c r="L22" i="3"/>
  <c r="M22" i="3" s="1"/>
  <c r="H16" i="3"/>
  <c r="I16" i="3" s="1"/>
  <c r="L16" i="3"/>
  <c r="M16" i="3" s="1"/>
  <c r="H15" i="3"/>
  <c r="I15" i="3" s="1"/>
  <c r="L15" i="3"/>
  <c r="H17" i="3"/>
  <c r="I17" i="3" s="1"/>
  <c r="L17" i="3"/>
  <c r="M17" i="3" s="1"/>
  <c r="L18" i="3"/>
  <c r="M18" i="3" s="1"/>
  <c r="H18" i="3"/>
  <c r="I18" i="3" s="1"/>
  <c r="L11" i="3"/>
  <c r="M11" i="3" s="1"/>
  <c r="H11" i="3"/>
  <c r="I11" i="3" s="1"/>
  <c r="L19" i="3"/>
  <c r="M19" i="3" s="1"/>
  <c r="H19" i="3"/>
  <c r="I19" i="3" s="1"/>
  <c r="M6" i="2"/>
  <c r="N6" i="2" s="1"/>
  <c r="H5" i="2"/>
  <c r="H6" i="2"/>
  <c r="M5" i="2"/>
  <c r="N5" i="2" s="1"/>
  <c r="L12" i="3"/>
  <c r="M12" i="3" s="1"/>
  <c r="H12" i="3"/>
  <c r="I12" i="3" s="1"/>
  <c r="L20" i="3"/>
  <c r="M20" i="3" s="1"/>
  <c r="H20" i="3"/>
  <c r="I20" i="3" s="1"/>
  <c r="H10" i="3"/>
  <c r="I10" i="3" s="1"/>
  <c r="L10" i="3"/>
  <c r="M10" i="3" s="1"/>
  <c r="H9" i="3"/>
  <c r="I9" i="3" s="1"/>
  <c r="L9" i="3"/>
  <c r="M9" i="3" s="1"/>
  <c r="L8" i="3"/>
  <c r="M8" i="3" s="1"/>
  <c r="H8" i="3"/>
  <c r="I8" i="3" s="1"/>
  <c r="L7" i="3"/>
  <c r="M7" i="3" s="1"/>
  <c r="H7" i="3"/>
  <c r="I7" i="3" s="1"/>
  <c r="L6" i="3"/>
  <c r="M6" i="3" s="1"/>
  <c r="H6" i="3"/>
  <c r="I6" i="3" s="1"/>
  <c r="H5" i="3"/>
  <c r="L5" i="3"/>
  <c r="M5" i="3" s="1"/>
  <c r="I99" i="9"/>
  <c r="J99" i="9"/>
  <c r="B35" i="3"/>
  <c r="E35" i="3" s="1"/>
  <c r="D103" i="9"/>
  <c r="B36" i="3"/>
  <c r="D36" i="3" s="1"/>
  <c r="D104" i="9"/>
  <c r="F4" i="3"/>
  <c r="B30" i="3" s="1"/>
  <c r="E30" i="3" s="1"/>
  <c r="D57" i="9"/>
  <c r="D98" i="9" s="1"/>
  <c r="J19" i="2"/>
  <c r="I19" i="2"/>
  <c r="O92" i="1"/>
  <c r="M15" i="3"/>
  <c r="N13" i="2"/>
  <c r="N15" i="2"/>
  <c r="N12" i="2"/>
  <c r="G39" i="3"/>
  <c r="N17" i="2"/>
  <c r="N21" i="2"/>
  <c r="N9" i="2"/>
  <c r="N22" i="2"/>
  <c r="N16" i="2"/>
  <c r="N7" i="2"/>
  <c r="D22" i="2"/>
  <c r="E17" i="2"/>
  <c r="K17" i="2" s="1"/>
  <c r="L20" i="2"/>
  <c r="L22" i="2"/>
  <c r="G41" i="2"/>
  <c r="N20" i="2"/>
  <c r="B30" i="2"/>
  <c r="K4" i="2"/>
  <c r="D60" i="5" s="1"/>
  <c r="D54" i="1"/>
  <c r="D95" i="1" s="1"/>
  <c r="D37" i="2"/>
  <c r="I85" i="5" s="1"/>
  <c r="L4" i="2"/>
  <c r="H4" i="2"/>
  <c r="D34" i="2"/>
  <c r="D48" i="5"/>
  <c r="E38" i="2"/>
  <c r="J4" i="2"/>
  <c r="D66" i="9" s="1"/>
  <c r="D38" i="2"/>
  <c r="I86" i="5" s="1"/>
  <c r="D57" i="1"/>
  <c r="D96" i="1" s="1"/>
  <c r="D32" i="2"/>
  <c r="B31" i="2"/>
  <c r="D31" i="2" s="1"/>
  <c r="D85" i="5"/>
  <c r="D83" i="5"/>
  <c r="E35" i="2"/>
  <c r="D51" i="5"/>
  <c r="D84" i="5"/>
  <c r="D86" i="5"/>
  <c r="D12" i="2"/>
  <c r="D18" i="2"/>
  <c r="E21" i="2"/>
  <c r="K21" i="2" s="1"/>
  <c r="J78" i="5"/>
  <c r="E19" i="2"/>
  <c r="K19" i="2" s="1"/>
  <c r="N14" i="2"/>
  <c r="N18" i="2"/>
  <c r="N19" i="2"/>
  <c r="L18" i="2"/>
  <c r="D20" i="2"/>
  <c r="E15" i="2"/>
  <c r="K15" i="2" s="1"/>
  <c r="L14" i="2"/>
  <c r="E13" i="2"/>
  <c r="K13" i="2" s="1"/>
  <c r="D14" i="2"/>
  <c r="D6" i="2"/>
  <c r="D16" i="2"/>
  <c r="L16" i="2"/>
  <c r="D10" i="2"/>
  <c r="N10" i="2"/>
  <c r="E39" i="2"/>
  <c r="I87" i="5"/>
  <c r="E28" i="2"/>
  <c r="L6" i="2"/>
  <c r="E27" i="2"/>
  <c r="D27" i="3"/>
  <c r="F2" i="2"/>
  <c r="F9" i="2" s="1"/>
  <c r="E26" i="2"/>
  <c r="B26" i="3"/>
  <c r="E26" i="3" s="1"/>
  <c r="L12" i="2"/>
  <c r="N11" i="2"/>
  <c r="E11" i="2"/>
  <c r="K11" i="2" s="1"/>
  <c r="L10" i="2"/>
  <c r="C23" i="3"/>
  <c r="C26" i="3" s="1"/>
  <c r="D8" i="2"/>
  <c r="L8" i="2"/>
  <c r="N8" i="2"/>
  <c r="E7" i="2"/>
  <c r="K7" i="2" s="1"/>
  <c r="C23" i="2"/>
  <c r="C26" i="2" s="1"/>
  <c r="G94" i="9" s="1"/>
  <c r="E5" i="2"/>
  <c r="K5" i="2" s="1"/>
  <c r="I83" i="5"/>
  <c r="E28" i="3"/>
  <c r="D28" i="3"/>
  <c r="E31" i="3"/>
  <c r="D31" i="3"/>
  <c r="E37" i="3"/>
  <c r="D37" i="3"/>
  <c r="E6" i="2"/>
  <c r="E8" i="2"/>
  <c r="K8" i="2" s="1"/>
  <c r="E10" i="2"/>
  <c r="K10" i="2" s="1"/>
  <c r="E12" i="2"/>
  <c r="K12" i="2" s="1"/>
  <c r="E14" i="2"/>
  <c r="K14" i="2" s="1"/>
  <c r="E16" i="2"/>
  <c r="K16" i="2" s="1"/>
  <c r="E18" i="2"/>
  <c r="K18" i="2" s="1"/>
  <c r="E20" i="2"/>
  <c r="K20" i="2" s="1"/>
  <c r="E22" i="2"/>
  <c r="K22" i="2" s="1"/>
  <c r="D29" i="2"/>
  <c r="D36" i="2"/>
  <c r="E37" i="2"/>
  <c r="D5" i="3"/>
  <c r="K5" i="3"/>
  <c r="D7" i="3"/>
  <c r="K7" i="3"/>
  <c r="D9" i="3"/>
  <c r="K9" i="3"/>
  <c r="D11" i="3"/>
  <c r="K11" i="3"/>
  <c r="D13" i="3"/>
  <c r="K13" i="3"/>
  <c r="D15" i="3"/>
  <c r="K15" i="3"/>
  <c r="D17" i="3"/>
  <c r="K17" i="3"/>
  <c r="D19" i="3"/>
  <c r="K19" i="3"/>
  <c r="D21" i="3"/>
  <c r="K21" i="3"/>
  <c r="B29" i="3"/>
  <c r="D32" i="3"/>
  <c r="B34" i="3"/>
  <c r="D5" i="2"/>
  <c r="L5" i="2"/>
  <c r="D7" i="2"/>
  <c r="L7" i="2"/>
  <c r="D9" i="2"/>
  <c r="L9" i="2"/>
  <c r="D11" i="2"/>
  <c r="L11" i="2"/>
  <c r="D13" i="2"/>
  <c r="L13" i="2"/>
  <c r="D15" i="2"/>
  <c r="L15" i="2"/>
  <c r="D17" i="2"/>
  <c r="L17" i="2"/>
  <c r="D19" i="2"/>
  <c r="L19" i="2"/>
  <c r="D21" i="2"/>
  <c r="L21" i="2"/>
  <c r="D28" i="2"/>
  <c r="E36" i="2"/>
  <c r="E5" i="3"/>
  <c r="E7" i="3"/>
  <c r="J7" i="3" s="1"/>
  <c r="E9" i="3"/>
  <c r="J9" i="3" s="1"/>
  <c r="E11" i="3"/>
  <c r="J11" i="3" s="1"/>
  <c r="E13" i="3"/>
  <c r="J13" i="3" s="1"/>
  <c r="E15" i="3"/>
  <c r="J15" i="3" s="1"/>
  <c r="E17" i="3"/>
  <c r="J17" i="3" s="1"/>
  <c r="E19" i="3"/>
  <c r="J19" i="3" s="1"/>
  <c r="E21" i="3"/>
  <c r="J21" i="3" s="1"/>
  <c r="D6" i="3"/>
  <c r="K6" i="3"/>
  <c r="D8" i="3"/>
  <c r="K8" i="3"/>
  <c r="D10" i="3"/>
  <c r="K10" i="3"/>
  <c r="D12" i="3"/>
  <c r="K12" i="3"/>
  <c r="D14" i="3"/>
  <c r="K14" i="3"/>
  <c r="D16" i="3"/>
  <c r="K16" i="3"/>
  <c r="D18" i="3"/>
  <c r="K18" i="3"/>
  <c r="D20" i="3"/>
  <c r="K20" i="3"/>
  <c r="D22" i="3"/>
  <c r="K22" i="3"/>
  <c r="D35" i="3" l="1"/>
  <c r="D30" i="3"/>
  <c r="E36" i="3"/>
  <c r="J104" i="9"/>
  <c r="O106" i="9" s="1"/>
  <c r="I104" i="9"/>
  <c r="D69" i="1"/>
  <c r="D102" i="1" s="1"/>
  <c r="J102" i="1" s="1"/>
  <c r="D72" i="9"/>
  <c r="D105" i="9" s="1"/>
  <c r="I103" i="9"/>
  <c r="J103" i="9"/>
  <c r="O105" i="9" s="1"/>
  <c r="J98" i="9"/>
  <c r="I98" i="9"/>
  <c r="D66" i="1"/>
  <c r="D99" i="1" s="1"/>
  <c r="I99" i="1" s="1"/>
  <c r="D69" i="9"/>
  <c r="D102" i="9" s="1"/>
  <c r="G118" i="9"/>
  <c r="O96" i="9"/>
  <c r="J10" i="2"/>
  <c r="I10" i="2"/>
  <c r="J12" i="2"/>
  <c r="I12" i="2"/>
  <c r="J20" i="2"/>
  <c r="I20" i="2"/>
  <c r="J17" i="2"/>
  <c r="I17" i="2"/>
  <c r="J22" i="2"/>
  <c r="I22" i="2"/>
  <c r="J13" i="2"/>
  <c r="I13" i="2"/>
  <c r="J8" i="2"/>
  <c r="I8" i="2"/>
  <c r="J9" i="2"/>
  <c r="I9" i="2"/>
  <c r="J6" i="2"/>
  <c r="I6" i="2"/>
  <c r="J14" i="2"/>
  <c r="I14" i="2"/>
  <c r="J15" i="2"/>
  <c r="I15" i="2"/>
  <c r="J18" i="2"/>
  <c r="J16" i="2"/>
  <c r="I16" i="2"/>
  <c r="J11" i="2"/>
  <c r="I11" i="2"/>
  <c r="J7" i="2"/>
  <c r="I7" i="2"/>
  <c r="J5" i="2"/>
  <c r="I5" i="2"/>
  <c r="J21" i="2"/>
  <c r="I21" i="2"/>
  <c r="C40" i="2"/>
  <c r="G40" i="2" s="1"/>
  <c r="J100" i="1"/>
  <c r="O100" i="1" s="1"/>
  <c r="I95" i="1"/>
  <c r="J95" i="1"/>
  <c r="I101" i="1"/>
  <c r="J101" i="1"/>
  <c r="O101" i="1" s="1"/>
  <c r="I96" i="1"/>
  <c r="J96" i="1"/>
  <c r="E30" i="2"/>
  <c r="J86" i="5"/>
  <c r="D30" i="2"/>
  <c r="D79" i="5"/>
  <c r="D54" i="5"/>
  <c r="O88" i="5"/>
  <c r="D57" i="5"/>
  <c r="D82" i="5"/>
  <c r="I82" i="5" s="1"/>
  <c r="D63" i="5"/>
  <c r="D63" i="1"/>
  <c r="D98" i="1" s="1"/>
  <c r="D81" i="5"/>
  <c r="D80" i="5"/>
  <c r="E31" i="2"/>
  <c r="J83" i="5"/>
  <c r="I78" i="5"/>
  <c r="H23" i="2"/>
  <c r="H23" i="3"/>
  <c r="F16" i="2"/>
  <c r="F22" i="2"/>
  <c r="G22" i="2" s="1"/>
  <c r="N23" i="2"/>
  <c r="M23" i="2"/>
  <c r="F14" i="2"/>
  <c r="M23" i="3"/>
  <c r="I5" i="3"/>
  <c r="I23" i="3" s="1"/>
  <c r="J87" i="5"/>
  <c r="G39" i="2"/>
  <c r="I77" i="5"/>
  <c r="J77" i="5"/>
  <c r="F18" i="2"/>
  <c r="G18" i="2" s="1"/>
  <c r="F10" i="2"/>
  <c r="F20" i="2"/>
  <c r="F12" i="2"/>
  <c r="F6" i="2"/>
  <c r="G6" i="2" s="1"/>
  <c r="F5" i="2"/>
  <c r="G5" i="2" s="1"/>
  <c r="G26" i="2"/>
  <c r="L23" i="3"/>
  <c r="F8" i="2"/>
  <c r="G8" i="2" s="1"/>
  <c r="J76" i="5"/>
  <c r="G27" i="2"/>
  <c r="C43" i="3"/>
  <c r="J75" i="5"/>
  <c r="F2" i="3"/>
  <c r="G9" i="3" s="1"/>
  <c r="F21" i="2"/>
  <c r="F11" i="2"/>
  <c r="F19" i="2"/>
  <c r="F15" i="2"/>
  <c r="F7" i="2"/>
  <c r="F17" i="2"/>
  <c r="D26" i="3"/>
  <c r="G9" i="2"/>
  <c r="F13" i="2"/>
  <c r="C46" i="2"/>
  <c r="G91" i="1"/>
  <c r="G75" i="5"/>
  <c r="G93" i="5" s="1"/>
  <c r="F1" i="5" s="1"/>
  <c r="J85" i="5"/>
  <c r="J84" i="5"/>
  <c r="I84" i="5"/>
  <c r="I80" i="5"/>
  <c r="E23" i="3"/>
  <c r="C29" i="3" s="1"/>
  <c r="J5" i="3"/>
  <c r="J23" i="3" s="1"/>
  <c r="C34" i="3" s="1"/>
  <c r="E23" i="2"/>
  <c r="I54" i="9" s="1"/>
  <c r="K6" i="2"/>
  <c r="K23" i="2" s="1"/>
  <c r="I69" i="9" s="1"/>
  <c r="L23" i="2"/>
  <c r="I72" i="9" s="1"/>
  <c r="D23" i="2"/>
  <c r="I51" i="9" s="1"/>
  <c r="E34" i="3"/>
  <c r="D34" i="3"/>
  <c r="K23" i="3"/>
  <c r="C37" i="3" s="1"/>
  <c r="E29" i="3"/>
  <c r="D29" i="3"/>
  <c r="D23" i="3"/>
  <c r="C28" i="3" s="1"/>
  <c r="J99" i="1" l="1"/>
  <c r="I102" i="1"/>
  <c r="I105" i="9"/>
  <c r="J105" i="9"/>
  <c r="J102" i="9"/>
  <c r="I102" i="9"/>
  <c r="F88" i="9"/>
  <c r="F1" i="9"/>
  <c r="J79" i="5"/>
  <c r="I23" i="2"/>
  <c r="C33" i="2" s="1"/>
  <c r="G104" i="1" s="1"/>
  <c r="O104" i="1" s="1"/>
  <c r="J23" i="2"/>
  <c r="I79" i="5"/>
  <c r="G119" i="1"/>
  <c r="O91" i="1"/>
  <c r="I98" i="1"/>
  <c r="J98" i="1"/>
  <c r="I60" i="1"/>
  <c r="C33" i="3"/>
  <c r="G101" i="9" s="1"/>
  <c r="O103" i="9" s="1"/>
  <c r="I75" i="1"/>
  <c r="C32" i="3"/>
  <c r="G100" i="9" s="1"/>
  <c r="O102" i="9" s="1"/>
  <c r="I72" i="1"/>
  <c r="J82" i="5"/>
  <c r="G14" i="3"/>
  <c r="G12" i="3"/>
  <c r="G16" i="3"/>
  <c r="G20" i="3"/>
  <c r="I81" i="5"/>
  <c r="J81" i="5"/>
  <c r="J80" i="5"/>
  <c r="G22" i="3"/>
  <c r="G18" i="3"/>
  <c r="G10" i="3"/>
  <c r="G14" i="2"/>
  <c r="I54" i="5"/>
  <c r="C32" i="2"/>
  <c r="G16" i="2"/>
  <c r="G10" i="2"/>
  <c r="G8" i="3"/>
  <c r="G20" i="2"/>
  <c r="G12" i="2"/>
  <c r="O75" i="5"/>
  <c r="O87" i="5"/>
  <c r="O76" i="5"/>
  <c r="F7" i="3"/>
  <c r="F9" i="3"/>
  <c r="F12" i="3"/>
  <c r="F20" i="3"/>
  <c r="F21" i="3"/>
  <c r="F10" i="3"/>
  <c r="F18" i="3"/>
  <c r="F8" i="3"/>
  <c r="F5" i="3"/>
  <c r="F11" i="3"/>
  <c r="F19" i="3"/>
  <c r="F15" i="3"/>
  <c r="F6" i="3"/>
  <c r="F14" i="3"/>
  <c r="F22" i="3"/>
  <c r="F13" i="3"/>
  <c r="F17" i="3"/>
  <c r="G5" i="3"/>
  <c r="F16" i="3"/>
  <c r="G19" i="2"/>
  <c r="G19" i="3"/>
  <c r="G15" i="3"/>
  <c r="G15" i="2"/>
  <c r="F23" i="2"/>
  <c r="I57" i="9" s="1"/>
  <c r="G6" i="3"/>
  <c r="G13" i="2"/>
  <c r="G13" i="3"/>
  <c r="G17" i="2"/>
  <c r="G17" i="3"/>
  <c r="G11" i="2"/>
  <c r="G11" i="3"/>
  <c r="G7" i="3"/>
  <c r="G7" i="2"/>
  <c r="G21" i="3"/>
  <c r="G21" i="2"/>
  <c r="I63" i="5"/>
  <c r="I60" i="5"/>
  <c r="I42" i="5"/>
  <c r="I45" i="5"/>
  <c r="I69" i="1"/>
  <c r="C38" i="2"/>
  <c r="I48" i="1"/>
  <c r="C28" i="2"/>
  <c r="G96" i="9" s="1"/>
  <c r="O98" i="9" s="1"/>
  <c r="C35" i="2"/>
  <c r="G102" i="9" s="1"/>
  <c r="I66" i="1"/>
  <c r="C29" i="2"/>
  <c r="G97" i="9" s="1"/>
  <c r="O99" i="9" s="1"/>
  <c r="I51" i="1"/>
  <c r="G105" i="9" l="1"/>
  <c r="O107" i="9" s="1"/>
  <c r="G102" i="1"/>
  <c r="E42" i="10"/>
  <c r="G42" i="10" s="1"/>
  <c r="G44" i="10" s="1"/>
  <c r="G46" i="10" s="1"/>
  <c r="H46" i="10" s="1"/>
  <c r="O110" i="1"/>
  <c r="O104" i="9"/>
  <c r="C34" i="2"/>
  <c r="G82" i="5" s="1"/>
  <c r="I57" i="5"/>
  <c r="I63" i="1"/>
  <c r="F85" i="1"/>
  <c r="I78" i="1"/>
  <c r="F1" i="1"/>
  <c r="G81" i="5"/>
  <c r="G97" i="1"/>
  <c r="O97" i="1" s="1"/>
  <c r="E43" i="2"/>
  <c r="E40" i="3"/>
  <c r="G40" i="3" s="1"/>
  <c r="C30" i="2"/>
  <c r="G98" i="9" s="1"/>
  <c r="O100" i="9" s="1"/>
  <c r="G23" i="2"/>
  <c r="I54" i="1"/>
  <c r="G23" i="3"/>
  <c r="C31" i="3" s="1"/>
  <c r="I48" i="5"/>
  <c r="F23" i="3"/>
  <c r="C30" i="3" s="1"/>
  <c r="G77" i="5"/>
  <c r="G78" i="5"/>
  <c r="G86" i="5"/>
  <c r="G83" i="5"/>
  <c r="G99" i="1"/>
  <c r="O99" i="1" s="1"/>
  <c r="O102" i="1"/>
  <c r="G94" i="1"/>
  <c r="O94" i="1" s="1"/>
  <c r="G93" i="1"/>
  <c r="O93" i="1" s="1"/>
  <c r="G98" i="1" l="1"/>
  <c r="O98" i="1" s="1"/>
  <c r="I51" i="5"/>
  <c r="I60" i="9"/>
  <c r="G43" i="2"/>
  <c r="O89" i="5" s="1"/>
  <c r="G95" i="1"/>
  <c r="O95" i="1" s="1"/>
  <c r="G79" i="5"/>
  <c r="C31" i="2"/>
  <c r="I57" i="1"/>
  <c r="G80" i="5" l="1"/>
  <c r="G99" i="9"/>
  <c r="O101" i="9" s="1"/>
  <c r="G96" i="1"/>
  <c r="O96" i="1" s="1"/>
  <c r="N120" i="1" s="1"/>
  <c r="N121" i="1" s="1"/>
  <c r="G43" i="3"/>
  <c r="F28" i="3" s="1"/>
  <c r="G28" i="3" s="1"/>
  <c r="G46" i="2"/>
  <c r="F38" i="2" s="1"/>
  <c r="G38" i="2" s="1"/>
  <c r="O117" i="1" l="1"/>
  <c r="O118" i="1" s="1"/>
  <c r="N121" i="9"/>
  <c r="N122" i="9" s="1"/>
  <c r="O118" i="9"/>
  <c r="O119" i="9" s="1"/>
  <c r="N120" i="9" s="1"/>
  <c r="F38" i="3"/>
  <c r="G38" i="3" s="1"/>
  <c r="F31" i="2"/>
  <c r="G31" i="2" s="1"/>
  <c r="F28" i="2"/>
  <c r="G28" i="2" s="1"/>
  <c r="O77" i="5" s="1"/>
  <c r="F35" i="3"/>
  <c r="G35" i="3" s="1"/>
  <c r="F29" i="3"/>
  <c r="G29" i="3" s="1"/>
  <c r="F36" i="3"/>
  <c r="G36" i="3" s="1"/>
  <c r="F37" i="2"/>
  <c r="G37" i="2" s="1"/>
  <c r="F32" i="3"/>
  <c r="G32" i="3" s="1"/>
  <c r="F27" i="3"/>
  <c r="G27" i="3" s="1"/>
  <c r="F30" i="2"/>
  <c r="G30" i="2" s="1"/>
  <c r="O86" i="5"/>
  <c r="F37" i="3"/>
  <c r="G37" i="3" s="1"/>
  <c r="F33" i="3"/>
  <c r="G33" i="3" s="1"/>
  <c r="F36" i="2"/>
  <c r="G36" i="2" s="1"/>
  <c r="F34" i="3"/>
  <c r="G34" i="3" s="1"/>
  <c r="F32" i="2"/>
  <c r="G32" i="2" s="1"/>
  <c r="F31" i="3"/>
  <c r="G31" i="3" s="1"/>
  <c r="F34" i="2"/>
  <c r="G34" i="2" s="1"/>
  <c r="F26" i="3"/>
  <c r="G26" i="3" s="1"/>
  <c r="F29" i="2"/>
  <c r="G29" i="2" s="1"/>
  <c r="F35" i="2"/>
  <c r="G35" i="2" s="1"/>
  <c r="F30" i="3"/>
  <c r="G30" i="3" s="1"/>
  <c r="O123" i="1" l="1"/>
  <c r="O124" i="1" s="1"/>
  <c r="N119" i="1"/>
  <c r="O80" i="5"/>
  <c r="O85" i="5"/>
  <c r="O79" i="5"/>
  <c r="G45" i="3"/>
  <c r="G46" i="3" s="1"/>
  <c r="G42" i="3"/>
  <c r="G44" i="3" s="1"/>
  <c r="H44" i="3" s="1"/>
  <c r="O84" i="5"/>
  <c r="O83" i="5"/>
  <c r="O82" i="5"/>
  <c r="G48" i="2"/>
  <c r="G49" i="2" s="1"/>
  <c r="O78" i="5"/>
  <c r="O81" i="5"/>
  <c r="G45" i="2"/>
  <c r="G47" i="2" s="1"/>
  <c r="H47" i="2" s="1"/>
  <c r="N91" i="5" l="1"/>
  <c r="N93" i="5" s="1"/>
  <c r="N94" i="5"/>
  <c r="N95" i="5" s="1"/>
  <c r="P118" i="1" l="1"/>
</calcChain>
</file>

<file path=xl/sharedStrings.xml><?xml version="1.0" encoding="utf-8"?>
<sst xmlns="http://schemas.openxmlformats.org/spreadsheetml/2006/main" count="454" uniqueCount="172">
  <si>
    <t xml:space="preserve">Data wykonania symulacji  : </t>
  </si>
  <si>
    <t xml:space="preserve">Dane klienta : </t>
  </si>
  <si>
    <t>Imie i Nazwisko</t>
  </si>
  <si>
    <t>Strona 1</t>
  </si>
  <si>
    <t>Dane wejściowe do symulacji - ułożenie pionowe modułów</t>
  </si>
  <si>
    <t>Pokrycie dachu</t>
  </si>
  <si>
    <t>Dachówka</t>
  </si>
  <si>
    <t>▼</t>
  </si>
  <si>
    <t>Rozstaw krokwi</t>
  </si>
  <si>
    <t xml:space="preserve">  cm</t>
  </si>
  <si>
    <t>Rząd modułów PV</t>
  </si>
  <si>
    <t>Ilość modułów w rzędzie</t>
  </si>
  <si>
    <t xml:space="preserve">  sztuk</t>
  </si>
  <si>
    <t xml:space="preserve">Klemy środkowe </t>
  </si>
  <si>
    <t>Klemy końcowe</t>
  </si>
  <si>
    <t>Profil nośny modułu Solo light 4,3m</t>
  </si>
  <si>
    <t xml:space="preserve">Łącznik profili Solo5 </t>
  </si>
  <si>
    <t>Haki dachowe Rapid2+ 45</t>
  </si>
  <si>
    <t>Wkręty do drewna VA8x120mm 50St</t>
  </si>
  <si>
    <t>Zaślepka plastikowa Profi05 20St.</t>
  </si>
  <si>
    <t xml:space="preserve">Uwaga!!! Zdjęcie poglądowe!! </t>
  </si>
  <si>
    <t>Zestaw mocujący do pokryć falistych 10 x 200</t>
  </si>
  <si>
    <t>sztuk</t>
  </si>
  <si>
    <t>Nasadka KlickTop</t>
  </si>
  <si>
    <t>Zestaw montażowy:</t>
  </si>
  <si>
    <t>Sumaryczna ilość</t>
  </si>
  <si>
    <t>Nr zam.</t>
  </si>
  <si>
    <t>Cena jedn.</t>
  </si>
  <si>
    <t>Kwota netto</t>
  </si>
  <si>
    <t>Klemy środkowe srebrne</t>
  </si>
  <si>
    <t>Klemy końcowe czarne</t>
  </si>
  <si>
    <t>Zestaw gniazd (+) IP67 MCT4 4-6/20</t>
  </si>
  <si>
    <t>Zestaw wtyczek (-) IP67 MCT4 4-6/20</t>
  </si>
  <si>
    <t>Kabel solarny 100 m 6mm2</t>
  </si>
  <si>
    <t>Osprzęt elektryczny</t>
  </si>
  <si>
    <t>Montaż</t>
  </si>
  <si>
    <t>SUMA netto</t>
  </si>
  <si>
    <t>Moc generatora</t>
  </si>
  <si>
    <t>kWp</t>
  </si>
  <si>
    <t>Netto/kWp</t>
  </si>
  <si>
    <t>Zestaw montażowy</t>
  </si>
  <si>
    <t>kW</t>
  </si>
  <si>
    <t>Zestaw/kWp</t>
  </si>
  <si>
    <t>%</t>
  </si>
  <si>
    <t>Rozstaw krokwii:</t>
  </si>
  <si>
    <t>cm</t>
  </si>
  <si>
    <t>Szerokość PV</t>
  </si>
  <si>
    <t>m</t>
  </si>
  <si>
    <t>Rzędy</t>
  </si>
  <si>
    <t xml:space="preserve">Ilość modułów </t>
  </si>
  <si>
    <t>Rząd 1</t>
  </si>
  <si>
    <t>Rząd 2</t>
  </si>
  <si>
    <t>Rząd 3</t>
  </si>
  <si>
    <t>Rząd 4</t>
  </si>
  <si>
    <t>Rząd 5</t>
  </si>
  <si>
    <t>Rząd 6</t>
  </si>
  <si>
    <t>Rząd 7</t>
  </si>
  <si>
    <t>Rząd 8</t>
  </si>
  <si>
    <t>Rząd 9</t>
  </si>
  <si>
    <t>Rząd 10</t>
  </si>
  <si>
    <t>Rząd 11</t>
  </si>
  <si>
    <t>Rząd 12</t>
  </si>
  <si>
    <t>Rząd 13</t>
  </si>
  <si>
    <t>Rząd 14</t>
  </si>
  <si>
    <t>Rząd 15</t>
  </si>
  <si>
    <t>Rząd 16</t>
  </si>
  <si>
    <t>Rząd 17</t>
  </si>
  <si>
    <t>Rząd 18</t>
  </si>
  <si>
    <t>SUMA</t>
  </si>
  <si>
    <t>Rabat</t>
  </si>
  <si>
    <t>Blachodachówka</t>
  </si>
  <si>
    <t>Hak dachowy Rapid 2+ 45</t>
  </si>
  <si>
    <t xml:space="preserve">Wkręt do drewna (50 szt.)  </t>
  </si>
  <si>
    <t>Kołpak końcowy (20szt.)</t>
  </si>
  <si>
    <t>Zest. mocujący do pokryć falistych 10x200</t>
  </si>
  <si>
    <t>Kabel solarny 500 m 6mm2</t>
  </si>
  <si>
    <t>Nazwa</t>
  </si>
  <si>
    <t>Cena katalogowa</t>
  </si>
  <si>
    <t xml:space="preserve">Szerokość </t>
  </si>
  <si>
    <t>Wysokość</t>
  </si>
  <si>
    <t>Vitovolt 300 M310 WB</t>
  </si>
  <si>
    <t>Vitovolt 300 M340 WA black frame</t>
  </si>
  <si>
    <t xml:space="preserve">  </t>
  </si>
  <si>
    <t xml:space="preserve">Cena katalogowa </t>
  </si>
  <si>
    <t>***FRONIUS***</t>
  </si>
  <si>
    <t>Inwerter Symo 3.0-3-M</t>
  </si>
  <si>
    <t>Inwerter Symo 3.7-3-M</t>
  </si>
  <si>
    <t>Inwerter Symo 4.5-3-M</t>
  </si>
  <si>
    <t>Inwerter Symo 5.0-3-M</t>
  </si>
  <si>
    <t>Inwerter Symo 15.0-3-M</t>
  </si>
  <si>
    <t>Inwerter Symo 17.5-3-M</t>
  </si>
  <si>
    <t>Inwerter Symo 20.0-3-M</t>
  </si>
  <si>
    <t>***SMA***</t>
  </si>
  <si>
    <t>Inwerter SB 1.5-1 VL-40</t>
  </si>
  <si>
    <t>Falownik SB 1,5-1 VL40</t>
  </si>
  <si>
    <t>Falownik SB 2,5-1 VL40</t>
  </si>
  <si>
    <t xml:space="preserve">Inwerter Tripower 4.0 </t>
  </si>
  <si>
    <t>Falownik Tripower 4.0</t>
  </si>
  <si>
    <t>Inwerter Tripower 5.0</t>
  </si>
  <si>
    <t>Falownik Tripower 5.0</t>
  </si>
  <si>
    <t>Inwerter Tripower 6.0</t>
  </si>
  <si>
    <t>Falownik Tripower 6.0</t>
  </si>
  <si>
    <t>Kabel solarny 100 m 4mm2</t>
  </si>
  <si>
    <t>Hak dachowy Rapid2+ Max</t>
  </si>
  <si>
    <t>Kabel solarny 500 m 4mm2</t>
  </si>
  <si>
    <t>Zest. moc. do pokr. fal. KlickTop 10x200</t>
  </si>
  <si>
    <t>Klamra odgromowa f. 8 und 10mm</t>
  </si>
  <si>
    <t>Podkładka 2mm EcoS Rapid Standard 50 szt.</t>
  </si>
  <si>
    <t>Podkładka 2mm VAMax Rapid Max 25 szt.</t>
  </si>
  <si>
    <t>Klemy środkowe czarne</t>
  </si>
  <si>
    <t>Śruba z łbem kwadratowym (100 szt.)</t>
  </si>
  <si>
    <t>Klemy końcowe srebrne</t>
  </si>
  <si>
    <t>Nakrętka kołnierzowa zębata (100 szt.)</t>
  </si>
  <si>
    <t>Przew.solar. FLEX-SOL 4mm L=100m czar.</t>
  </si>
  <si>
    <t>Kabel solarny FLEX-SOL 6mm L=100m czarn</t>
  </si>
  <si>
    <t>Kabel solarny 4mm L=500m czarny</t>
  </si>
  <si>
    <t>Kabel solarny 6mm L=500m czarny</t>
  </si>
  <si>
    <t>Wkładka z gumy EPDM 3mm 48mmx50m</t>
  </si>
  <si>
    <t>Klucz MCT4</t>
  </si>
  <si>
    <t>Złącze-gniazdo MC-T4 10/20</t>
  </si>
  <si>
    <t>Złącze-wtyczka MC-T4 10/20</t>
  </si>
  <si>
    <t>Złącze Solo05 (wstępne)</t>
  </si>
  <si>
    <t>Vitovolt 300 P290 AE, typ Half-Cut (dostępne do wyczerpania zapasów)</t>
  </si>
  <si>
    <t>Vitovolt 300 M340 WA (dostępne do wyczerpania zapasów)</t>
  </si>
  <si>
    <t>Vitovolt 300, typ 310 Allblack (dostępne do wyczerpania zapasów)</t>
  </si>
  <si>
    <t>Vitovolt 300 M310 PD (dostępne do wyczerpania zapasów)</t>
  </si>
  <si>
    <t>Vitovolt 300 M310 PD Blackframe (dostępne do wyczerpania zapasów)</t>
  </si>
  <si>
    <t>Vitovolt 300 P295, typ Half-Cut (dostępne do wyczerpania zapasów)</t>
  </si>
  <si>
    <t>Single Fix-Vario Solo</t>
  </si>
  <si>
    <t>Dichtplatte FixPlan</t>
  </si>
  <si>
    <t>SUMA netto z montażem</t>
  </si>
  <si>
    <t>Hak dachowy Rapid 2+ Uniwersalny</t>
  </si>
  <si>
    <t xml:space="preserve">Zestaw parzysty Single Fix-V Solo do blachy trapezowej </t>
  </si>
  <si>
    <t>Zest. mocujący do pokryć falistych 12x200</t>
  </si>
  <si>
    <t>Zest. mocujący do pokryć falistych 12x300</t>
  </si>
  <si>
    <t>Zestaw montażowy na dach typu Rąbek</t>
  </si>
  <si>
    <t>Zestaw montażowy na dach typu KalZip</t>
  </si>
  <si>
    <t>Łącznik krzyżowy Rapid M8</t>
  </si>
  <si>
    <t>Ogranicznik SPD DC 8.2 TYP 1+2 M</t>
  </si>
  <si>
    <t xml:space="preserve">SUMA netto </t>
  </si>
  <si>
    <t>przyjęto 4 podkładki na hak</t>
  </si>
  <si>
    <t xml:space="preserve">Dodatkowe elementy montażowe : </t>
  </si>
  <si>
    <t>Podkładka EcoS Rapid Standard 50 szt.</t>
  </si>
  <si>
    <t>Moc generatora PV</t>
  </si>
  <si>
    <t>Moc falownika AC</t>
  </si>
  <si>
    <t xml:space="preserve">Zestawienie elementów </t>
  </si>
  <si>
    <t>Strona 2</t>
  </si>
  <si>
    <t>Partner Viessmann</t>
  </si>
  <si>
    <t xml:space="preserve">Arkusz kalkulacyjny nie może zastąpić fachowego projektu instalacji fotowoltaicznej  wykonanego przez projektanta z odpowiednimi uprawnieniami.
Autor nie ponosi odpowiedzialności za błędy ukryte w arkuszu, oraz za wszelkie negatywne skutki i straty wynikające z jego użytkowania. </t>
  </si>
  <si>
    <t>KalZip</t>
  </si>
  <si>
    <t>Rąbek</t>
  </si>
  <si>
    <t>Moduł PV VSE 375 black frame</t>
  </si>
  <si>
    <t>Uzgodnienie z rzeczoznawcą ds. PPOŻ</t>
  </si>
  <si>
    <t>VAT</t>
  </si>
  <si>
    <t>Suma Brutto</t>
  </si>
  <si>
    <t>Brutto/kWp</t>
  </si>
  <si>
    <t>Dodatkowe koszty</t>
  </si>
  <si>
    <t>Moc [kW]</t>
  </si>
  <si>
    <t>Moc [W]</t>
  </si>
  <si>
    <t>Podkładka uniwesalna 2,5/5 mm pod haki dachowe (100 szt)</t>
  </si>
  <si>
    <t>Profil nośny modułu Solo light 4,4m</t>
  </si>
  <si>
    <t>Vitovolt 300 M405 WE Blackframe</t>
  </si>
  <si>
    <t>Vitovolt 300 M405 AK Standard</t>
  </si>
  <si>
    <t>Inwerter SB 2.5-1 VL-40</t>
  </si>
  <si>
    <t>Zacisk odgromowy  8 i 10mm</t>
  </si>
  <si>
    <r>
      <t>Gniazda MC4 4,0-6,0 mm</t>
    </r>
    <r>
      <rPr>
        <vertAlign val="superscript"/>
        <sz val="11"/>
        <color rgb="FF000000"/>
        <rFont val="Calibri"/>
        <family val="2"/>
        <charset val="238"/>
      </rPr>
      <t>2</t>
    </r>
    <r>
      <rPr>
        <sz val="11"/>
        <color rgb="FF000000"/>
        <rFont val="Calibri"/>
        <family val="2"/>
        <charset val="238"/>
      </rPr>
      <t xml:space="preserve"> (20 sztuk)</t>
    </r>
  </si>
  <si>
    <r>
      <t>Wtyczki MC4 4,0-6,0 mm</t>
    </r>
    <r>
      <rPr>
        <vertAlign val="superscript"/>
        <sz val="11"/>
        <color rgb="FF000000"/>
        <rFont val="Calibri"/>
        <family val="2"/>
        <charset val="238"/>
      </rPr>
      <t>2</t>
    </r>
    <r>
      <rPr>
        <sz val="11"/>
        <color rgb="FF000000"/>
        <rFont val="Calibri"/>
        <family val="2"/>
        <charset val="238"/>
      </rPr>
      <t xml:space="preserve"> (20 sztuk)</t>
    </r>
  </si>
  <si>
    <r>
      <t>Gniazda MC4 EVO2 4,0-6,0 mm</t>
    </r>
    <r>
      <rPr>
        <vertAlign val="superscript"/>
        <sz val="11"/>
        <color rgb="FF000000"/>
        <rFont val="Calibri"/>
        <family val="2"/>
        <charset val="238"/>
      </rPr>
      <t>2</t>
    </r>
    <r>
      <rPr>
        <sz val="11"/>
        <color rgb="FF000000"/>
        <rFont val="Calibri"/>
        <family val="2"/>
        <charset val="238"/>
      </rPr>
      <t xml:space="preserve"> (20 sztuk)</t>
    </r>
  </si>
  <si>
    <r>
      <t>Wtyczki MC4 EVO2 4,0-6,0 mm</t>
    </r>
    <r>
      <rPr>
        <vertAlign val="superscript"/>
        <sz val="11"/>
        <color rgb="FF000000"/>
        <rFont val="Calibri"/>
        <family val="2"/>
        <charset val="238"/>
      </rPr>
      <t>2</t>
    </r>
    <r>
      <rPr>
        <sz val="11"/>
        <color rgb="FF000000"/>
        <rFont val="Calibri"/>
        <family val="2"/>
        <charset val="238"/>
      </rPr>
      <t xml:space="preserve"> (20 sztuk)</t>
    </r>
  </si>
  <si>
    <t>Gniazda MC4 4,0-6,0 mm2 (20 sztuk)</t>
  </si>
  <si>
    <t>Wtyczki MC4 4,0-6,0 mm2 (20 sztuk)</t>
  </si>
  <si>
    <t>jak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</si>
</sst>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zł&quot;;[Red]\-#,##0.00\ &quot;zł&quot;"/>
    <numFmt numFmtId="164" formatCode="dd&quot;.&quot;mm&quot;.&quot;yyyy"/>
    <numFmt numFmtId="165" formatCode="#,##0.00&quot; &quot;[$zł];[Red]&quot;-&quot;#,##0.00&quot; &quot;[$zł]"/>
    <numFmt numFmtId="166" formatCode="#,##0.000"/>
    <numFmt numFmtId="167" formatCode="dd&quot;.&quot;mm&quot;.&quot;yyyy&quot; &quot;hh&quot;:&quot;mm"/>
    <numFmt numFmtId="168" formatCode="#,##0&quot; &quot;[$zł]"/>
    <numFmt numFmtId="169" formatCode="&quot; &quot;#,##0.00&quot; &quot;[$zł]&quot; &quot;;&quot;-&quot;#,##0.00&quot; &quot;[$zł]&quot; &quot;;&quot; -&quot;00&quot; &quot;[$zł]&quot; &quot;;&quot; &quot;@&quot; &quot;"/>
    <numFmt numFmtId="170" formatCode="#,##0.00\ [$zł-415];[Red]#,##0.00\ [$zł-415]"/>
  </numFmts>
  <fonts count="58"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zcionka tekstu podstawowego"/>
      <charset val="238"/>
    </font>
    <font>
      <sz val="11"/>
      <color rgb="FF808080"/>
      <name val="Calibri"/>
      <family val="2"/>
      <charset val="238"/>
    </font>
    <font>
      <sz val="9"/>
      <color rgb="FFFFFFFF"/>
      <name val="Calibri"/>
      <family val="2"/>
      <charset val="238"/>
    </font>
    <font>
      <sz val="9"/>
      <color rgb="FFBFBFBF"/>
      <name val="Calibri"/>
      <family val="2"/>
      <charset val="238"/>
    </font>
    <font>
      <sz val="11"/>
      <color rgb="FFBFBFBF"/>
      <name val="Calibri"/>
      <family val="2"/>
      <charset val="238"/>
    </font>
    <font>
      <sz val="11"/>
      <color rgb="FFFFFFFF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6"/>
      <color rgb="FF595959"/>
      <name val="Calibri"/>
      <family val="2"/>
      <charset val="238"/>
    </font>
    <font>
      <sz val="11"/>
      <color rgb="FF000000"/>
      <name val="Arial"/>
      <family val="2"/>
      <charset val="238"/>
    </font>
    <font>
      <sz val="11"/>
      <color rgb="FFA6A6A6"/>
      <name val="Calibri"/>
      <family val="2"/>
      <charset val="238"/>
    </font>
    <font>
      <sz val="14"/>
      <color rgb="FF808080"/>
      <name val="Calibri"/>
      <family val="2"/>
      <charset val="238"/>
    </font>
    <font>
      <sz val="11"/>
      <color rgb="FF555555"/>
      <name val="Calibri"/>
      <family val="2"/>
      <charset val="238"/>
    </font>
    <font>
      <sz val="14"/>
      <color rgb="FF555555"/>
      <name val="Calibri"/>
      <family val="2"/>
      <charset val="238"/>
    </font>
    <font>
      <b/>
      <sz val="9"/>
      <color rgb="FFFFFFFF"/>
      <name val="Calibri"/>
      <family val="2"/>
      <charset val="238"/>
    </font>
    <font>
      <b/>
      <sz val="12"/>
      <color rgb="FFFFFFFF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8"/>
      <color rgb="FFD9D9D9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b/>
      <sz val="9"/>
      <color rgb="FFFFFFFF"/>
      <name val="Arial"/>
      <family val="2"/>
      <charset val="238"/>
    </font>
    <font>
      <sz val="12"/>
      <color rgb="FF000000"/>
      <name val="Calibri"/>
      <family val="2"/>
      <charset val="238"/>
    </font>
    <font>
      <sz val="9"/>
      <color rgb="FF595959"/>
      <name val="Arial"/>
      <family val="2"/>
      <charset val="238"/>
    </font>
    <font>
      <sz val="9"/>
      <color rgb="FFA6A6A6"/>
      <name val="Calibri"/>
      <family val="2"/>
      <charset val="238"/>
    </font>
    <font>
      <b/>
      <sz val="10"/>
      <color rgb="FFFFFFFF"/>
      <name val="Calibri"/>
      <family val="2"/>
      <charset val="238"/>
    </font>
    <font>
      <i/>
      <sz val="10"/>
      <color rgb="FFFFFFFF"/>
      <name val="Calibri"/>
      <family val="2"/>
      <charset val="238"/>
    </font>
    <font>
      <b/>
      <sz val="11"/>
      <color rgb="FFFFFFFF"/>
      <name val="Calibri"/>
      <family val="2"/>
      <charset val="238"/>
    </font>
    <font>
      <sz val="10"/>
      <color rgb="FFBFBFBF"/>
      <name val="Arial"/>
      <family val="2"/>
      <charset val="238"/>
    </font>
    <font>
      <i/>
      <sz val="10"/>
      <color rgb="FF808080"/>
      <name val="Calibri"/>
      <family val="2"/>
      <charset val="238"/>
    </font>
    <font>
      <i/>
      <sz val="11"/>
      <color rgb="FFBFBFBF"/>
      <name val="Calibri"/>
      <family val="2"/>
      <charset val="238"/>
    </font>
    <font>
      <i/>
      <sz val="10"/>
      <color rgb="FF000000"/>
      <name val="Calibri"/>
      <family val="2"/>
      <charset val="238"/>
    </font>
    <font>
      <sz val="11"/>
      <color rgb="FF595959"/>
      <name val="Calibri"/>
      <family val="2"/>
      <charset val="238"/>
    </font>
    <font>
      <sz val="10"/>
      <color rgb="FFFFFFFF"/>
      <name val="Calibri"/>
      <family val="2"/>
      <charset val="238"/>
    </font>
    <font>
      <sz val="10"/>
      <color rgb="FF595959"/>
      <name val="Calibri"/>
      <family val="2"/>
      <charset val="238"/>
    </font>
    <font>
      <b/>
      <sz val="14"/>
      <color rgb="FFFF0000"/>
      <name val="Calibri"/>
      <family val="2"/>
      <charset val="238"/>
    </font>
    <font>
      <sz val="9"/>
      <color rgb="FF595959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8"/>
      <name val="Calibri"/>
      <family val="2"/>
      <charset val="238"/>
    </font>
    <font>
      <b/>
      <sz val="11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name val="Calibri"/>
      <family val="2"/>
      <charset val="238"/>
    </font>
    <font>
      <i/>
      <sz val="11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i/>
      <sz val="14"/>
      <color rgb="FFFF0000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0"/>
      <color theme="1" tint="0.34998626667073579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</font>
    <font>
      <sz val="11"/>
      <color theme="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  <charset val="238"/>
    </font>
    <font>
      <b/>
      <sz val="12"/>
      <name val="Calibri"/>
      <family val="2"/>
      <charset val="238"/>
    </font>
    <font>
      <vertAlign val="superscript"/>
      <sz val="11"/>
      <color rgb="FF000000"/>
      <name val="Calibri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595959"/>
        <bgColor rgb="FF595959"/>
      </patternFill>
    </fill>
    <fill>
      <patternFill patternType="solid">
        <fgColor rgb="FFF1F1F3"/>
        <bgColor rgb="FFF1F1F3"/>
      </patternFill>
    </fill>
    <fill>
      <patternFill patternType="solid">
        <fgColor rgb="FFFFFFFF"/>
        <bgColor rgb="FFFFFFFF"/>
      </patternFill>
    </fill>
    <fill>
      <patternFill patternType="solid">
        <fgColor rgb="FFEF4423"/>
        <bgColor rgb="FFEF4423"/>
      </patternFill>
    </fill>
    <fill>
      <patternFill patternType="solid">
        <fgColor rgb="FFD9D9D9"/>
        <bgColor rgb="FFD9D9D9"/>
      </patternFill>
    </fill>
    <fill>
      <patternFill patternType="solid">
        <fgColor rgb="FFFCE4D6"/>
        <bgColor rgb="FFFCE4D6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rgb="FFFCE4D6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CE4D6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/>
        <bgColor rgb="FFBFBFBF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169" fontId="1" fillId="0" borderId="0" applyFont="0" applyFill="0" applyBorder="0" applyAlignment="0" applyProtection="0"/>
    <xf numFmtId="0" fontId="2" fillId="0" borderId="0" applyNumberFormat="0" applyBorder="0" applyProtection="0"/>
  </cellStyleXfs>
  <cellXfs count="250">
    <xf numFmtId="0" fontId="0" fillId="0" borderId="0" xfId="0"/>
    <xf numFmtId="0" fontId="3" fillId="2" borderId="0" xfId="0" applyFont="1" applyFill="1" applyProtection="1">
      <protection hidden="1"/>
    </xf>
    <xf numFmtId="0" fontId="0" fillId="3" borderId="0" xfId="0" applyFill="1"/>
    <xf numFmtId="0" fontId="5" fillId="3" borderId="0" xfId="0" applyFont="1" applyFill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7" fillId="2" borderId="0" xfId="0" applyFont="1" applyFill="1"/>
    <xf numFmtId="0" fontId="8" fillId="2" borderId="0" xfId="0" applyFont="1" applyFill="1"/>
    <xf numFmtId="0" fontId="7" fillId="2" borderId="0" xfId="0" applyFont="1" applyFill="1" applyAlignment="1">
      <alignment vertical="center" textRotation="90"/>
    </xf>
    <xf numFmtId="0" fontId="5" fillId="2" borderId="0" xfId="0" applyFont="1" applyFill="1" applyAlignment="1">
      <alignment wrapText="1"/>
    </xf>
    <xf numFmtId="0" fontId="9" fillId="2" borderId="0" xfId="0" applyFont="1" applyFill="1" applyAlignment="1">
      <alignment vertical="center" wrapText="1"/>
    </xf>
    <xf numFmtId="0" fontId="6" fillId="2" borderId="0" xfId="0" applyFont="1" applyFill="1"/>
    <xf numFmtId="0" fontId="5" fillId="2" borderId="0" xfId="0" applyFont="1" applyFill="1"/>
    <xf numFmtId="0" fontId="0" fillId="2" borderId="0" xfId="0" applyFill="1" applyAlignment="1">
      <alignment horizontal="left"/>
    </xf>
    <xf numFmtId="0" fontId="10" fillId="2" borderId="0" xfId="0" applyFont="1" applyFill="1"/>
    <xf numFmtId="0" fontId="11" fillId="2" borderId="0" xfId="0" applyFont="1" applyFill="1" applyAlignment="1">
      <alignment textRotation="90" wrapText="1"/>
    </xf>
    <xf numFmtId="0" fontId="11" fillId="2" borderId="0" xfId="0" applyFont="1" applyFill="1" applyAlignment="1">
      <alignment textRotation="90"/>
    </xf>
    <xf numFmtId="0" fontId="0" fillId="2" borderId="0" xfId="0" applyFill="1" applyAlignment="1">
      <alignment vertical="center"/>
    </xf>
    <xf numFmtId="0" fontId="10" fillId="2" borderId="0" xfId="0" applyFont="1" applyFill="1" applyAlignment="1">
      <alignment vertical="center"/>
    </xf>
    <xf numFmtId="0" fontId="12" fillId="2" borderId="0" xfId="0" applyFont="1" applyFill="1" applyAlignment="1">
      <alignment vertical="center" wrapText="1"/>
    </xf>
    <xf numFmtId="0" fontId="0" fillId="4" borderId="0" xfId="0" applyFill="1"/>
    <xf numFmtId="164" fontId="13" fillId="4" borderId="0" xfId="0" applyNumberFormat="1" applyFont="1" applyFill="1" applyAlignment="1" applyProtection="1">
      <alignment horizontal="left" vertical="center"/>
      <protection hidden="1"/>
    </xf>
    <xf numFmtId="164" fontId="13" fillId="4" borderId="0" xfId="0" applyNumberFormat="1" applyFont="1" applyFill="1" applyAlignment="1" applyProtection="1">
      <alignment vertical="center"/>
      <protection hidden="1"/>
    </xf>
    <xf numFmtId="164" fontId="14" fillId="4" borderId="0" xfId="0" applyNumberFormat="1" applyFont="1" applyFill="1" applyAlignment="1" applyProtection="1">
      <alignment vertical="center"/>
      <protection hidden="1"/>
    </xf>
    <xf numFmtId="0" fontId="0" fillId="5" borderId="0" xfId="0" applyFill="1"/>
    <xf numFmtId="0" fontId="17" fillId="7" borderId="1" xfId="0" applyFont="1" applyFill="1" applyBorder="1" applyAlignment="1">
      <alignment horizontal="center" vertical="center"/>
    </xf>
    <xf numFmtId="0" fontId="18" fillId="5" borderId="0" xfId="0" applyFont="1" applyFill="1" applyAlignment="1">
      <alignment horizontal="left" vertical="center"/>
    </xf>
    <xf numFmtId="0" fontId="19" fillId="5" borderId="0" xfId="0" applyFont="1" applyFill="1" applyAlignment="1">
      <alignment vertical="center"/>
    </xf>
    <xf numFmtId="0" fontId="20" fillId="5" borderId="0" xfId="0" applyFont="1" applyFill="1" applyAlignment="1">
      <alignment vertical="center"/>
    </xf>
    <xf numFmtId="0" fontId="21" fillId="5" borderId="0" xfId="0" applyFont="1" applyFill="1" applyAlignment="1" applyProtection="1">
      <alignment vertical="center"/>
      <protection locked="0"/>
    </xf>
    <xf numFmtId="0" fontId="22" fillId="5" borderId="0" xfId="0" applyFont="1" applyFill="1" applyAlignment="1">
      <alignment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/>
    <xf numFmtId="0" fontId="25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3" fillId="5" borderId="0" xfId="0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right" vertical="center"/>
    </xf>
    <xf numFmtId="0" fontId="0" fillId="5" borderId="0" xfId="0" applyFill="1" applyAlignment="1">
      <alignment horizontal="right"/>
    </xf>
    <xf numFmtId="0" fontId="19" fillId="5" borderId="0" xfId="0" applyFont="1" applyFill="1" applyAlignment="1">
      <alignment horizontal="left" vertical="center"/>
    </xf>
    <xf numFmtId="0" fontId="17" fillId="5" borderId="0" xfId="0" applyFont="1" applyFill="1" applyAlignment="1">
      <alignment vertical="center"/>
    </xf>
    <xf numFmtId="0" fontId="17" fillId="8" borderId="1" xfId="0" applyFont="1" applyFill="1" applyBorder="1" applyAlignment="1">
      <alignment vertical="center"/>
    </xf>
    <xf numFmtId="0" fontId="23" fillId="5" borderId="0" xfId="0" applyFont="1" applyFill="1" applyAlignment="1" applyProtection="1">
      <alignment vertical="center"/>
      <protection locked="0"/>
    </xf>
    <xf numFmtId="0" fontId="16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17" fillId="5" borderId="0" xfId="0" applyFont="1" applyFill="1" applyAlignment="1" applyProtection="1">
      <alignment vertical="center"/>
      <protection locked="0"/>
    </xf>
    <xf numFmtId="0" fontId="2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7" fillId="5" borderId="0" xfId="0" applyFont="1" applyFill="1" applyAlignment="1">
      <alignment vertical="top" wrapText="1"/>
    </xf>
    <xf numFmtId="0" fontId="28" fillId="5" borderId="0" xfId="0" applyFont="1" applyFill="1" applyAlignment="1">
      <alignment horizontal="left" vertical="top"/>
    </xf>
    <xf numFmtId="1" fontId="17" fillId="7" borderId="1" xfId="0" applyNumberFormat="1" applyFont="1" applyFill="1" applyBorder="1" applyAlignment="1">
      <alignment horizontal="center"/>
    </xf>
    <xf numFmtId="1" fontId="17" fillId="5" borderId="0" xfId="0" applyNumberFormat="1" applyFont="1" applyFill="1" applyAlignment="1">
      <alignment horizontal="center" vertical="center"/>
    </xf>
    <xf numFmtId="0" fontId="23" fillId="5" borderId="0" xfId="0" applyFont="1" applyFill="1"/>
    <xf numFmtId="0" fontId="20" fillId="5" borderId="0" xfId="0" applyFont="1" applyFill="1"/>
    <xf numFmtId="0" fontId="0" fillId="5" borderId="0" xfId="0" applyFill="1" applyAlignment="1">
      <alignment horizontal="left"/>
    </xf>
    <xf numFmtId="1" fontId="17" fillId="5" borderId="0" xfId="0" applyNumberFormat="1" applyFont="1" applyFill="1" applyAlignment="1">
      <alignment horizontal="center"/>
    </xf>
    <xf numFmtId="2" fontId="0" fillId="5" borderId="0" xfId="0" applyNumberFormat="1" applyFill="1"/>
    <xf numFmtId="0" fontId="26" fillId="5" borderId="0" xfId="0" applyFont="1" applyFill="1"/>
    <xf numFmtId="2" fontId="0" fillId="5" borderId="0" xfId="0" applyNumberFormat="1" applyFill="1" applyAlignment="1">
      <alignment horizontal="center"/>
    </xf>
    <xf numFmtId="0" fontId="6" fillId="5" borderId="0" xfId="0" applyFont="1" applyFill="1"/>
    <xf numFmtId="0" fontId="29" fillId="5" borderId="0" xfId="0" applyFont="1" applyFill="1"/>
    <xf numFmtId="0" fontId="30" fillId="5" borderId="0" xfId="0" applyFont="1" applyFill="1"/>
    <xf numFmtId="4" fontId="30" fillId="5" borderId="0" xfId="0" applyNumberFormat="1" applyFont="1" applyFill="1" applyAlignment="1">
      <alignment horizontal="center"/>
    </xf>
    <xf numFmtId="2" fontId="6" fillId="5" borderId="0" xfId="0" applyNumberFormat="1" applyFont="1" applyFill="1"/>
    <xf numFmtId="0" fontId="28" fillId="5" borderId="0" xfId="0" applyFont="1" applyFill="1"/>
    <xf numFmtId="168" fontId="0" fillId="5" borderId="0" xfId="0" applyNumberFormat="1" applyFill="1" applyAlignment="1">
      <alignment horizontal="center"/>
    </xf>
    <xf numFmtId="168" fontId="30" fillId="5" borderId="0" xfId="0" applyNumberFormat="1" applyFont="1" applyFill="1" applyAlignment="1">
      <alignment horizontal="center"/>
    </xf>
    <xf numFmtId="0" fontId="0" fillId="5" borderId="0" xfId="0" applyFill="1" applyAlignment="1">
      <alignment horizontal="left" vertical="center" textRotation="171"/>
    </xf>
    <xf numFmtId="0" fontId="7" fillId="5" borderId="0" xfId="0" applyFont="1" applyFill="1"/>
    <xf numFmtId="0" fontId="31" fillId="5" borderId="0" xfId="0" applyFont="1" applyFill="1"/>
    <xf numFmtId="0" fontId="17" fillId="5" borderId="4" xfId="0" applyFont="1" applyFill="1" applyBorder="1" applyAlignment="1">
      <alignment horizontal="left"/>
    </xf>
    <xf numFmtId="0" fontId="0" fillId="5" borderId="4" xfId="0" applyFill="1" applyBorder="1" applyAlignment="1">
      <alignment horizontal="left"/>
    </xf>
    <xf numFmtId="0" fontId="0" fillId="5" borderId="4" xfId="0" applyFill="1" applyBorder="1"/>
    <xf numFmtId="0" fontId="18" fillId="5" borderId="0" xfId="0" applyFont="1" applyFill="1" applyAlignment="1">
      <alignment horizontal="right" vertical="center"/>
    </xf>
    <xf numFmtId="0" fontId="32" fillId="5" borderId="0" xfId="0" applyFont="1" applyFill="1" applyAlignment="1">
      <alignment vertical="center"/>
    </xf>
    <xf numFmtId="0" fontId="33" fillId="5" borderId="0" xfId="0" applyFont="1" applyFill="1"/>
    <xf numFmtId="0" fontId="34" fillId="5" borderId="0" xfId="0" applyFont="1" applyFill="1" applyAlignment="1">
      <alignment vertical="center" readingOrder="1"/>
    </xf>
    <xf numFmtId="0" fontId="35" fillId="5" borderId="0" xfId="0" applyFont="1" applyFill="1" applyAlignment="1">
      <alignment vertical="center"/>
    </xf>
    <xf numFmtId="1" fontId="15" fillId="5" borderId="0" xfId="0" applyNumberFormat="1" applyFont="1" applyFill="1"/>
    <xf numFmtId="0" fontId="33" fillId="2" borderId="0" xfId="0" applyFont="1" applyFill="1"/>
    <xf numFmtId="0" fontId="20" fillId="8" borderId="0" xfId="0" applyFont="1" applyFill="1" applyAlignment="1">
      <alignment vertical="center"/>
    </xf>
    <xf numFmtId="0" fontId="17" fillId="5" borderId="0" xfId="0" applyFont="1" applyFill="1"/>
    <xf numFmtId="0" fontId="36" fillId="0" borderId="0" xfId="0" applyFont="1"/>
    <xf numFmtId="4" fontId="36" fillId="5" borderId="0" xfId="0" applyNumberFormat="1" applyFont="1" applyFill="1"/>
    <xf numFmtId="0" fontId="36" fillId="5" borderId="0" xfId="0" applyFont="1" applyFill="1"/>
    <xf numFmtId="9" fontId="6" fillId="2" borderId="0" xfId="0" applyNumberFormat="1" applyFont="1" applyFill="1"/>
    <xf numFmtId="1" fontId="6" fillId="2" borderId="0" xfId="0" applyNumberFormat="1" applyFont="1" applyFill="1"/>
    <xf numFmtId="0" fontId="6" fillId="2" borderId="0" xfId="0" applyFont="1" applyFill="1" applyProtection="1">
      <protection locked="0" hidden="1"/>
    </xf>
    <xf numFmtId="0" fontId="35" fillId="5" borderId="4" xfId="0" applyFont="1" applyFill="1" applyBorder="1"/>
    <xf numFmtId="0" fontId="33" fillId="5" borderId="4" xfId="0" applyFont="1" applyFill="1" applyBorder="1"/>
    <xf numFmtId="9" fontId="37" fillId="5" borderId="4" xfId="0" applyNumberFormat="1" applyFont="1" applyFill="1" applyBorder="1" applyAlignment="1">
      <alignment horizontal="center"/>
    </xf>
    <xf numFmtId="0" fontId="37" fillId="5" borderId="4" xfId="0" applyFont="1" applyFill="1" applyBorder="1"/>
    <xf numFmtId="0" fontId="0" fillId="9" borderId="0" xfId="0" applyFill="1"/>
    <xf numFmtId="0" fontId="17" fillId="2" borderId="0" xfId="0" applyFont="1" applyFill="1"/>
    <xf numFmtId="0" fontId="17" fillId="0" borderId="0" xfId="0" applyFont="1"/>
    <xf numFmtId="0" fontId="17" fillId="0" borderId="3" xfId="0" applyFont="1" applyBorder="1"/>
    <xf numFmtId="0" fontId="17" fillId="0" borderId="1" xfId="0" applyFont="1" applyBorder="1"/>
    <xf numFmtId="0" fontId="0" fillId="0" borderId="5" xfId="0" applyBorder="1"/>
    <xf numFmtId="0" fontId="0" fillId="0" borderId="1" xfId="0" applyBorder="1"/>
    <xf numFmtId="0" fontId="0" fillId="0" borderId="6" xfId="0" applyBorder="1"/>
    <xf numFmtId="165" fontId="0" fillId="0" borderId="0" xfId="0" applyNumberFormat="1"/>
    <xf numFmtId="9" fontId="0" fillId="0" borderId="0" xfId="0" applyNumberFormat="1"/>
    <xf numFmtId="165" fontId="17" fillId="0" borderId="0" xfId="0" applyNumberFormat="1" applyFont="1"/>
    <xf numFmtId="0" fontId="38" fillId="0" borderId="0" xfId="0" applyFont="1"/>
    <xf numFmtId="4" fontId="38" fillId="0" borderId="0" xfId="0" applyNumberFormat="1" applyFont="1"/>
    <xf numFmtId="9" fontId="17" fillId="0" borderId="0" xfId="0" applyNumberFormat="1" applyFont="1"/>
    <xf numFmtId="0" fontId="0" fillId="0" borderId="4" xfId="0" applyBorder="1"/>
    <xf numFmtId="0" fontId="0" fillId="5" borderId="1" xfId="0" applyFill="1" applyBorder="1"/>
    <xf numFmtId="166" fontId="0" fillId="5" borderId="0" xfId="0" applyNumberFormat="1" applyFill="1"/>
    <xf numFmtId="170" fontId="0" fillId="5" borderId="0" xfId="0" applyNumberFormat="1" applyFill="1"/>
    <xf numFmtId="0" fontId="4" fillId="3" borderId="0" xfId="0" applyFont="1" applyFill="1" applyAlignment="1">
      <alignment horizontal="center" vertical="center" wrapText="1"/>
    </xf>
    <xf numFmtId="165" fontId="20" fillId="5" borderId="3" xfId="0" applyNumberFormat="1" applyFont="1" applyFill="1" applyBorder="1" applyAlignment="1">
      <alignment horizontal="right" vertical="center"/>
    </xf>
    <xf numFmtId="165" fontId="0" fillId="5" borderId="0" xfId="0" applyNumberFormat="1" applyFill="1" applyAlignment="1">
      <alignment horizontal="right"/>
    </xf>
    <xf numFmtId="0" fontId="20" fillId="10" borderId="0" xfId="0" applyFont="1" applyFill="1" applyAlignment="1">
      <alignment horizontal="left"/>
    </xf>
    <xf numFmtId="0" fontId="20" fillId="11" borderId="0" xfId="0" applyFont="1" applyFill="1" applyAlignment="1">
      <alignment vertical="center"/>
    </xf>
    <xf numFmtId="165" fontId="20" fillId="11" borderId="0" xfId="0" applyNumberFormat="1" applyFont="1" applyFill="1" applyAlignment="1">
      <alignment horizontal="right" vertical="center"/>
    </xf>
    <xf numFmtId="0" fontId="0" fillId="11" borderId="0" xfId="0" applyFill="1"/>
    <xf numFmtId="8" fontId="0" fillId="0" borderId="0" xfId="0" applyNumberFormat="1"/>
    <xf numFmtId="0" fontId="1" fillId="12" borderId="7" xfId="0" applyFont="1" applyFill="1" applyBorder="1" applyAlignment="1">
      <alignment horizontal="right"/>
    </xf>
    <xf numFmtId="0" fontId="1" fillId="0" borderId="7" xfId="0" applyFont="1" applyBorder="1"/>
    <xf numFmtId="0" fontId="1" fillId="0" borderId="7" xfId="0" applyFont="1" applyBorder="1" applyAlignment="1">
      <alignment horizontal="right"/>
    </xf>
    <xf numFmtId="0" fontId="43" fillId="5" borderId="0" xfId="0" applyFont="1" applyFill="1"/>
    <xf numFmtId="0" fontId="32" fillId="5" borderId="0" xfId="0" applyFont="1" applyFill="1"/>
    <xf numFmtId="165" fontId="20" fillId="5" borderId="0" xfId="0" applyNumberFormat="1" applyFont="1" applyFill="1" applyAlignment="1">
      <alignment horizontal="right" vertical="center"/>
    </xf>
    <xf numFmtId="0" fontId="17" fillId="5" borderId="13" xfId="0" applyFont="1" applyFill="1" applyBorder="1" applyAlignment="1">
      <alignment horizontal="left"/>
    </xf>
    <xf numFmtId="0" fontId="0" fillId="5" borderId="13" xfId="0" applyFill="1" applyBorder="1" applyAlignment="1">
      <alignment horizontal="left"/>
    </xf>
    <xf numFmtId="0" fontId="0" fillId="5" borderId="14" xfId="0" applyFill="1" applyBorder="1"/>
    <xf numFmtId="0" fontId="20" fillId="11" borderId="14" xfId="0" applyFont="1" applyFill="1" applyBorder="1" applyAlignment="1">
      <alignment vertical="center"/>
    </xf>
    <xf numFmtId="0" fontId="20" fillId="5" borderId="14" xfId="0" applyFont="1" applyFill="1" applyBorder="1" applyAlignment="1">
      <alignment vertical="center"/>
    </xf>
    <xf numFmtId="0" fontId="0" fillId="11" borderId="14" xfId="0" applyFill="1" applyBorder="1"/>
    <xf numFmtId="0" fontId="20" fillId="11" borderId="13" xfId="0" applyFont="1" applyFill="1" applyBorder="1" applyAlignment="1">
      <alignment vertical="center"/>
    </xf>
    <xf numFmtId="0" fontId="20" fillId="5" borderId="13" xfId="0" applyFont="1" applyFill="1" applyBorder="1" applyAlignment="1">
      <alignment vertical="center"/>
    </xf>
    <xf numFmtId="0" fontId="0" fillId="11" borderId="13" xfId="0" applyFill="1" applyBorder="1"/>
    <xf numFmtId="0" fontId="20" fillId="10" borderId="0" xfId="0" applyFont="1" applyFill="1" applyAlignment="1">
      <alignment horizontal="right" vertical="center"/>
    </xf>
    <xf numFmtId="0" fontId="42" fillId="13" borderId="14" xfId="0" applyFont="1" applyFill="1" applyBorder="1" applyAlignment="1">
      <alignment vertical="center"/>
    </xf>
    <xf numFmtId="0" fontId="42" fillId="13" borderId="13" xfId="0" applyFont="1" applyFill="1" applyBorder="1" applyAlignment="1">
      <alignment vertical="center"/>
    </xf>
    <xf numFmtId="0" fontId="20" fillId="14" borderId="0" xfId="0" applyFont="1" applyFill="1" applyAlignment="1">
      <alignment vertical="center"/>
    </xf>
    <xf numFmtId="0" fontId="44" fillId="5" borderId="0" xfId="0" applyFont="1" applyFill="1"/>
    <xf numFmtId="4" fontId="45" fillId="5" borderId="0" xfId="0" applyNumberFormat="1" applyFont="1" applyFill="1"/>
    <xf numFmtId="0" fontId="45" fillId="5" borderId="0" xfId="0" applyFont="1" applyFill="1"/>
    <xf numFmtId="0" fontId="42" fillId="12" borderId="0" xfId="0" applyFont="1" applyFill="1" applyAlignment="1">
      <alignment vertical="center"/>
    </xf>
    <xf numFmtId="0" fontId="42" fillId="13" borderId="0" xfId="0" applyFont="1" applyFill="1" applyAlignment="1">
      <alignment vertical="center"/>
    </xf>
    <xf numFmtId="0" fontId="45" fillId="12" borderId="0" xfId="0" applyFont="1" applyFill="1"/>
    <xf numFmtId="14" fontId="5" fillId="3" borderId="0" xfId="0" applyNumberFormat="1" applyFont="1" applyFill="1" applyAlignment="1">
      <alignment vertical="center" wrapText="1"/>
    </xf>
    <xf numFmtId="0" fontId="0" fillId="12" borderId="0" xfId="0" applyFill="1" applyProtection="1">
      <protection hidden="1"/>
    </xf>
    <xf numFmtId="0" fontId="46" fillId="12" borderId="0" xfId="0" applyFont="1" applyFill="1" applyAlignment="1" applyProtection="1">
      <alignment vertical="center" wrapText="1"/>
      <protection hidden="1"/>
    </xf>
    <xf numFmtId="0" fontId="47" fillId="12" borderId="0" xfId="0" applyFont="1" applyFill="1" applyProtection="1">
      <protection hidden="1"/>
    </xf>
    <xf numFmtId="0" fontId="0" fillId="12" borderId="15" xfId="0" applyFill="1" applyBorder="1" applyProtection="1">
      <protection hidden="1"/>
    </xf>
    <xf numFmtId="0" fontId="0" fillId="12" borderId="14" xfId="0" applyFill="1" applyBorder="1" applyProtection="1">
      <protection hidden="1"/>
    </xf>
    <xf numFmtId="0" fontId="46" fillId="12" borderId="14" xfId="0" applyFont="1" applyFill="1" applyBorder="1" applyAlignment="1" applyProtection="1">
      <alignment vertical="center" wrapText="1"/>
      <protection hidden="1"/>
    </xf>
    <xf numFmtId="0" fontId="46" fillId="12" borderId="16" xfId="0" applyFont="1" applyFill="1" applyBorder="1" applyAlignment="1" applyProtection="1">
      <alignment vertical="center" wrapText="1"/>
      <protection hidden="1"/>
    </xf>
    <xf numFmtId="0" fontId="0" fillId="12" borderId="22" xfId="0" applyFill="1" applyBorder="1" applyProtection="1">
      <protection hidden="1"/>
    </xf>
    <xf numFmtId="0" fontId="49" fillId="12" borderId="0" xfId="0" applyFont="1" applyFill="1" applyAlignment="1" applyProtection="1">
      <alignment vertical="center"/>
      <protection hidden="1"/>
    </xf>
    <xf numFmtId="0" fontId="46" fillId="12" borderId="21" xfId="0" applyFont="1" applyFill="1" applyBorder="1" applyAlignment="1" applyProtection="1">
      <alignment vertical="center" wrapText="1"/>
      <protection hidden="1"/>
    </xf>
    <xf numFmtId="0" fontId="50" fillId="12" borderId="0" xfId="0" applyFont="1" applyFill="1" applyAlignment="1" applyProtection="1">
      <alignment vertical="center"/>
      <protection hidden="1"/>
    </xf>
    <xf numFmtId="0" fontId="50" fillId="12" borderId="0" xfId="0" applyFont="1" applyFill="1" applyAlignment="1" applyProtection="1">
      <alignment vertical="center" wrapText="1"/>
      <protection hidden="1"/>
    </xf>
    <xf numFmtId="0" fontId="50" fillId="12" borderId="21" xfId="0" applyFont="1" applyFill="1" applyBorder="1" applyAlignment="1" applyProtection="1">
      <alignment vertical="center" wrapText="1"/>
      <protection hidden="1"/>
    </xf>
    <xf numFmtId="0" fontId="46" fillId="12" borderId="0" xfId="0" applyFont="1" applyFill="1" applyProtection="1">
      <protection hidden="1"/>
    </xf>
    <xf numFmtId="0" fontId="47" fillId="12" borderId="21" xfId="0" applyFont="1" applyFill="1" applyBorder="1" applyProtection="1">
      <protection hidden="1"/>
    </xf>
    <xf numFmtId="0" fontId="0" fillId="12" borderId="17" xfId="0" applyFill="1" applyBorder="1" applyProtection="1">
      <protection hidden="1"/>
    </xf>
    <xf numFmtId="0" fontId="46" fillId="12" borderId="13" xfId="0" applyFont="1" applyFill="1" applyBorder="1" applyProtection="1">
      <protection hidden="1"/>
    </xf>
    <xf numFmtId="0" fontId="47" fillId="12" borderId="13" xfId="0" applyFont="1" applyFill="1" applyBorder="1" applyProtection="1">
      <protection hidden="1"/>
    </xf>
    <xf numFmtId="0" fontId="47" fillId="12" borderId="18" xfId="0" applyFont="1" applyFill="1" applyBorder="1" applyProtection="1">
      <protection hidden="1"/>
    </xf>
    <xf numFmtId="0" fontId="52" fillId="2" borderId="0" xfId="0" applyFont="1" applyFill="1"/>
    <xf numFmtId="0" fontId="16" fillId="3" borderId="0" xfId="0" applyFont="1" applyFill="1" applyAlignment="1">
      <alignment horizontal="left" vertical="center"/>
    </xf>
    <xf numFmtId="0" fontId="20" fillId="14" borderId="11" xfId="0" applyFont="1" applyFill="1" applyBorder="1" applyAlignment="1">
      <alignment horizontal="right" vertical="center"/>
    </xf>
    <xf numFmtId="0" fontId="20" fillId="14" borderId="12" xfId="0" applyFont="1" applyFill="1" applyBorder="1" applyAlignment="1">
      <alignment horizontal="right" vertical="center"/>
    </xf>
    <xf numFmtId="0" fontId="20" fillId="14" borderId="19" xfId="0" applyFont="1" applyFill="1" applyBorder="1" applyAlignment="1">
      <alignment horizontal="right" vertical="center"/>
    </xf>
    <xf numFmtId="0" fontId="20" fillId="14" borderId="20" xfId="0" applyFont="1" applyFill="1" applyBorder="1" applyAlignment="1">
      <alignment horizontal="right" vertical="center"/>
    </xf>
    <xf numFmtId="165" fontId="20" fillId="5" borderId="14" xfId="0" applyNumberFormat="1" applyFont="1" applyFill="1" applyBorder="1" applyAlignment="1">
      <alignment horizontal="right" vertical="center"/>
    </xf>
    <xf numFmtId="165" fontId="20" fillId="5" borderId="13" xfId="0" applyNumberFormat="1" applyFont="1" applyFill="1" applyBorder="1" applyAlignment="1">
      <alignment horizontal="right" vertical="center"/>
    </xf>
    <xf numFmtId="0" fontId="51" fillId="12" borderId="0" xfId="0" applyFont="1" applyFill="1" applyAlignment="1" applyProtection="1">
      <alignment horizontal="left" wrapText="1"/>
      <protection hidden="1"/>
    </xf>
    <xf numFmtId="9" fontId="0" fillId="5" borderId="0" xfId="0" applyNumberFormat="1" applyFill="1"/>
    <xf numFmtId="165" fontId="20" fillId="5" borderId="21" xfId="0" applyNumberFormat="1" applyFont="1" applyFill="1" applyBorder="1" applyAlignment="1">
      <alignment horizontal="right" vertical="center"/>
    </xf>
    <xf numFmtId="0" fontId="53" fillId="0" borderId="7" xfId="0" applyFont="1" applyBorder="1"/>
    <xf numFmtId="0" fontId="53" fillId="0" borderId="7" xfId="0" applyFont="1" applyBorder="1" applyAlignment="1">
      <alignment horizontal="right"/>
    </xf>
    <xf numFmtId="0" fontId="53" fillId="5" borderId="1" xfId="0" applyFont="1" applyFill="1" applyBorder="1"/>
    <xf numFmtId="166" fontId="53" fillId="5" borderId="0" xfId="0" applyNumberFormat="1" applyFont="1" applyFill="1"/>
    <xf numFmtId="0" fontId="53" fillId="5" borderId="1" xfId="0" applyFont="1" applyFill="1" applyBorder="1" applyAlignment="1">
      <alignment horizontal="right"/>
    </xf>
    <xf numFmtId="0" fontId="54" fillId="5" borderId="0" xfId="0" applyFont="1" applyFill="1"/>
    <xf numFmtId="0" fontId="55" fillId="5" borderId="0" xfId="0" applyFont="1" applyFill="1" applyAlignment="1">
      <alignment horizontal="right" vertical="center"/>
    </xf>
    <xf numFmtId="0" fontId="42" fillId="5" borderId="0" xfId="0" applyFont="1" applyFill="1" applyAlignment="1">
      <alignment vertical="center" readingOrder="1"/>
    </xf>
    <xf numFmtId="0" fontId="54" fillId="2" borderId="0" xfId="0" applyFont="1" applyFill="1"/>
    <xf numFmtId="0" fontId="56" fillId="5" borderId="0" xfId="0" applyFont="1" applyFill="1" applyAlignment="1">
      <alignment vertical="center"/>
    </xf>
    <xf numFmtId="0" fontId="0" fillId="16" borderId="0" xfId="0" applyFill="1"/>
    <xf numFmtId="1" fontId="15" fillId="11" borderId="0" xfId="0" applyNumberFormat="1" applyFont="1" applyFill="1"/>
    <xf numFmtId="0" fontId="15" fillId="6" borderId="0" xfId="0" applyFont="1" applyFill="1" applyAlignment="1">
      <alignment horizontal="center" vertical="center" textRotation="90"/>
    </xf>
    <xf numFmtId="0" fontId="16" fillId="3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0" fillId="2" borderId="0" xfId="0" applyFill="1"/>
    <xf numFmtId="167" fontId="13" fillId="4" borderId="0" xfId="0" applyNumberFormat="1" applyFont="1" applyFill="1" applyAlignment="1">
      <alignment horizontal="right" vertical="center"/>
    </xf>
    <xf numFmtId="164" fontId="14" fillId="4" borderId="0" xfId="0" applyNumberFormat="1" applyFont="1" applyFill="1" applyAlignment="1" applyProtection="1">
      <alignment horizontal="right" vertical="center"/>
      <protection hidden="1"/>
    </xf>
    <xf numFmtId="0" fontId="19" fillId="7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23" fillId="5" borderId="2" xfId="0" applyFont="1" applyFill="1" applyBorder="1" applyAlignment="1" applyProtection="1">
      <alignment horizontal="left" vertical="center"/>
      <protection locked="0"/>
    </xf>
    <xf numFmtId="0" fontId="20" fillId="8" borderId="1" xfId="0" applyFont="1" applyFill="1" applyBorder="1" applyAlignment="1">
      <alignment horizontal="left"/>
    </xf>
    <xf numFmtId="165" fontId="20" fillId="5" borderId="0" xfId="0" applyNumberFormat="1" applyFont="1" applyFill="1" applyAlignment="1">
      <alignment horizontal="right" vertical="center"/>
    </xf>
    <xf numFmtId="0" fontId="0" fillId="0" borderId="3" xfId="0" applyBorder="1"/>
    <xf numFmtId="0" fontId="0" fillId="5" borderId="0" xfId="0" applyFill="1"/>
    <xf numFmtId="0" fontId="23" fillId="5" borderId="0" xfId="0" applyFont="1" applyFill="1" applyAlignment="1">
      <alignment horizontal="center" vertical="top" textRotation="180"/>
    </xf>
    <xf numFmtId="0" fontId="0" fillId="5" borderId="0" xfId="0" applyFill="1" applyAlignment="1">
      <alignment horizontal="left" wrapText="1"/>
    </xf>
    <xf numFmtId="165" fontId="20" fillId="5" borderId="3" xfId="0" applyNumberFormat="1" applyFont="1" applyFill="1" applyBorder="1" applyAlignment="1">
      <alignment horizontal="right" vertical="center"/>
    </xf>
    <xf numFmtId="165" fontId="0" fillId="5" borderId="0" xfId="0" applyNumberFormat="1" applyFill="1" applyAlignment="1">
      <alignment horizontal="right"/>
    </xf>
    <xf numFmtId="0" fontId="20" fillId="8" borderId="1" xfId="0" applyFont="1" applyFill="1" applyBorder="1" applyAlignment="1">
      <alignment horizontal="right" vertical="center"/>
    </xf>
    <xf numFmtId="165" fontId="17" fillId="0" borderId="0" xfId="0" applyNumberFormat="1" applyFont="1" applyAlignment="1">
      <alignment horizontal="right"/>
    </xf>
    <xf numFmtId="0" fontId="19" fillId="5" borderId="0" xfId="0" applyFont="1" applyFill="1" applyAlignment="1">
      <alignment horizontal="center" vertical="center"/>
    </xf>
    <xf numFmtId="0" fontId="48" fillId="12" borderId="21" xfId="0" applyFont="1" applyFill="1" applyBorder="1" applyAlignment="1" applyProtection="1">
      <alignment horizontal="center" vertical="center" textRotation="90"/>
      <protection hidden="1"/>
    </xf>
    <xf numFmtId="0" fontId="20" fillId="10" borderId="17" xfId="0" applyFont="1" applyFill="1" applyBorder="1" applyAlignment="1">
      <alignment horizontal="left"/>
    </xf>
    <xf numFmtId="0" fontId="20" fillId="10" borderId="13" xfId="0" applyFont="1" applyFill="1" applyBorder="1" applyAlignment="1">
      <alignment horizontal="left"/>
    </xf>
    <xf numFmtId="165" fontId="20" fillId="5" borderId="13" xfId="0" applyNumberFormat="1" applyFont="1" applyFill="1" applyBorder="1" applyAlignment="1">
      <alignment horizontal="right" vertical="center"/>
    </xf>
    <xf numFmtId="165" fontId="20" fillId="5" borderId="18" xfId="0" applyNumberFormat="1" applyFont="1" applyFill="1" applyBorder="1" applyAlignment="1">
      <alignment horizontal="right" vertical="center"/>
    </xf>
    <xf numFmtId="165" fontId="40" fillId="0" borderId="0" xfId="0" applyNumberFormat="1" applyFont="1" applyAlignment="1">
      <alignment horizontal="right"/>
    </xf>
    <xf numFmtId="0" fontId="20" fillId="10" borderId="15" xfId="0" applyFont="1" applyFill="1" applyBorder="1" applyAlignment="1">
      <alignment horizontal="left"/>
    </xf>
    <xf numFmtId="0" fontId="20" fillId="10" borderId="14" xfId="0" applyFont="1" applyFill="1" applyBorder="1" applyAlignment="1">
      <alignment horizontal="left"/>
    </xf>
    <xf numFmtId="165" fontId="20" fillId="5" borderId="14" xfId="0" applyNumberFormat="1" applyFont="1" applyFill="1" applyBorder="1" applyAlignment="1">
      <alignment horizontal="right" vertical="center"/>
    </xf>
    <xf numFmtId="165" fontId="20" fillId="5" borderId="16" xfId="0" applyNumberFormat="1" applyFont="1" applyFill="1" applyBorder="1" applyAlignment="1">
      <alignment horizontal="right" vertical="center"/>
    </xf>
    <xf numFmtId="0" fontId="20" fillId="10" borderId="0" xfId="0" applyFont="1" applyFill="1" applyAlignment="1">
      <alignment horizontal="left"/>
    </xf>
    <xf numFmtId="0" fontId="20" fillId="0" borderId="0" xfId="0" applyFont="1" applyAlignment="1">
      <alignment horizontal="left"/>
    </xf>
    <xf numFmtId="0" fontId="20" fillId="13" borderId="7" xfId="0" applyFont="1" applyFill="1" applyBorder="1" applyAlignment="1">
      <alignment horizontal="left"/>
    </xf>
    <xf numFmtId="0" fontId="20" fillId="12" borderId="0" xfId="0" applyFont="1" applyFill="1" applyAlignment="1">
      <alignment horizontal="left"/>
    </xf>
    <xf numFmtId="0" fontId="0" fillId="5" borderId="8" xfId="0" applyFill="1" applyBorder="1" applyAlignment="1">
      <alignment horizontal="left" wrapText="1"/>
    </xf>
    <xf numFmtId="0" fontId="0" fillId="5" borderId="9" xfId="0" applyFill="1" applyBorder="1" applyAlignment="1">
      <alignment horizontal="left" wrapText="1"/>
    </xf>
    <xf numFmtId="0" fontId="0" fillId="5" borderId="10" xfId="0" applyFill="1" applyBorder="1" applyAlignment="1">
      <alignment horizontal="left" wrapText="1"/>
    </xf>
    <xf numFmtId="0" fontId="0" fillId="5" borderId="8" xfId="0" applyFill="1" applyBorder="1" applyAlignment="1">
      <alignment horizontal="left"/>
    </xf>
    <xf numFmtId="0" fontId="0" fillId="5" borderId="9" xfId="0" applyFill="1" applyBorder="1" applyAlignment="1">
      <alignment horizontal="left"/>
    </xf>
    <xf numFmtId="0" fontId="0" fillId="5" borderId="10" xfId="0" applyFill="1" applyBorder="1" applyAlignment="1">
      <alignment horizontal="left"/>
    </xf>
    <xf numFmtId="0" fontId="20" fillId="10" borderId="0" xfId="0" applyFont="1" applyFill="1" applyAlignment="1">
      <alignment horizontal="left" wrapText="1"/>
    </xf>
    <xf numFmtId="0" fontId="20" fillId="14" borderId="19" xfId="0" applyFont="1" applyFill="1" applyBorder="1" applyAlignment="1">
      <alignment horizontal="right" vertical="center"/>
    </xf>
    <xf numFmtId="0" fontId="20" fillId="14" borderId="20" xfId="0" applyFont="1" applyFill="1" applyBorder="1" applyAlignment="1">
      <alignment horizontal="right" vertical="center"/>
    </xf>
    <xf numFmtId="0" fontId="20" fillId="14" borderId="11" xfId="0" applyFont="1" applyFill="1" applyBorder="1" applyAlignment="1">
      <alignment horizontal="right" vertical="center"/>
    </xf>
    <xf numFmtId="0" fontId="20" fillId="14" borderId="12" xfId="0" applyFont="1" applyFill="1" applyBorder="1" applyAlignment="1">
      <alignment horizontal="right" vertical="center"/>
    </xf>
    <xf numFmtId="0" fontId="20" fillId="10" borderId="22" xfId="0" applyFont="1" applyFill="1" applyBorder="1" applyAlignment="1">
      <alignment horizontal="left"/>
    </xf>
    <xf numFmtId="0" fontId="51" fillId="12" borderId="0" xfId="0" applyFont="1" applyFill="1" applyAlignment="1" applyProtection="1">
      <alignment horizontal="left" wrapText="1"/>
      <protection hidden="1"/>
    </xf>
    <xf numFmtId="9" fontId="0" fillId="5" borderId="0" xfId="0" applyNumberFormat="1" applyFill="1" applyAlignment="1">
      <alignment horizontal="right"/>
    </xf>
    <xf numFmtId="0" fontId="16" fillId="3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center" wrapText="1"/>
    </xf>
    <xf numFmtId="0" fontId="20" fillId="14" borderId="0" xfId="0" applyFont="1" applyFill="1" applyAlignment="1" applyProtection="1">
      <alignment vertical="center"/>
      <protection locked="0"/>
    </xf>
    <xf numFmtId="0" fontId="42" fillId="13" borderId="0" xfId="0" applyFont="1" applyFill="1" applyAlignment="1" applyProtection="1">
      <alignment vertical="center"/>
      <protection locked="0"/>
    </xf>
    <xf numFmtId="0" fontId="20" fillId="15" borderId="7" xfId="0" applyFont="1" applyFill="1" applyBorder="1" applyAlignment="1" applyProtection="1">
      <alignment horizontal="left"/>
      <protection locked="0"/>
    </xf>
    <xf numFmtId="0" fontId="53" fillId="11" borderId="0" xfId="0" applyFont="1" applyFill="1"/>
    <xf numFmtId="0" fontId="53" fillId="12" borderId="0" xfId="0" applyFont="1" applyFill="1"/>
    <xf numFmtId="165" fontId="0" fillId="5" borderId="1" xfId="1" applyNumberFormat="1" applyFont="1" applyFill="1" applyBorder="1" applyProtection="1"/>
    <xf numFmtId="8" fontId="1" fillId="0" borderId="7" xfId="1" applyNumberFormat="1" applyFont="1" applyFill="1" applyBorder="1" applyAlignment="1" applyProtection="1">
      <alignment horizontal="right" vertical="center"/>
    </xf>
    <xf numFmtId="8" fontId="41" fillId="12" borderId="7" xfId="1" applyNumberFormat="1" applyFont="1" applyFill="1" applyBorder="1" applyAlignment="1" applyProtection="1">
      <alignment horizontal="right"/>
    </xf>
    <xf numFmtId="8" fontId="53" fillId="0" borderId="7" xfId="1" applyNumberFormat="1" applyFont="1" applyFill="1" applyBorder="1" applyAlignment="1" applyProtection="1">
      <alignment horizontal="right" vertical="center"/>
    </xf>
    <xf numFmtId="165" fontId="53" fillId="5" borderId="1" xfId="1" applyNumberFormat="1" applyFont="1" applyFill="1" applyBorder="1" applyProtection="1"/>
    <xf numFmtId="165" fontId="0" fillId="5" borderId="0" xfId="1" applyNumberFormat="1" applyFont="1" applyFill="1" applyProtection="1"/>
  </cellXfs>
  <cellStyles count="3">
    <cellStyle name="Excel Built-in Normal" xfId="2" xr:uid="{00000000-0005-0000-0000-000000000000}"/>
    <cellStyle name="Normalny" xfId="0" builtinId="0" customBuiltin="1"/>
    <cellStyle name="Walutowy" xfId="1" builtinId="4" customBuiltin="1"/>
  </cellStyles>
  <dxfs count="2">
    <dxf>
      <font>
        <color rgb="FFEE4423"/>
      </font>
      <fill>
        <patternFill patternType="solid">
          <bgColor theme="0"/>
        </patternFill>
      </fill>
    </dxf>
    <dxf>
      <font>
        <color rgb="FFEE4423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sv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jpeg"/><Relationship Id="rId26" Type="http://schemas.openxmlformats.org/officeDocument/2006/relationships/image" Target="../media/image30.png"/><Relationship Id="rId3" Type="http://schemas.openxmlformats.org/officeDocument/2006/relationships/image" Target="../media/image4.png"/><Relationship Id="rId21" Type="http://schemas.openxmlformats.org/officeDocument/2006/relationships/image" Target="../media/image25.jpeg"/><Relationship Id="rId7" Type="http://schemas.openxmlformats.org/officeDocument/2006/relationships/image" Target="../media/image10.svg"/><Relationship Id="rId12" Type="http://schemas.openxmlformats.org/officeDocument/2006/relationships/image" Target="../media/image16.png"/><Relationship Id="rId17" Type="http://schemas.openxmlformats.org/officeDocument/2006/relationships/image" Target="../media/image21.jpeg"/><Relationship Id="rId25" Type="http://schemas.openxmlformats.org/officeDocument/2006/relationships/image" Target="../media/image29.png"/><Relationship Id="rId2" Type="http://schemas.openxmlformats.org/officeDocument/2006/relationships/image" Target="../media/image3.png"/><Relationship Id="rId16" Type="http://schemas.openxmlformats.org/officeDocument/2006/relationships/image" Target="../media/image20.jpe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11" Type="http://schemas.openxmlformats.org/officeDocument/2006/relationships/image" Target="../media/image15.png"/><Relationship Id="rId24" Type="http://schemas.openxmlformats.org/officeDocument/2006/relationships/image" Target="../media/image28.jpeg"/><Relationship Id="rId5" Type="http://schemas.openxmlformats.org/officeDocument/2006/relationships/image" Target="../media/image8.png"/><Relationship Id="rId15" Type="http://schemas.openxmlformats.org/officeDocument/2006/relationships/image" Target="../media/image19.png"/><Relationship Id="rId23" Type="http://schemas.openxmlformats.org/officeDocument/2006/relationships/image" Target="../media/image27.jpg"/><Relationship Id="rId28" Type="http://schemas.openxmlformats.org/officeDocument/2006/relationships/image" Target="../media/image32.svg"/><Relationship Id="rId10" Type="http://schemas.openxmlformats.org/officeDocument/2006/relationships/image" Target="../media/image14.png"/><Relationship Id="rId19" Type="http://schemas.openxmlformats.org/officeDocument/2006/relationships/image" Target="../media/image23.jpeg"/><Relationship Id="rId4" Type="http://schemas.openxmlformats.org/officeDocument/2006/relationships/image" Target="../media/image7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sv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jpeg"/><Relationship Id="rId3" Type="http://schemas.openxmlformats.org/officeDocument/2006/relationships/image" Target="../media/image4.png"/><Relationship Id="rId21" Type="http://schemas.openxmlformats.org/officeDocument/2006/relationships/image" Target="../media/image24.png"/><Relationship Id="rId7" Type="http://schemas.openxmlformats.org/officeDocument/2006/relationships/image" Target="../media/image10.sv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" Type="http://schemas.openxmlformats.org/officeDocument/2006/relationships/image" Target="../media/image3.png"/><Relationship Id="rId16" Type="http://schemas.openxmlformats.org/officeDocument/2006/relationships/image" Target="../media/image19.png"/><Relationship Id="rId20" Type="http://schemas.openxmlformats.org/officeDocument/2006/relationships/image" Target="../media/image23.jpe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jp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10" Type="http://schemas.openxmlformats.org/officeDocument/2006/relationships/image" Target="../media/image13.png"/><Relationship Id="rId19" Type="http://schemas.openxmlformats.org/officeDocument/2006/relationships/image" Target="../media/image22.jpe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5980</xdr:rowOff>
    </xdr:from>
    <xdr:ext cx="4187695" cy="1840751"/>
    <xdr:pic>
      <xdr:nvPicPr>
        <xdr:cNvPr id="2" name="Obraz 1">
          <a:extLst>
            <a:ext uri="{FF2B5EF4-FFF2-40B4-BE49-F238E27FC236}">
              <a16:creationId xmlns:a16="http://schemas.microsoft.com/office/drawing/2014/main" id="{B9581E68-55CE-4C18-931E-56703C6F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98436"/>
        <a:stretch>
          <a:fillRect/>
        </a:stretch>
      </xdr:blipFill>
      <xdr:spPr>
        <a:xfrm>
          <a:off x="209550" y="434605"/>
          <a:ext cx="4187695" cy="18407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7</xdr:col>
      <xdr:colOff>813203</xdr:colOff>
      <xdr:row>1</xdr:row>
      <xdr:rowOff>20061</xdr:rowOff>
    </xdr:from>
    <xdr:ext cx="4027035" cy="1842735"/>
    <xdr:pic>
      <xdr:nvPicPr>
        <xdr:cNvPr id="3" name="Obraz 2">
          <a:extLst>
            <a:ext uri="{FF2B5EF4-FFF2-40B4-BE49-F238E27FC236}">
              <a16:creationId xmlns:a16="http://schemas.microsoft.com/office/drawing/2014/main" id="{CA752B7F-C4D1-4391-927C-CDFA6377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9878" y="448686"/>
          <a:ext cx="4027035" cy="184273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224119</xdr:colOff>
      <xdr:row>1</xdr:row>
      <xdr:rowOff>3401</xdr:rowOff>
    </xdr:from>
    <xdr:ext cx="1822289" cy="1858463"/>
    <xdr:pic>
      <xdr:nvPicPr>
        <xdr:cNvPr id="4" name="Obraz 4">
          <a:extLst>
            <a:ext uri="{FF2B5EF4-FFF2-40B4-BE49-F238E27FC236}">
              <a16:creationId xmlns:a16="http://schemas.microsoft.com/office/drawing/2014/main" id="{9506650B-9F7F-433C-92E0-B85D1FB7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9969" y="432026"/>
          <a:ext cx="1822289" cy="185846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100858</xdr:colOff>
      <xdr:row>2</xdr:row>
      <xdr:rowOff>112059</xdr:rowOff>
    </xdr:from>
    <xdr:ext cx="922757" cy="257732"/>
    <xdr:sp macro="" textlink="">
      <xdr:nvSpPr>
        <xdr:cNvPr id="5" name="pole tekstowe 5">
          <a:extLst>
            <a:ext uri="{FF2B5EF4-FFF2-40B4-BE49-F238E27FC236}">
              <a16:creationId xmlns:a16="http://schemas.microsoft.com/office/drawing/2014/main" id="{F591037E-F930-475F-9F12-8C0544333EE2}"/>
            </a:ext>
          </a:extLst>
        </xdr:cNvPr>
        <xdr:cNvSpPr txBox="1"/>
      </xdr:nvSpPr>
      <xdr:spPr>
        <a:xfrm>
          <a:off x="1100983" y="731184"/>
          <a:ext cx="922757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16</xdr:col>
      <xdr:colOff>240368</xdr:colOff>
      <xdr:row>8</xdr:row>
      <xdr:rowOff>201707</xdr:rowOff>
    </xdr:from>
    <xdr:ext cx="999055" cy="257732"/>
    <xdr:sp macro="" textlink="">
      <xdr:nvSpPr>
        <xdr:cNvPr id="6" name="pole tekstowe 6">
          <a:extLst>
            <a:ext uri="{FF2B5EF4-FFF2-40B4-BE49-F238E27FC236}">
              <a16:creationId xmlns:a16="http://schemas.microsoft.com/office/drawing/2014/main" id="{5B7BF61E-DB0C-4C15-A7A8-8FC97E68F3B1}"/>
            </a:ext>
          </a:extLst>
        </xdr:cNvPr>
        <xdr:cNvSpPr txBox="1"/>
      </xdr:nvSpPr>
      <xdr:spPr>
        <a:xfrm>
          <a:off x="9736793" y="1963832"/>
          <a:ext cx="999055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wersja:05.2020</a:t>
          </a:r>
        </a:p>
      </xdr:txBody>
    </xdr:sp>
    <xdr:clientData/>
  </xdr:oneCellAnchor>
  <xdr:oneCellAnchor>
    <xdr:from>
      <xdr:col>2</xdr:col>
      <xdr:colOff>422617</xdr:colOff>
      <xdr:row>9</xdr:row>
      <xdr:rowOff>199768</xdr:rowOff>
    </xdr:from>
    <xdr:ext cx="3038962" cy="224375"/>
    <xdr:sp macro="" textlink="">
      <xdr:nvSpPr>
        <xdr:cNvPr id="7" name="Prostokąt zaokrąglony 16">
          <a:extLst>
            <a:ext uri="{FF2B5EF4-FFF2-40B4-BE49-F238E27FC236}">
              <a16:creationId xmlns:a16="http://schemas.microsoft.com/office/drawing/2014/main" id="{2D713F10-C486-498D-8490-C8574F22C829}"/>
            </a:ext>
          </a:extLst>
        </xdr:cNvPr>
        <xdr:cNvSpPr/>
      </xdr:nvSpPr>
      <xdr:spPr>
        <a:xfrm>
          <a:off x="860767" y="2485768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112059</xdr:colOff>
      <xdr:row>1</xdr:row>
      <xdr:rowOff>145673</xdr:rowOff>
    </xdr:from>
    <xdr:ext cx="1109551" cy="241941"/>
    <xdr:pic>
      <xdr:nvPicPr>
        <xdr:cNvPr id="8" name="Obraz 8" descr="Znalezione obrazy dla zapytania logo viessmann">
          <a:extLst>
            <a:ext uri="{FF2B5EF4-FFF2-40B4-BE49-F238E27FC236}">
              <a16:creationId xmlns:a16="http://schemas.microsoft.com/office/drawing/2014/main" id="{AE2F8915-201C-4E1B-8210-8E37DCA3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21609" y="574298"/>
          <a:ext cx="1109551" cy="2419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112059</xdr:colOff>
      <xdr:row>0</xdr:row>
      <xdr:rowOff>134480</xdr:rowOff>
    </xdr:from>
    <xdr:ext cx="737692" cy="180264"/>
    <xdr:pic>
      <xdr:nvPicPr>
        <xdr:cNvPr id="9" name="Obraz 9" descr="Znalezione obrazy dla zapytania logo viessmann">
          <a:extLst>
            <a:ext uri="{FF2B5EF4-FFF2-40B4-BE49-F238E27FC236}">
              <a16:creationId xmlns:a16="http://schemas.microsoft.com/office/drawing/2014/main" id="{F7E8EEA8-8EA8-493E-BF66-24F0DDB29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21609" y="134480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336179</xdr:colOff>
      <xdr:row>125</xdr:row>
      <xdr:rowOff>189939</xdr:rowOff>
    </xdr:from>
    <xdr:ext cx="810697" cy="2240"/>
    <xdr:sp macro="" textlink="">
      <xdr:nvSpPr>
        <xdr:cNvPr id="10" name="pole tekstowe 10">
          <a:extLst>
            <a:ext uri="{FF2B5EF4-FFF2-40B4-BE49-F238E27FC236}">
              <a16:creationId xmlns:a16="http://schemas.microsoft.com/office/drawing/2014/main" id="{34AC1C8F-88E3-47FC-97A0-C1728663266D}"/>
            </a:ext>
          </a:extLst>
        </xdr:cNvPr>
        <xdr:cNvSpPr txBox="1"/>
      </xdr:nvSpPr>
      <xdr:spPr>
        <a:xfrm>
          <a:off x="774329" y="26517039"/>
          <a:ext cx="810697" cy="2240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3</xdr:col>
      <xdr:colOff>336179</xdr:colOff>
      <xdr:row>97</xdr:row>
      <xdr:rowOff>189939</xdr:rowOff>
    </xdr:from>
    <xdr:ext cx="1001203" cy="2240"/>
    <xdr:sp macro="" textlink="">
      <xdr:nvSpPr>
        <xdr:cNvPr id="11" name="pole tekstowe 12">
          <a:extLst>
            <a:ext uri="{FF2B5EF4-FFF2-40B4-BE49-F238E27FC236}">
              <a16:creationId xmlns:a16="http://schemas.microsoft.com/office/drawing/2014/main" id="{65F6A879-224A-4913-BAD1-A3580A743642}"/>
            </a:ext>
          </a:extLst>
        </xdr:cNvPr>
        <xdr:cNvSpPr txBox="1"/>
      </xdr:nvSpPr>
      <xdr:spPr>
        <a:xfrm>
          <a:off x="1336304" y="18373164"/>
          <a:ext cx="1001203" cy="2240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3</xdr:col>
      <xdr:colOff>33622</xdr:colOff>
      <xdr:row>98</xdr:row>
      <xdr:rowOff>100849</xdr:rowOff>
    </xdr:from>
    <xdr:ext cx="957001" cy="268943"/>
    <xdr:sp macro="" textlink="">
      <xdr:nvSpPr>
        <xdr:cNvPr id="12" name="pole tekstowe 13">
          <a:extLst>
            <a:ext uri="{FF2B5EF4-FFF2-40B4-BE49-F238E27FC236}">
              <a16:creationId xmlns:a16="http://schemas.microsoft.com/office/drawing/2014/main" id="{7DA6D5A1-AB3F-4418-899A-3701E44792D8}"/>
            </a:ext>
          </a:extLst>
        </xdr:cNvPr>
        <xdr:cNvSpPr txBox="1"/>
      </xdr:nvSpPr>
      <xdr:spPr>
        <a:xfrm>
          <a:off x="1033747" y="18474574"/>
          <a:ext cx="957001" cy="26894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15</xdr:col>
      <xdr:colOff>98618</xdr:colOff>
      <xdr:row>0</xdr:row>
      <xdr:rowOff>100849</xdr:rowOff>
    </xdr:from>
    <xdr:ext cx="1412199" cy="268239"/>
    <xdr:sp macro="" textlink="">
      <xdr:nvSpPr>
        <xdr:cNvPr id="13" name="Prostokąt: zaokrąglone rogi 14">
          <a:extLst>
            <a:ext uri="{FF2B5EF4-FFF2-40B4-BE49-F238E27FC236}">
              <a16:creationId xmlns:a16="http://schemas.microsoft.com/office/drawing/2014/main" id="{B618B63E-7E0B-4093-89E9-CF2218F18250}"/>
            </a:ext>
          </a:extLst>
        </xdr:cNvPr>
        <xdr:cNvSpPr/>
      </xdr:nvSpPr>
      <xdr:spPr>
        <a:xfrm>
          <a:off x="9271193" y="100849"/>
          <a:ext cx="1412199" cy="268239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solidFill>
          <a:srgbClr val="7F7F7F"/>
        </a:solidFill>
        <a:ln w="12701" cap="flat">
          <a:solidFill>
            <a:srgbClr val="FFFFFF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FFFFFF"/>
              </a:solidFill>
              <a:uFillTx/>
              <a:latin typeface="Calibri"/>
            </a:rPr>
            <a:t>Drukuj arkusz</a:t>
          </a:r>
        </a:p>
      </xdr:txBody>
    </xdr:sp>
    <xdr:clientData/>
  </xdr:oneCellAnchor>
  <xdr:oneCellAnchor>
    <xdr:from>
      <xdr:col>16</xdr:col>
      <xdr:colOff>847639</xdr:colOff>
      <xdr:row>0</xdr:row>
      <xdr:rowOff>129808</xdr:rowOff>
    </xdr:from>
    <xdr:ext cx="225783" cy="209772"/>
    <xdr:pic>
      <xdr:nvPicPr>
        <xdr:cNvPr id="14" name="Grafika 15" descr="Drukarka">
          <a:extLst>
            <a:ext uri="{FF2B5EF4-FFF2-40B4-BE49-F238E27FC236}">
              <a16:creationId xmlns:a16="http://schemas.microsoft.com/office/drawing/2014/main" id="{C168428E-B7DD-465D-A204-24781E54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0344064" y="129808"/>
          <a:ext cx="225783" cy="20977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255748</xdr:colOff>
      <xdr:row>97</xdr:row>
      <xdr:rowOff>157651</xdr:rowOff>
    </xdr:from>
    <xdr:ext cx="1676369" cy="257732"/>
    <xdr:sp macro="" textlink="">
      <xdr:nvSpPr>
        <xdr:cNvPr id="15" name="Prostokąt: zaokrąglone rogi 16">
          <a:extLst>
            <a:ext uri="{FF2B5EF4-FFF2-40B4-BE49-F238E27FC236}">
              <a16:creationId xmlns:a16="http://schemas.microsoft.com/office/drawing/2014/main" id="{EBD825CB-4901-4154-8410-F9DB25EFFE5C}"/>
            </a:ext>
          </a:extLst>
        </xdr:cNvPr>
        <xdr:cNvSpPr/>
      </xdr:nvSpPr>
      <xdr:spPr>
        <a:xfrm>
          <a:off x="8961598" y="18340876"/>
          <a:ext cx="1676369" cy="257732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solidFill>
          <a:srgbClr val="7F7F7F"/>
        </a:solidFill>
        <a:ln w="12701" cap="flat">
          <a:solidFill>
            <a:srgbClr val="FFFFFF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FFFFFF"/>
              </a:solidFill>
              <a:uFillTx/>
              <a:latin typeface="Calibri"/>
            </a:rPr>
            <a:t>Drukuj arkusz</a:t>
          </a:r>
        </a:p>
      </xdr:txBody>
    </xdr:sp>
    <xdr:clientData/>
  </xdr:oneCellAnchor>
  <xdr:oneCellAnchor>
    <xdr:from>
      <xdr:col>16</xdr:col>
      <xdr:colOff>782013</xdr:colOff>
      <xdr:row>97</xdr:row>
      <xdr:rowOff>178326</xdr:rowOff>
    </xdr:from>
    <xdr:ext cx="220178" cy="227621"/>
    <xdr:pic>
      <xdr:nvPicPr>
        <xdr:cNvPr id="16" name="Grafika 17" descr="Drukarka">
          <a:extLst>
            <a:ext uri="{FF2B5EF4-FFF2-40B4-BE49-F238E27FC236}">
              <a16:creationId xmlns:a16="http://schemas.microsoft.com/office/drawing/2014/main" id="{CFC422E8-F44E-40F5-BE87-4530054B9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0278438" y="18361551"/>
          <a:ext cx="220178" cy="22762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156883</xdr:colOff>
      <xdr:row>97</xdr:row>
      <xdr:rowOff>112059</xdr:rowOff>
    </xdr:from>
    <xdr:ext cx="1268336" cy="276477"/>
    <xdr:pic>
      <xdr:nvPicPr>
        <xdr:cNvPr id="17" name="Obraz 19" descr="Znalezione obrazy dla zapytania logo viessmann">
          <a:extLst>
            <a:ext uri="{FF2B5EF4-FFF2-40B4-BE49-F238E27FC236}">
              <a16:creationId xmlns:a16="http://schemas.microsoft.com/office/drawing/2014/main" id="{D3FFD221-1253-4341-B219-4DD66EE1A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366433" y="18295284"/>
          <a:ext cx="1268336" cy="27647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385538</xdr:colOff>
      <xdr:row>4</xdr:row>
      <xdr:rowOff>33613</xdr:rowOff>
    </xdr:from>
    <xdr:ext cx="4563587" cy="672349"/>
    <xdr:sp macro="" textlink="">
      <xdr:nvSpPr>
        <xdr:cNvPr id="18" name="pole tekstowe 20">
          <a:extLst>
            <a:ext uri="{FF2B5EF4-FFF2-40B4-BE49-F238E27FC236}">
              <a16:creationId xmlns:a16="http://schemas.microsoft.com/office/drawing/2014/main" id="{298B0C19-A179-47E9-8351-BEB8F4860188}"/>
            </a:ext>
          </a:extLst>
        </xdr:cNvPr>
        <xdr:cNvSpPr txBox="1"/>
      </xdr:nvSpPr>
      <xdr:spPr>
        <a:xfrm>
          <a:off x="823688" y="1033738"/>
          <a:ext cx="4563587" cy="672349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Arkusz doboru elementów montażowych</a:t>
          </a:r>
          <a:b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</a:b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dla instalacji fotowoltaicznej Vitovolt</a:t>
          </a:r>
        </a:p>
      </xdr:txBody>
    </xdr:sp>
    <xdr:clientData/>
  </xdr:oneCellAnchor>
  <xdr:oneCellAnchor>
    <xdr:from>
      <xdr:col>8</xdr:col>
      <xdr:colOff>67235</xdr:colOff>
      <xdr:row>21</xdr:row>
      <xdr:rowOff>134471</xdr:rowOff>
    </xdr:from>
    <xdr:ext cx="4568589" cy="2622133"/>
    <xdr:pic>
      <xdr:nvPicPr>
        <xdr:cNvPr id="19" name="Obraz 24">
          <a:extLst>
            <a:ext uri="{FF2B5EF4-FFF2-40B4-BE49-F238E27FC236}">
              <a16:creationId xmlns:a16="http://schemas.microsoft.com/office/drawing/2014/main" id="{1830A940-8AF1-44E8-AD76-3E43C0EF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6407" t="26475" r="7663" b="23877"/>
        <a:stretch>
          <a:fillRect/>
        </a:stretch>
      </xdr:blipFill>
      <xdr:spPr>
        <a:xfrm>
          <a:off x="5077385" y="5049371"/>
          <a:ext cx="4568589" cy="262213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3613</xdr:colOff>
      <xdr:row>24</xdr:row>
      <xdr:rowOff>28125</xdr:rowOff>
    </xdr:from>
    <xdr:ext cx="1389531" cy="264563"/>
    <xdr:sp macro="" textlink="">
      <xdr:nvSpPr>
        <xdr:cNvPr id="20" name="pole tekstowe 25">
          <a:extLst>
            <a:ext uri="{FF2B5EF4-FFF2-40B4-BE49-F238E27FC236}">
              <a16:creationId xmlns:a16="http://schemas.microsoft.com/office/drawing/2014/main" id="{591E4895-57CB-44C6-96A9-993F31D8680C}"/>
            </a:ext>
          </a:extLst>
        </xdr:cNvPr>
        <xdr:cNvSpPr txBox="1"/>
      </xdr:nvSpPr>
      <xdr:spPr>
        <a:xfrm rot="20248982">
          <a:off x="8709463" y="5514525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1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128638</xdr:colOff>
      <xdr:row>25</xdr:row>
      <xdr:rowOff>3747</xdr:rowOff>
    </xdr:from>
    <xdr:ext cx="1389531" cy="264563"/>
    <xdr:sp macro="" textlink="">
      <xdr:nvSpPr>
        <xdr:cNvPr id="21" name="pole tekstowe 26">
          <a:extLst>
            <a:ext uri="{FF2B5EF4-FFF2-40B4-BE49-F238E27FC236}">
              <a16:creationId xmlns:a16="http://schemas.microsoft.com/office/drawing/2014/main" id="{6BBE9752-F608-432B-A0E7-4978063ED65D}"/>
            </a:ext>
          </a:extLst>
        </xdr:cNvPr>
        <xdr:cNvSpPr txBox="1"/>
      </xdr:nvSpPr>
      <xdr:spPr>
        <a:xfrm rot="20248982">
          <a:off x="8834488" y="5680647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2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258840</xdr:colOff>
      <xdr:row>25</xdr:row>
      <xdr:rowOff>170698</xdr:rowOff>
    </xdr:from>
    <xdr:ext cx="1389531" cy="264563"/>
    <xdr:sp macro="" textlink="">
      <xdr:nvSpPr>
        <xdr:cNvPr id="22" name="pole tekstowe 27">
          <a:extLst>
            <a:ext uri="{FF2B5EF4-FFF2-40B4-BE49-F238E27FC236}">
              <a16:creationId xmlns:a16="http://schemas.microsoft.com/office/drawing/2014/main" id="{BC2A9D27-41A9-4475-A721-31E81983C7BF}"/>
            </a:ext>
          </a:extLst>
        </xdr:cNvPr>
        <xdr:cNvSpPr txBox="1"/>
      </xdr:nvSpPr>
      <xdr:spPr>
        <a:xfrm rot="20248982">
          <a:off x="8964690" y="5847598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3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405180</xdr:colOff>
      <xdr:row>26</xdr:row>
      <xdr:rowOff>140340</xdr:rowOff>
    </xdr:from>
    <xdr:ext cx="1389531" cy="264563"/>
    <xdr:sp macro="" textlink="">
      <xdr:nvSpPr>
        <xdr:cNvPr id="23" name="pole tekstowe 28">
          <a:extLst>
            <a:ext uri="{FF2B5EF4-FFF2-40B4-BE49-F238E27FC236}">
              <a16:creationId xmlns:a16="http://schemas.microsoft.com/office/drawing/2014/main" id="{71D62EC8-3DEE-4ED1-B24D-EE86491410C1}"/>
            </a:ext>
          </a:extLst>
        </xdr:cNvPr>
        <xdr:cNvSpPr txBox="1"/>
      </xdr:nvSpPr>
      <xdr:spPr>
        <a:xfrm rot="20248982">
          <a:off x="9111030" y="6007740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4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7</xdr:col>
      <xdr:colOff>710662</xdr:colOff>
      <xdr:row>22</xdr:row>
      <xdr:rowOff>152219</xdr:rowOff>
    </xdr:from>
    <xdr:ext cx="494352" cy="502892"/>
    <xdr:pic>
      <xdr:nvPicPr>
        <xdr:cNvPr id="24" name="Grafika 29" descr="Strzałki ostrokątne (od prawej do lewej)">
          <a:extLst>
            <a:ext uri="{FF2B5EF4-FFF2-40B4-BE49-F238E27FC236}">
              <a16:creationId xmlns:a16="http://schemas.microsoft.com/office/drawing/2014/main" id="{BEDC2BC1-828E-4865-9077-D5381E759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 rot="10799991">
          <a:off x="4587337" y="5257619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611733</xdr:colOff>
      <xdr:row>13</xdr:row>
      <xdr:rowOff>133410</xdr:rowOff>
    </xdr:from>
    <xdr:ext cx="1952015" cy="1151366"/>
    <xdr:pic>
      <xdr:nvPicPr>
        <xdr:cNvPr id="25" name="Obraz 30">
          <a:extLst>
            <a:ext uri="{FF2B5EF4-FFF2-40B4-BE49-F238E27FC236}">
              <a16:creationId xmlns:a16="http://schemas.microsoft.com/office/drawing/2014/main" id="{44059CE0-68F9-4B09-B198-883DF5099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45883" y="3552885"/>
          <a:ext cx="1952015" cy="115136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438857</xdr:colOff>
      <xdr:row>18</xdr:row>
      <xdr:rowOff>26956</xdr:rowOff>
    </xdr:from>
    <xdr:ext cx="155338" cy="126983"/>
    <xdr:cxnSp macro="">
      <xdr:nvCxnSpPr>
        <xdr:cNvPr id="26" name="Łącznik prosty ze strzałką 31">
          <a:extLst>
            <a:ext uri="{FF2B5EF4-FFF2-40B4-BE49-F238E27FC236}">
              <a16:creationId xmlns:a16="http://schemas.microsoft.com/office/drawing/2014/main" id="{DFD48A4F-36B7-4DCB-AB24-AA16AD4E9372}"/>
            </a:ext>
          </a:extLst>
        </xdr:cNvPr>
        <xdr:cNvCxnSpPr/>
      </xdr:nvCxnSpPr>
      <xdr:spPr>
        <a:xfrm flipV="1">
          <a:off x="9144707" y="4551331"/>
          <a:ext cx="155338" cy="126983"/>
        </a:xfrm>
        <a:prstGeom prst="straightConnector1">
          <a:avLst/>
        </a:prstGeom>
        <a:noFill/>
        <a:ln w="6345" cap="flat">
          <a:solidFill>
            <a:srgbClr val="EF4423"/>
          </a:solidFill>
          <a:prstDash val="solid"/>
          <a:miter/>
          <a:headEnd type="arrow"/>
        </a:ln>
      </xdr:spPr>
    </xdr:cxnSp>
    <xdr:clientData/>
  </xdr:oneCellAnchor>
  <xdr:oneCellAnchor>
    <xdr:from>
      <xdr:col>14</xdr:col>
      <xdr:colOff>166137</xdr:colOff>
      <xdr:row>20</xdr:row>
      <xdr:rowOff>63971</xdr:rowOff>
    </xdr:from>
    <xdr:ext cx="161428" cy="125108"/>
    <xdr:cxnSp macro="">
      <xdr:nvCxnSpPr>
        <xdr:cNvPr id="27" name="Łącznik prosty 32">
          <a:extLst>
            <a:ext uri="{FF2B5EF4-FFF2-40B4-BE49-F238E27FC236}">
              <a16:creationId xmlns:a16="http://schemas.microsoft.com/office/drawing/2014/main" id="{076AC5F7-1056-484C-B0E6-AF425719A023}"/>
            </a:ext>
          </a:extLst>
        </xdr:cNvPr>
        <xdr:cNvCxnSpPr/>
      </xdr:nvCxnSpPr>
      <xdr:spPr>
        <a:xfrm flipV="1">
          <a:off x="8871987" y="4788371"/>
          <a:ext cx="161428" cy="125108"/>
        </a:xfrm>
        <a:prstGeom prst="straightConnector1">
          <a:avLst/>
        </a:prstGeom>
        <a:noFill/>
        <a:ln w="6345" cap="flat">
          <a:solidFill>
            <a:srgbClr val="EF4423"/>
          </a:solidFill>
          <a:prstDash val="solid"/>
          <a:miter/>
          <a:tailEnd type="arrow"/>
        </a:ln>
      </xdr:spPr>
    </xdr:cxnSp>
    <xdr:clientData/>
  </xdr:oneCellAnchor>
  <xdr:oneCellAnchor>
    <xdr:from>
      <xdr:col>14</xdr:col>
      <xdr:colOff>244812</xdr:colOff>
      <xdr:row>18</xdr:row>
      <xdr:rowOff>166685</xdr:rowOff>
    </xdr:from>
    <xdr:ext cx="145591" cy="135103"/>
    <xdr:cxnSp macro="">
      <xdr:nvCxnSpPr>
        <xdr:cNvPr id="28" name="Łącznik prosty 33">
          <a:extLst>
            <a:ext uri="{FF2B5EF4-FFF2-40B4-BE49-F238E27FC236}">
              <a16:creationId xmlns:a16="http://schemas.microsoft.com/office/drawing/2014/main" id="{776A86D2-BADC-48F6-B28B-1834855C8A80}"/>
            </a:ext>
          </a:extLst>
        </xdr:cNvPr>
        <xdr:cNvCxnSpPr/>
      </xdr:nvCxnSpPr>
      <xdr:spPr>
        <a:xfrm>
          <a:off x="8950662" y="4691060"/>
          <a:ext cx="145591" cy="135103"/>
        </a:xfrm>
        <a:prstGeom prst="straightConnector1">
          <a:avLst/>
        </a:prstGeom>
        <a:noFill/>
        <a:ln w="3172" cap="flat">
          <a:solidFill>
            <a:srgbClr val="000000"/>
          </a:solidFill>
          <a:custDash>
            <a:ds d="100000" sp="100000"/>
          </a:custDash>
          <a:miter/>
        </a:ln>
      </xdr:spPr>
    </xdr:cxnSp>
    <xdr:clientData/>
  </xdr:oneCellAnchor>
  <xdr:oneCellAnchor>
    <xdr:from>
      <xdr:col>14</xdr:col>
      <xdr:colOff>347481</xdr:colOff>
      <xdr:row>18</xdr:row>
      <xdr:rowOff>77879</xdr:rowOff>
    </xdr:from>
    <xdr:ext cx="151232" cy="134289"/>
    <xdr:cxnSp macro="">
      <xdr:nvCxnSpPr>
        <xdr:cNvPr id="29" name="Łącznik prosty 34">
          <a:extLst>
            <a:ext uri="{FF2B5EF4-FFF2-40B4-BE49-F238E27FC236}">
              <a16:creationId xmlns:a16="http://schemas.microsoft.com/office/drawing/2014/main" id="{98B81767-EB8B-4FB9-B9FC-23BAF0EB2BD9}"/>
            </a:ext>
          </a:extLst>
        </xdr:cNvPr>
        <xdr:cNvCxnSpPr/>
      </xdr:nvCxnSpPr>
      <xdr:spPr>
        <a:xfrm>
          <a:off x="9053331" y="4602254"/>
          <a:ext cx="151232" cy="134289"/>
        </a:xfrm>
        <a:prstGeom prst="straightConnector1">
          <a:avLst/>
        </a:prstGeom>
        <a:noFill/>
        <a:ln w="3172" cap="flat">
          <a:solidFill>
            <a:srgbClr val="000000"/>
          </a:solidFill>
          <a:custDash>
            <a:ds d="100000" sp="100000"/>
          </a:custDash>
          <a:miter/>
        </a:ln>
      </xdr:spPr>
    </xdr:cxnSp>
    <xdr:clientData/>
  </xdr:oneCellAnchor>
  <xdr:oneCellAnchor>
    <xdr:from>
      <xdr:col>6</xdr:col>
      <xdr:colOff>471098</xdr:colOff>
      <xdr:row>51</xdr:row>
      <xdr:rowOff>140268</xdr:rowOff>
    </xdr:from>
    <xdr:ext cx="691588" cy="652424"/>
    <xdr:pic>
      <xdr:nvPicPr>
        <xdr:cNvPr id="30" name="Obraz 36">
          <a:extLst>
            <a:ext uri="{FF2B5EF4-FFF2-40B4-BE49-F238E27FC236}">
              <a16:creationId xmlns:a16="http://schemas.microsoft.com/office/drawing/2014/main" id="{5CFB19D7-02D8-40B4-B15E-1B66CC99A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28623" y="9865293"/>
          <a:ext cx="691588" cy="65242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651034</xdr:colOff>
      <xdr:row>40</xdr:row>
      <xdr:rowOff>104771</xdr:rowOff>
    </xdr:from>
    <xdr:ext cx="404750" cy="477719"/>
    <xdr:pic>
      <xdr:nvPicPr>
        <xdr:cNvPr id="31" name="Obraz 37">
          <a:extLst>
            <a:ext uri="{FF2B5EF4-FFF2-40B4-BE49-F238E27FC236}">
              <a16:creationId xmlns:a16="http://schemas.microsoft.com/office/drawing/2014/main" id="{BB94AB12-7CFD-45F7-BC68-15A2C506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08559" y="7962896"/>
          <a:ext cx="404750" cy="47771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571500</xdr:colOff>
      <xdr:row>61</xdr:row>
      <xdr:rowOff>49743</xdr:rowOff>
    </xdr:from>
    <xdr:ext cx="486799" cy="380353"/>
    <xdr:pic>
      <xdr:nvPicPr>
        <xdr:cNvPr id="32" name="Obraz 38">
          <a:extLst>
            <a:ext uri="{FF2B5EF4-FFF2-40B4-BE49-F238E27FC236}">
              <a16:creationId xmlns:a16="http://schemas.microsoft.com/office/drawing/2014/main" id="{522AB406-42AB-4489-BB2D-CAFE844B7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29025" y="11413068"/>
          <a:ext cx="486799" cy="3803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581028</xdr:colOff>
      <xdr:row>58</xdr:row>
      <xdr:rowOff>48682</xdr:rowOff>
    </xdr:from>
    <xdr:ext cx="488152" cy="404265"/>
    <xdr:pic>
      <xdr:nvPicPr>
        <xdr:cNvPr id="33" name="Obraz 41">
          <a:extLst>
            <a:ext uri="{FF2B5EF4-FFF2-40B4-BE49-F238E27FC236}">
              <a16:creationId xmlns:a16="http://schemas.microsoft.com/office/drawing/2014/main" id="{639F3776-276F-45E5-8694-BBF95F638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38553" y="10916707"/>
          <a:ext cx="488152" cy="4042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519818</xdr:colOff>
      <xdr:row>56</xdr:row>
      <xdr:rowOff>40215</xdr:rowOff>
    </xdr:from>
    <xdr:ext cx="629728" cy="188384"/>
    <xdr:pic>
      <xdr:nvPicPr>
        <xdr:cNvPr id="34" name="Obraz 42">
          <a:extLst>
            <a:ext uri="{FF2B5EF4-FFF2-40B4-BE49-F238E27FC236}">
              <a16:creationId xmlns:a16="http://schemas.microsoft.com/office/drawing/2014/main" id="{8477EE78-8693-47B2-88F2-07B6410B0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77343" y="10565340"/>
          <a:ext cx="629728" cy="18838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559859</xdr:colOff>
      <xdr:row>49</xdr:row>
      <xdr:rowOff>82049</xdr:rowOff>
    </xdr:from>
    <xdr:ext cx="527453" cy="445321"/>
    <xdr:pic>
      <xdr:nvPicPr>
        <xdr:cNvPr id="35" name="Obraz 43">
          <a:extLst>
            <a:ext uri="{FF2B5EF4-FFF2-40B4-BE49-F238E27FC236}">
              <a16:creationId xmlns:a16="http://schemas.microsoft.com/office/drawing/2014/main" id="{B6666B6A-DECA-4E80-A188-ADB59862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17384" y="9464174"/>
          <a:ext cx="527453" cy="44532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501100</xdr:colOff>
      <xdr:row>45</xdr:row>
      <xdr:rowOff>123828</xdr:rowOff>
    </xdr:from>
    <xdr:ext cx="538654" cy="584530"/>
    <xdr:pic>
      <xdr:nvPicPr>
        <xdr:cNvPr id="36" name="Obraz 40">
          <a:extLst>
            <a:ext uri="{FF2B5EF4-FFF2-40B4-BE49-F238E27FC236}">
              <a16:creationId xmlns:a16="http://schemas.microsoft.com/office/drawing/2014/main" id="{B249D31F-5304-432A-BD5D-31E01B913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58625" y="8858253"/>
          <a:ext cx="538654" cy="58453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558634</xdr:colOff>
      <xdr:row>43</xdr:row>
      <xdr:rowOff>49953</xdr:rowOff>
    </xdr:from>
    <xdr:ext cx="453725" cy="427765"/>
    <xdr:pic>
      <xdr:nvPicPr>
        <xdr:cNvPr id="37" name="Obraz 44">
          <a:extLst>
            <a:ext uri="{FF2B5EF4-FFF2-40B4-BE49-F238E27FC236}">
              <a16:creationId xmlns:a16="http://schemas.microsoft.com/office/drawing/2014/main" id="{A353433D-DFE7-43D8-95E6-C25FA06F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16159" y="8441478"/>
          <a:ext cx="453725" cy="4277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9528</xdr:colOff>
      <xdr:row>1</xdr:row>
      <xdr:rowOff>0</xdr:rowOff>
    </xdr:from>
    <xdr:ext cx="8721154" cy="1848871"/>
    <xdr:pic>
      <xdr:nvPicPr>
        <xdr:cNvPr id="38" name="Obraz 11">
          <a:extLst>
            <a:ext uri="{FF2B5EF4-FFF2-40B4-BE49-F238E27FC236}">
              <a16:creationId xmlns:a16="http://schemas.microsoft.com/office/drawing/2014/main" id="{8D7D1366-8FAD-439B-817E-6FCEBE41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r="18740"/>
        <a:stretch>
          <a:fillRect/>
        </a:stretch>
      </xdr:blipFill>
      <xdr:spPr>
        <a:xfrm>
          <a:off x="219078" y="428625"/>
          <a:ext cx="8721154" cy="184887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530470</xdr:colOff>
      <xdr:row>64</xdr:row>
      <xdr:rowOff>45244</xdr:rowOff>
    </xdr:from>
    <xdr:ext cx="614412" cy="411672"/>
    <xdr:pic>
      <xdr:nvPicPr>
        <xdr:cNvPr id="39" name="Obraz 18">
          <a:extLst>
            <a:ext uri="{FF2B5EF4-FFF2-40B4-BE49-F238E27FC236}">
              <a16:creationId xmlns:a16="http://schemas.microsoft.com/office/drawing/2014/main" id="{97E77C98-10DE-46C6-9C21-AFC12029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87995" y="11941969"/>
          <a:ext cx="614412" cy="41167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447123</xdr:colOff>
      <xdr:row>67</xdr:row>
      <xdr:rowOff>64291</xdr:rowOff>
    </xdr:from>
    <xdr:ext cx="677323" cy="436351"/>
    <xdr:pic>
      <xdr:nvPicPr>
        <xdr:cNvPr id="40" name="Obraz 22">
          <a:extLst>
            <a:ext uri="{FF2B5EF4-FFF2-40B4-BE49-F238E27FC236}">
              <a16:creationId xmlns:a16="http://schemas.microsoft.com/office/drawing/2014/main" id="{9076A872-F253-4FA7-8674-B7D87F839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04648" y="12532516"/>
          <a:ext cx="677323" cy="4363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47621</xdr:colOff>
      <xdr:row>40</xdr:row>
      <xdr:rowOff>107158</xdr:rowOff>
    </xdr:from>
    <xdr:ext cx="428625" cy="427710"/>
    <xdr:pic>
      <xdr:nvPicPr>
        <xdr:cNvPr id="41" name="Obraz 21">
          <a:extLst>
            <a:ext uri="{FF2B5EF4-FFF2-40B4-BE49-F238E27FC236}">
              <a16:creationId xmlns:a16="http://schemas.microsoft.com/office/drawing/2014/main" id="{EAE2C92B-A990-41A5-B38E-1B6030AF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05146" y="7965283"/>
          <a:ext cx="428625" cy="42771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5</xdr:col>
      <xdr:colOff>619121</xdr:colOff>
      <xdr:row>43</xdr:row>
      <xdr:rowOff>11905</xdr:rowOff>
    </xdr:from>
    <xdr:ext cx="600806" cy="593482"/>
    <xdr:pic>
      <xdr:nvPicPr>
        <xdr:cNvPr id="42" name="Obraz 35">
          <a:extLst>
            <a:ext uri="{FF2B5EF4-FFF2-40B4-BE49-F238E27FC236}">
              <a16:creationId xmlns:a16="http://schemas.microsoft.com/office/drawing/2014/main" id="{0C52E76F-39A4-4392-BBD2-DBE9DC1E9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81321" y="8403430"/>
          <a:ext cx="600806" cy="59348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306442</xdr:colOff>
      <xdr:row>44</xdr:row>
      <xdr:rowOff>115653</xdr:rowOff>
    </xdr:from>
    <xdr:ext cx="2929903" cy="2966962"/>
    <xdr:grpSp>
      <xdr:nvGrpSpPr>
        <xdr:cNvPr id="43" name="Grupa 82">
          <a:extLst>
            <a:ext uri="{FF2B5EF4-FFF2-40B4-BE49-F238E27FC236}">
              <a16:creationId xmlns:a16="http://schemas.microsoft.com/office/drawing/2014/main" id="{89CDA20E-D36F-4EF1-8010-4137398998FB}"/>
            </a:ext>
          </a:extLst>
        </xdr:cNvPr>
        <xdr:cNvGrpSpPr/>
      </xdr:nvGrpSpPr>
      <xdr:grpSpPr>
        <a:xfrm>
          <a:off x="7034902" y="8573853"/>
          <a:ext cx="2929903" cy="2966962"/>
          <a:chOff x="6840592" y="8659578"/>
          <a:chExt cx="2929903" cy="2966962"/>
        </a:xfrm>
      </xdr:grpSpPr>
      <xdr:pic>
        <xdr:nvPicPr>
          <xdr:cNvPr id="44" name="Obraz 83">
            <a:extLst>
              <a:ext uri="{FF2B5EF4-FFF2-40B4-BE49-F238E27FC236}">
                <a16:creationId xmlns:a16="http://schemas.microsoft.com/office/drawing/2014/main" id="{9CBB59E6-B64B-4FA4-A4C6-B21392D5CC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rcRect l="9885" t="2185" r="10770" b="3360"/>
          <a:stretch>
            <a:fillRect/>
          </a:stretch>
        </xdr:blipFill>
        <xdr:spPr>
          <a:xfrm>
            <a:off x="7618619" y="8659578"/>
            <a:ext cx="1965850" cy="2966962"/>
          </a:xfrm>
          <a:prstGeom prst="rect">
            <a:avLst/>
          </a:prstGeom>
          <a:noFill/>
          <a:ln cap="flat">
            <a:noFill/>
          </a:ln>
        </xdr:spPr>
      </xdr:pic>
      <xdr:cxnSp macro="">
        <xdr:nvCxnSpPr>
          <xdr:cNvPr id="45" name="Łącznik prosty 84">
            <a:extLst>
              <a:ext uri="{FF2B5EF4-FFF2-40B4-BE49-F238E27FC236}">
                <a16:creationId xmlns:a16="http://schemas.microsoft.com/office/drawing/2014/main" id="{36552BD4-220A-439B-8CF3-361E6115DBD6}"/>
              </a:ext>
            </a:extLst>
          </xdr:cNvPr>
          <xdr:cNvCxnSpPr/>
        </xdr:nvCxnSpPr>
        <xdr:spPr>
          <a:xfrm>
            <a:off x="7486003" y="9227182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6" name="Łącznik prosty 85">
            <a:extLst>
              <a:ext uri="{FF2B5EF4-FFF2-40B4-BE49-F238E27FC236}">
                <a16:creationId xmlns:a16="http://schemas.microsoft.com/office/drawing/2014/main" id="{B42209AB-A1C8-4772-9021-39325F2407D0}"/>
              </a:ext>
            </a:extLst>
          </xdr:cNvPr>
          <xdr:cNvCxnSpPr/>
        </xdr:nvCxnSpPr>
        <xdr:spPr>
          <a:xfrm>
            <a:off x="9502402" y="9227182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7" name="Łącznik prosty 86">
            <a:extLst>
              <a:ext uri="{FF2B5EF4-FFF2-40B4-BE49-F238E27FC236}">
                <a16:creationId xmlns:a16="http://schemas.microsoft.com/office/drawing/2014/main" id="{C08BECE6-2436-401A-AEEF-184648A5B5BE}"/>
              </a:ext>
            </a:extLst>
          </xdr:cNvPr>
          <xdr:cNvCxnSpPr/>
        </xdr:nvCxnSpPr>
        <xdr:spPr>
          <a:xfrm>
            <a:off x="7486717" y="11041251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8" name="Łącznik prosty 87">
            <a:extLst>
              <a:ext uri="{FF2B5EF4-FFF2-40B4-BE49-F238E27FC236}">
                <a16:creationId xmlns:a16="http://schemas.microsoft.com/office/drawing/2014/main" id="{16C9A597-BAAA-4333-85FA-2C166AC4CF02}"/>
              </a:ext>
            </a:extLst>
          </xdr:cNvPr>
          <xdr:cNvCxnSpPr/>
        </xdr:nvCxnSpPr>
        <xdr:spPr>
          <a:xfrm>
            <a:off x="9503115" y="11041251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9" name="Łącznik prosty ze strzałką 88">
            <a:extLst>
              <a:ext uri="{FF2B5EF4-FFF2-40B4-BE49-F238E27FC236}">
                <a16:creationId xmlns:a16="http://schemas.microsoft.com/office/drawing/2014/main" id="{603722F8-C690-4EF8-BAE5-7BEB22CA0F72}"/>
              </a:ext>
            </a:extLst>
          </xdr:cNvPr>
          <xdr:cNvCxnSpPr/>
        </xdr:nvCxnSpPr>
        <xdr:spPr>
          <a:xfrm>
            <a:off x="9770495" y="8712741"/>
            <a:ext cx="0" cy="2854446"/>
          </a:xfrm>
          <a:prstGeom prst="straightConnector1">
            <a:avLst/>
          </a:prstGeom>
          <a:noFill/>
          <a:ln w="19046" cap="flat">
            <a:solidFill>
              <a:srgbClr val="FF0000"/>
            </a:solidFill>
            <a:prstDash val="solid"/>
            <a:miter/>
            <a:headEnd type="arrow"/>
            <a:tailEnd type="arrow"/>
          </a:ln>
        </xdr:spPr>
      </xdr:cxnSp>
      <xdr:cxnSp macro="">
        <xdr:nvCxnSpPr>
          <xdr:cNvPr id="50" name="Łącznik prosty 90">
            <a:extLst>
              <a:ext uri="{FF2B5EF4-FFF2-40B4-BE49-F238E27FC236}">
                <a16:creationId xmlns:a16="http://schemas.microsoft.com/office/drawing/2014/main" id="{FAB451E1-8A94-42CA-8449-8A6E281998C3}"/>
              </a:ext>
            </a:extLst>
          </xdr:cNvPr>
          <xdr:cNvCxnSpPr/>
        </xdr:nvCxnSpPr>
        <xdr:spPr>
          <a:xfrm>
            <a:off x="7348313" y="8714643"/>
            <a:ext cx="0" cy="354677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51" name="Łącznik prosty 91">
            <a:extLst>
              <a:ext uri="{FF2B5EF4-FFF2-40B4-BE49-F238E27FC236}">
                <a16:creationId xmlns:a16="http://schemas.microsoft.com/office/drawing/2014/main" id="{723F8D20-19AA-472B-85EB-0F0B28934659}"/>
              </a:ext>
            </a:extLst>
          </xdr:cNvPr>
          <xdr:cNvCxnSpPr/>
        </xdr:nvCxnSpPr>
        <xdr:spPr>
          <a:xfrm>
            <a:off x="7348313" y="11199900"/>
            <a:ext cx="0" cy="354668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52" name="Łącznik prosty 92">
            <a:extLst>
              <a:ext uri="{FF2B5EF4-FFF2-40B4-BE49-F238E27FC236}">
                <a16:creationId xmlns:a16="http://schemas.microsoft.com/office/drawing/2014/main" id="{82095F72-666B-4A7D-A48B-6C8A7E20669D}"/>
              </a:ext>
            </a:extLst>
          </xdr:cNvPr>
          <xdr:cNvCxnSpPr/>
        </xdr:nvCxnSpPr>
        <xdr:spPr>
          <a:xfrm>
            <a:off x="7348313" y="10848898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53" name="Łącznik prosty 93">
            <a:extLst>
              <a:ext uri="{FF2B5EF4-FFF2-40B4-BE49-F238E27FC236}">
                <a16:creationId xmlns:a16="http://schemas.microsoft.com/office/drawing/2014/main" id="{81088F51-4206-443E-8DE8-DCFB2FA4E839}"/>
              </a:ext>
            </a:extLst>
          </xdr:cNvPr>
          <xdr:cNvCxnSpPr/>
        </xdr:nvCxnSpPr>
        <xdr:spPr>
          <a:xfrm>
            <a:off x="7348313" y="9069320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54" name="Łącznik prosty 94">
            <a:extLst>
              <a:ext uri="{FF2B5EF4-FFF2-40B4-BE49-F238E27FC236}">
                <a16:creationId xmlns:a16="http://schemas.microsoft.com/office/drawing/2014/main" id="{E8BB6452-99F6-4D29-A1FF-5D445006A5CE}"/>
              </a:ext>
            </a:extLst>
          </xdr:cNvPr>
          <xdr:cNvCxnSpPr/>
        </xdr:nvCxnSpPr>
        <xdr:spPr>
          <a:xfrm>
            <a:off x="7348313" y="9423989"/>
            <a:ext cx="0" cy="1424909"/>
          </a:xfrm>
          <a:prstGeom prst="straightConnector1">
            <a:avLst/>
          </a:prstGeom>
          <a:noFill/>
          <a:ln w="127001" cap="flat">
            <a:solidFill>
              <a:srgbClr val="FF0000"/>
            </a:solidFill>
            <a:prstDash val="solid"/>
            <a:miter/>
          </a:ln>
        </xdr:spPr>
      </xdr:cxnSp>
      <xdr:sp macro="" textlink="">
        <xdr:nvSpPr>
          <xdr:cNvPr id="55" name="Symbol zastępczy zawartości 2">
            <a:extLst>
              <a:ext uri="{FF2B5EF4-FFF2-40B4-BE49-F238E27FC236}">
                <a16:creationId xmlns:a16="http://schemas.microsoft.com/office/drawing/2014/main" id="{F749AE9E-83DA-4244-BD07-F1986DA93A41}"/>
              </a:ext>
            </a:extLst>
          </xdr:cNvPr>
          <xdr:cNvSpPr txBox="1"/>
        </xdr:nvSpPr>
        <xdr:spPr>
          <a:xfrm>
            <a:off x="6840592" y="8758424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6" name="Symbol zastępczy zawartości 2">
            <a:extLst>
              <a:ext uri="{FF2B5EF4-FFF2-40B4-BE49-F238E27FC236}">
                <a16:creationId xmlns:a16="http://schemas.microsoft.com/office/drawing/2014/main" id="{C28DC7C3-08E4-4C4C-BC49-7501FF8A2909}"/>
              </a:ext>
            </a:extLst>
          </xdr:cNvPr>
          <xdr:cNvSpPr txBox="1"/>
        </xdr:nvSpPr>
        <xdr:spPr>
          <a:xfrm>
            <a:off x="6840592" y="9093616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7" name="Symbol zastępczy zawartości 2">
            <a:extLst>
              <a:ext uri="{FF2B5EF4-FFF2-40B4-BE49-F238E27FC236}">
                <a16:creationId xmlns:a16="http://schemas.microsoft.com/office/drawing/2014/main" id="{D3F649F4-17E7-4D96-B134-2321CF1D9651}"/>
              </a:ext>
            </a:extLst>
          </xdr:cNvPr>
          <xdr:cNvSpPr txBox="1"/>
        </xdr:nvSpPr>
        <xdr:spPr>
          <a:xfrm>
            <a:off x="6840592" y="10895231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8" name="Symbol zastępczy zawartości 2">
            <a:extLst>
              <a:ext uri="{FF2B5EF4-FFF2-40B4-BE49-F238E27FC236}">
                <a16:creationId xmlns:a16="http://schemas.microsoft.com/office/drawing/2014/main" id="{F3139735-6BDA-4A5F-ACCA-E2D3E6FBA35C}"/>
              </a:ext>
            </a:extLst>
          </xdr:cNvPr>
          <xdr:cNvSpPr txBox="1"/>
        </xdr:nvSpPr>
        <xdr:spPr>
          <a:xfrm>
            <a:off x="6840592" y="11245510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9" name="Symbol zastępczy zawartości 2">
            <a:extLst>
              <a:ext uri="{FF2B5EF4-FFF2-40B4-BE49-F238E27FC236}">
                <a16:creationId xmlns:a16="http://schemas.microsoft.com/office/drawing/2014/main" id="{B7229BF4-660B-444D-A6C5-6A19A8CF2397}"/>
              </a:ext>
            </a:extLst>
          </xdr:cNvPr>
          <xdr:cNvSpPr txBox="1"/>
        </xdr:nvSpPr>
        <xdr:spPr>
          <a:xfrm rot="16200004">
            <a:off x="6409531" y="10014120"/>
            <a:ext cx="1424909" cy="244647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1" compatLnSpc="0">
            <a:noAutofit/>
          </a:bodyPr>
          <a:lstStyle/>
          <a:p>
            <a:pPr marL="0" marR="0" lvl="0" indent="0" algn="ctr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obszar zabroniony</a:t>
            </a:r>
          </a:p>
        </xdr:txBody>
      </xdr:sp>
    </xdr:grpSp>
    <xdr:clientData/>
  </xdr:oneCellAnchor>
  <xdr:oneCellAnchor>
    <xdr:from>
      <xdr:col>11</xdr:col>
      <xdr:colOff>496656</xdr:colOff>
      <xdr:row>44</xdr:row>
      <xdr:rowOff>35506</xdr:rowOff>
    </xdr:from>
    <xdr:ext cx="1817077" cy="22412"/>
    <xdr:cxnSp macro="">
      <xdr:nvCxnSpPr>
        <xdr:cNvPr id="60" name="Łącznik prosty ze strzałką 100">
          <a:extLst>
            <a:ext uri="{FF2B5EF4-FFF2-40B4-BE49-F238E27FC236}">
              <a16:creationId xmlns:a16="http://schemas.microsoft.com/office/drawing/2014/main" id="{27035321-6A3C-4DEA-AFD5-138449F57B50}"/>
            </a:ext>
          </a:extLst>
        </xdr:cNvPr>
        <xdr:cNvCxnSpPr/>
      </xdr:nvCxnSpPr>
      <xdr:spPr>
        <a:xfrm flipH="1">
          <a:off x="7668981" y="8579431"/>
          <a:ext cx="1817077" cy="22412"/>
        </a:xfrm>
        <a:prstGeom prst="straightConnector1">
          <a:avLst/>
        </a:prstGeom>
        <a:noFill/>
        <a:ln w="19046" cap="flat">
          <a:solidFill>
            <a:srgbClr val="FF0000"/>
          </a:solidFill>
          <a:prstDash val="solid"/>
          <a:miter/>
          <a:headEnd type="arrow"/>
          <a:tailEnd type="arrow"/>
        </a:ln>
      </xdr:spPr>
    </xdr:cxnSp>
    <xdr:clientData/>
  </xdr:oneCellAnchor>
  <xdr:oneCellAnchor>
    <xdr:from>
      <xdr:col>9</xdr:col>
      <xdr:colOff>190496</xdr:colOff>
      <xdr:row>9</xdr:row>
      <xdr:rowOff>197830</xdr:rowOff>
    </xdr:from>
    <xdr:ext cx="3038962" cy="224375"/>
    <xdr:sp macro="" textlink="">
      <xdr:nvSpPr>
        <xdr:cNvPr id="61" name="Prostokąt zaokrąglony 16">
          <a:extLst>
            <a:ext uri="{FF2B5EF4-FFF2-40B4-BE49-F238E27FC236}">
              <a16:creationId xmlns:a16="http://schemas.microsoft.com/office/drawing/2014/main" id="{7DAE90AC-F37F-4D9E-A456-9BE2CF8C320F}"/>
            </a:ext>
          </a:extLst>
        </xdr:cNvPr>
        <xdr:cNvSpPr/>
      </xdr:nvSpPr>
      <xdr:spPr>
        <a:xfrm>
          <a:off x="6095996" y="2483830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5980</xdr:rowOff>
    </xdr:from>
    <xdr:ext cx="4187695" cy="1840751"/>
    <xdr:pic>
      <xdr:nvPicPr>
        <xdr:cNvPr id="2" name="Obraz 1">
          <a:extLst>
            <a:ext uri="{FF2B5EF4-FFF2-40B4-BE49-F238E27FC236}">
              <a16:creationId xmlns:a16="http://schemas.microsoft.com/office/drawing/2014/main" id="{7BF18801-E5B6-4BA0-98E4-0914775F5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98436"/>
        <a:stretch>
          <a:fillRect/>
        </a:stretch>
      </xdr:blipFill>
      <xdr:spPr>
        <a:xfrm>
          <a:off x="209550" y="434605"/>
          <a:ext cx="4187695" cy="18407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224119</xdr:colOff>
      <xdr:row>1</xdr:row>
      <xdr:rowOff>3401</xdr:rowOff>
    </xdr:from>
    <xdr:ext cx="1822289" cy="1858463"/>
    <xdr:pic>
      <xdr:nvPicPr>
        <xdr:cNvPr id="3" name="Obraz 4">
          <a:extLst>
            <a:ext uri="{FF2B5EF4-FFF2-40B4-BE49-F238E27FC236}">
              <a16:creationId xmlns:a16="http://schemas.microsoft.com/office/drawing/2014/main" id="{4064FCF5-C242-4954-859F-9DC7EEE1D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2844" y="432026"/>
          <a:ext cx="1822289" cy="185846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100858</xdr:colOff>
      <xdr:row>2</xdr:row>
      <xdr:rowOff>112059</xdr:rowOff>
    </xdr:from>
    <xdr:ext cx="922757" cy="257732"/>
    <xdr:sp macro="" textlink="">
      <xdr:nvSpPr>
        <xdr:cNvPr id="4" name="pole tekstowe 5">
          <a:extLst>
            <a:ext uri="{FF2B5EF4-FFF2-40B4-BE49-F238E27FC236}">
              <a16:creationId xmlns:a16="http://schemas.microsoft.com/office/drawing/2014/main" id="{3E4A2335-C7EC-462E-9BA5-17E91F3A35F4}"/>
            </a:ext>
          </a:extLst>
        </xdr:cNvPr>
        <xdr:cNvSpPr txBox="1"/>
      </xdr:nvSpPr>
      <xdr:spPr>
        <a:xfrm>
          <a:off x="1100983" y="731184"/>
          <a:ext cx="922757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16</xdr:col>
      <xdr:colOff>240368</xdr:colOff>
      <xdr:row>8</xdr:row>
      <xdr:rowOff>201707</xdr:rowOff>
    </xdr:from>
    <xdr:ext cx="999055" cy="257732"/>
    <xdr:sp macro="" textlink="">
      <xdr:nvSpPr>
        <xdr:cNvPr id="5" name="pole tekstowe 6">
          <a:extLst>
            <a:ext uri="{FF2B5EF4-FFF2-40B4-BE49-F238E27FC236}">
              <a16:creationId xmlns:a16="http://schemas.microsoft.com/office/drawing/2014/main" id="{DADDF41B-92F1-4E18-A1DF-228E0751B19A}"/>
            </a:ext>
          </a:extLst>
        </xdr:cNvPr>
        <xdr:cNvSpPr txBox="1"/>
      </xdr:nvSpPr>
      <xdr:spPr>
        <a:xfrm>
          <a:off x="9879668" y="1963832"/>
          <a:ext cx="999055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wersja:09.2020</a:t>
          </a:r>
        </a:p>
      </xdr:txBody>
    </xdr:sp>
    <xdr:clientData/>
  </xdr:oneCellAnchor>
  <xdr:oneCellAnchor>
    <xdr:from>
      <xdr:col>3</xdr:col>
      <xdr:colOff>498817</xdr:colOff>
      <xdr:row>9</xdr:row>
      <xdr:rowOff>199768</xdr:rowOff>
    </xdr:from>
    <xdr:ext cx="3038962" cy="224375"/>
    <xdr:sp macro="" textlink="">
      <xdr:nvSpPr>
        <xdr:cNvPr id="6" name="Prostokąt zaokrąglony 16">
          <a:extLst>
            <a:ext uri="{FF2B5EF4-FFF2-40B4-BE49-F238E27FC236}">
              <a16:creationId xmlns:a16="http://schemas.microsoft.com/office/drawing/2014/main" id="{B47DA2E0-950B-4439-9A89-11C6E2F1BBC9}"/>
            </a:ext>
          </a:extLst>
        </xdr:cNvPr>
        <xdr:cNvSpPr/>
      </xdr:nvSpPr>
      <xdr:spPr>
        <a:xfrm>
          <a:off x="1498942" y="2485768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112059</xdr:colOff>
      <xdr:row>1</xdr:row>
      <xdr:rowOff>145673</xdr:rowOff>
    </xdr:from>
    <xdr:ext cx="1109551" cy="241941"/>
    <xdr:pic>
      <xdr:nvPicPr>
        <xdr:cNvPr id="7" name="Obraz 8" descr="Znalezione obrazy dla zapytania logo viessmann">
          <a:extLst>
            <a:ext uri="{FF2B5EF4-FFF2-40B4-BE49-F238E27FC236}">
              <a16:creationId xmlns:a16="http://schemas.microsoft.com/office/drawing/2014/main" id="{2A4648F3-14A6-40CF-AC7F-D42768AC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574298"/>
          <a:ext cx="1109551" cy="2419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112059</xdr:colOff>
      <xdr:row>0</xdr:row>
      <xdr:rowOff>134480</xdr:rowOff>
    </xdr:from>
    <xdr:ext cx="737692" cy="180264"/>
    <xdr:pic>
      <xdr:nvPicPr>
        <xdr:cNvPr id="8" name="Obraz 9" descr="Znalezione obrazy dla zapytania logo viessmann">
          <a:extLst>
            <a:ext uri="{FF2B5EF4-FFF2-40B4-BE49-F238E27FC236}">
              <a16:creationId xmlns:a16="http://schemas.microsoft.com/office/drawing/2014/main" id="{224BA198-A3C1-4D3F-8DFE-15FC7DB37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134480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336179</xdr:colOff>
      <xdr:row>163</xdr:row>
      <xdr:rowOff>189939</xdr:rowOff>
    </xdr:from>
    <xdr:ext cx="810697" cy="2240"/>
    <xdr:sp macro="" textlink="">
      <xdr:nvSpPr>
        <xdr:cNvPr id="9" name="pole tekstowe 10">
          <a:extLst>
            <a:ext uri="{FF2B5EF4-FFF2-40B4-BE49-F238E27FC236}">
              <a16:creationId xmlns:a16="http://schemas.microsoft.com/office/drawing/2014/main" id="{85093FD8-5806-4D22-9E14-E9D3B72A5267}"/>
            </a:ext>
          </a:extLst>
        </xdr:cNvPr>
        <xdr:cNvSpPr txBox="1"/>
      </xdr:nvSpPr>
      <xdr:spPr>
        <a:xfrm>
          <a:off x="774329" y="33089289"/>
          <a:ext cx="810697" cy="2240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</xdr:col>
      <xdr:colOff>156883</xdr:colOff>
      <xdr:row>135</xdr:row>
      <xdr:rowOff>112059</xdr:rowOff>
    </xdr:from>
    <xdr:ext cx="1268336" cy="276477"/>
    <xdr:pic>
      <xdr:nvPicPr>
        <xdr:cNvPr id="10" name="Obraz 19" descr="Znalezione obrazy dla zapytania logo viessmann">
          <a:extLst>
            <a:ext uri="{FF2B5EF4-FFF2-40B4-BE49-F238E27FC236}">
              <a16:creationId xmlns:a16="http://schemas.microsoft.com/office/drawing/2014/main" id="{3FAAE357-61A3-484F-9D4F-A13559B6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66433" y="24867534"/>
          <a:ext cx="1268336" cy="27647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385538</xdr:colOff>
      <xdr:row>4</xdr:row>
      <xdr:rowOff>33613</xdr:rowOff>
    </xdr:from>
    <xdr:ext cx="4563587" cy="672349"/>
    <xdr:sp macro="" textlink="">
      <xdr:nvSpPr>
        <xdr:cNvPr id="11" name="pole tekstowe 20">
          <a:extLst>
            <a:ext uri="{FF2B5EF4-FFF2-40B4-BE49-F238E27FC236}">
              <a16:creationId xmlns:a16="http://schemas.microsoft.com/office/drawing/2014/main" id="{7CB088EB-7D5B-4FEA-BE87-59F8048E9E9A}"/>
            </a:ext>
          </a:extLst>
        </xdr:cNvPr>
        <xdr:cNvSpPr txBox="1"/>
      </xdr:nvSpPr>
      <xdr:spPr>
        <a:xfrm>
          <a:off x="823688" y="1033738"/>
          <a:ext cx="4563587" cy="672349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Arkusz doboru elementów montażowych</a:t>
          </a:r>
          <a:b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</a:b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dla instalacji fotowoltaicznej Vitovolt</a:t>
          </a:r>
        </a:p>
      </xdr:txBody>
    </xdr:sp>
    <xdr:clientData/>
  </xdr:oneCellAnchor>
  <xdr:oneCellAnchor>
    <xdr:from>
      <xdr:col>8</xdr:col>
      <xdr:colOff>67235</xdr:colOff>
      <xdr:row>24</xdr:row>
      <xdr:rowOff>134471</xdr:rowOff>
    </xdr:from>
    <xdr:ext cx="4568589" cy="2622133"/>
    <xdr:pic>
      <xdr:nvPicPr>
        <xdr:cNvPr id="12" name="Obraz 24">
          <a:extLst>
            <a:ext uri="{FF2B5EF4-FFF2-40B4-BE49-F238E27FC236}">
              <a16:creationId xmlns:a16="http://schemas.microsoft.com/office/drawing/2014/main" id="{3659DEC1-AA0E-4F97-B83E-EEF5D75E6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407" t="26475" r="7663" b="23877"/>
        <a:stretch>
          <a:fillRect/>
        </a:stretch>
      </xdr:blipFill>
      <xdr:spPr>
        <a:xfrm>
          <a:off x="5220260" y="5049371"/>
          <a:ext cx="4568589" cy="262213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13</xdr:col>
      <xdr:colOff>304016</xdr:colOff>
      <xdr:row>27</xdr:row>
      <xdr:rowOff>79414</xdr:rowOff>
    </xdr:from>
    <xdr:ext cx="1389531" cy="264563"/>
    <xdr:sp macro="" textlink="">
      <xdr:nvSpPr>
        <xdr:cNvPr id="13" name="pole tekstowe 25">
          <a:extLst>
            <a:ext uri="{FF2B5EF4-FFF2-40B4-BE49-F238E27FC236}">
              <a16:creationId xmlns:a16="http://schemas.microsoft.com/office/drawing/2014/main" id="{E3EF44E3-A015-4D94-9707-C2728DD20302}"/>
            </a:ext>
          </a:extLst>
        </xdr:cNvPr>
        <xdr:cNvSpPr txBox="1"/>
      </xdr:nvSpPr>
      <xdr:spPr>
        <a:xfrm rot="20248982">
          <a:off x="8759285" y="6182741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1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18733</xdr:colOff>
      <xdr:row>28</xdr:row>
      <xdr:rowOff>55036</xdr:rowOff>
    </xdr:from>
    <xdr:ext cx="1389531" cy="264563"/>
    <xdr:sp macro="" textlink="">
      <xdr:nvSpPr>
        <xdr:cNvPr id="14" name="pole tekstowe 26">
          <a:extLst>
            <a:ext uri="{FF2B5EF4-FFF2-40B4-BE49-F238E27FC236}">
              <a16:creationId xmlns:a16="http://schemas.microsoft.com/office/drawing/2014/main" id="{1E94AE71-7207-48FF-8DDA-778576EA7080}"/>
            </a:ext>
          </a:extLst>
        </xdr:cNvPr>
        <xdr:cNvSpPr txBox="1"/>
      </xdr:nvSpPr>
      <xdr:spPr>
        <a:xfrm rot="20248982">
          <a:off x="8884310" y="6348863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2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148935</xdr:colOff>
      <xdr:row>29</xdr:row>
      <xdr:rowOff>31487</xdr:rowOff>
    </xdr:from>
    <xdr:ext cx="1389531" cy="264563"/>
    <xdr:sp macro="" textlink="">
      <xdr:nvSpPr>
        <xdr:cNvPr id="15" name="pole tekstowe 27">
          <a:extLst>
            <a:ext uri="{FF2B5EF4-FFF2-40B4-BE49-F238E27FC236}">
              <a16:creationId xmlns:a16="http://schemas.microsoft.com/office/drawing/2014/main" id="{BA445A65-84D0-4D09-9160-EB7CD90B5DD5}"/>
            </a:ext>
          </a:extLst>
        </xdr:cNvPr>
        <xdr:cNvSpPr txBox="1"/>
      </xdr:nvSpPr>
      <xdr:spPr>
        <a:xfrm rot="20248982">
          <a:off x="9014512" y="6515814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3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295275</xdr:colOff>
      <xdr:row>30</xdr:row>
      <xdr:rowOff>1129</xdr:rowOff>
    </xdr:from>
    <xdr:ext cx="1389531" cy="264563"/>
    <xdr:sp macro="" textlink="">
      <xdr:nvSpPr>
        <xdr:cNvPr id="16" name="pole tekstowe 28">
          <a:extLst>
            <a:ext uri="{FF2B5EF4-FFF2-40B4-BE49-F238E27FC236}">
              <a16:creationId xmlns:a16="http://schemas.microsoft.com/office/drawing/2014/main" id="{C5EE3503-267B-4459-870F-8CE297A6C0AD}"/>
            </a:ext>
          </a:extLst>
        </xdr:cNvPr>
        <xdr:cNvSpPr txBox="1"/>
      </xdr:nvSpPr>
      <xdr:spPr>
        <a:xfrm rot="20248982">
          <a:off x="9160852" y="6675956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4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7</xdr:col>
      <xdr:colOff>710662</xdr:colOff>
      <xdr:row>25</xdr:row>
      <xdr:rowOff>152219</xdr:rowOff>
    </xdr:from>
    <xdr:ext cx="494352" cy="502892"/>
    <xdr:pic>
      <xdr:nvPicPr>
        <xdr:cNvPr id="17" name="Grafika 29" descr="Strzałki ostrokątne (od prawej do lewej)">
          <a:extLst>
            <a:ext uri="{FF2B5EF4-FFF2-40B4-BE49-F238E27FC236}">
              <a16:creationId xmlns:a16="http://schemas.microsoft.com/office/drawing/2014/main" id="{42873CFB-688D-41EB-8503-E3EA4190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799991">
          <a:off x="4730212" y="5257619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471098</xdr:colOff>
      <xdr:row>60</xdr:row>
      <xdr:rowOff>140268</xdr:rowOff>
    </xdr:from>
    <xdr:ext cx="691588" cy="652424"/>
    <xdr:pic>
      <xdr:nvPicPr>
        <xdr:cNvPr id="23" name="Obraz 36">
          <a:extLst>
            <a:ext uri="{FF2B5EF4-FFF2-40B4-BE49-F238E27FC236}">
              <a16:creationId xmlns:a16="http://schemas.microsoft.com/office/drawing/2014/main" id="{CF0B5F80-134F-4ADB-A0B5-9724CBC6B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1498" y="11008293"/>
          <a:ext cx="691588" cy="65242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784384</xdr:colOff>
      <xdr:row>47</xdr:row>
      <xdr:rowOff>43960</xdr:rowOff>
    </xdr:from>
    <xdr:ext cx="404750" cy="477719"/>
    <xdr:pic>
      <xdr:nvPicPr>
        <xdr:cNvPr id="24" name="Obraz 37">
          <a:extLst>
            <a:ext uri="{FF2B5EF4-FFF2-40B4-BE49-F238E27FC236}">
              <a16:creationId xmlns:a16="http://schemas.microsoft.com/office/drawing/2014/main" id="{874042CE-A1FA-46CB-816C-4FB274092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93576" y="9869364"/>
          <a:ext cx="404750" cy="47771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571500</xdr:colOff>
      <xdr:row>70</xdr:row>
      <xdr:rowOff>49743</xdr:rowOff>
    </xdr:from>
    <xdr:ext cx="486799" cy="380353"/>
    <xdr:pic>
      <xdr:nvPicPr>
        <xdr:cNvPr id="25" name="Obraz 38">
          <a:extLst>
            <a:ext uri="{FF2B5EF4-FFF2-40B4-BE49-F238E27FC236}">
              <a16:creationId xmlns:a16="http://schemas.microsoft.com/office/drawing/2014/main" id="{1CC9B88B-4329-4937-B336-8B0F4217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71900" y="12556068"/>
          <a:ext cx="486799" cy="3803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581028</xdr:colOff>
      <xdr:row>67</xdr:row>
      <xdr:rowOff>48682</xdr:rowOff>
    </xdr:from>
    <xdr:ext cx="488152" cy="404265"/>
    <xdr:pic>
      <xdr:nvPicPr>
        <xdr:cNvPr id="26" name="Obraz 41">
          <a:extLst>
            <a:ext uri="{FF2B5EF4-FFF2-40B4-BE49-F238E27FC236}">
              <a16:creationId xmlns:a16="http://schemas.microsoft.com/office/drawing/2014/main" id="{FBA0067E-E6F1-46CE-820E-071D6BDF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81428" y="12059707"/>
          <a:ext cx="488152" cy="4042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519818</xdr:colOff>
      <xdr:row>65</xdr:row>
      <xdr:rowOff>40215</xdr:rowOff>
    </xdr:from>
    <xdr:ext cx="629728" cy="188384"/>
    <xdr:pic>
      <xdr:nvPicPr>
        <xdr:cNvPr id="27" name="Obraz 42">
          <a:extLst>
            <a:ext uri="{FF2B5EF4-FFF2-40B4-BE49-F238E27FC236}">
              <a16:creationId xmlns:a16="http://schemas.microsoft.com/office/drawing/2014/main" id="{F5348DA3-6B52-4C1F-B80E-2146B7A5E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20218" y="11708340"/>
          <a:ext cx="629728" cy="18838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559859</xdr:colOff>
      <xdr:row>58</xdr:row>
      <xdr:rowOff>82049</xdr:rowOff>
    </xdr:from>
    <xdr:ext cx="527453" cy="445321"/>
    <xdr:pic>
      <xdr:nvPicPr>
        <xdr:cNvPr id="28" name="Obraz 43">
          <a:extLst>
            <a:ext uri="{FF2B5EF4-FFF2-40B4-BE49-F238E27FC236}">
              <a16:creationId xmlns:a16="http://schemas.microsoft.com/office/drawing/2014/main" id="{2C451378-8647-4E14-ADD7-83F9988FB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60259" y="10607174"/>
          <a:ext cx="527453" cy="44532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501100</xdr:colOff>
      <xdr:row>54</xdr:row>
      <xdr:rowOff>123828</xdr:rowOff>
    </xdr:from>
    <xdr:ext cx="538654" cy="584530"/>
    <xdr:pic>
      <xdr:nvPicPr>
        <xdr:cNvPr id="29" name="Obraz 40">
          <a:extLst>
            <a:ext uri="{FF2B5EF4-FFF2-40B4-BE49-F238E27FC236}">
              <a16:creationId xmlns:a16="http://schemas.microsoft.com/office/drawing/2014/main" id="{317A52F5-7CCE-4759-A6C9-BF872F071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01500" y="10001253"/>
          <a:ext cx="538654" cy="58453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691984</xdr:colOff>
      <xdr:row>52</xdr:row>
      <xdr:rowOff>49953</xdr:rowOff>
    </xdr:from>
    <xdr:ext cx="453725" cy="427765"/>
    <xdr:pic>
      <xdr:nvPicPr>
        <xdr:cNvPr id="30" name="Obraz 44">
          <a:extLst>
            <a:ext uri="{FF2B5EF4-FFF2-40B4-BE49-F238E27FC236}">
              <a16:creationId xmlns:a16="http://schemas.microsoft.com/office/drawing/2014/main" id="{3CE6C196-4875-450B-83E5-B619FC21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92384" y="9584478"/>
          <a:ext cx="453725" cy="4277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9527</xdr:colOff>
      <xdr:row>1</xdr:row>
      <xdr:rowOff>0</xdr:rowOff>
    </xdr:from>
    <xdr:ext cx="8858247" cy="1848871"/>
    <xdr:pic>
      <xdr:nvPicPr>
        <xdr:cNvPr id="31" name="Obraz 11">
          <a:extLst>
            <a:ext uri="{FF2B5EF4-FFF2-40B4-BE49-F238E27FC236}">
              <a16:creationId xmlns:a16="http://schemas.microsoft.com/office/drawing/2014/main" id="{B3CFCC62-569A-4CD0-A556-0E8E4497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r="18740"/>
        <a:stretch>
          <a:fillRect/>
        </a:stretch>
      </xdr:blipFill>
      <xdr:spPr>
        <a:xfrm>
          <a:off x="219077" y="428625"/>
          <a:ext cx="8858247" cy="184887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530470</xdr:colOff>
      <xdr:row>73</xdr:row>
      <xdr:rowOff>45244</xdr:rowOff>
    </xdr:from>
    <xdr:ext cx="614412" cy="411672"/>
    <xdr:pic>
      <xdr:nvPicPr>
        <xdr:cNvPr id="32" name="Obraz 18">
          <a:extLst>
            <a:ext uri="{FF2B5EF4-FFF2-40B4-BE49-F238E27FC236}">
              <a16:creationId xmlns:a16="http://schemas.microsoft.com/office/drawing/2014/main" id="{91D6EDE5-4AAB-472E-8509-6CA21F2A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30870" y="13084969"/>
          <a:ext cx="614412" cy="41167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447123</xdr:colOff>
      <xdr:row>76</xdr:row>
      <xdr:rowOff>64291</xdr:rowOff>
    </xdr:from>
    <xdr:ext cx="677323" cy="436351"/>
    <xdr:pic>
      <xdr:nvPicPr>
        <xdr:cNvPr id="33" name="Obraz 22">
          <a:extLst>
            <a:ext uri="{FF2B5EF4-FFF2-40B4-BE49-F238E27FC236}">
              <a16:creationId xmlns:a16="http://schemas.microsoft.com/office/drawing/2014/main" id="{8D3E381A-7EAE-491E-BEEA-7A75A9E61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47523" y="13675516"/>
          <a:ext cx="677323" cy="4363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180971</xdr:colOff>
      <xdr:row>47</xdr:row>
      <xdr:rowOff>43960</xdr:rowOff>
    </xdr:from>
    <xdr:ext cx="428625" cy="427710"/>
    <xdr:pic>
      <xdr:nvPicPr>
        <xdr:cNvPr id="34" name="Obraz 21">
          <a:extLst>
            <a:ext uri="{FF2B5EF4-FFF2-40B4-BE49-F238E27FC236}">
              <a16:creationId xmlns:a16="http://schemas.microsoft.com/office/drawing/2014/main" id="{7A71C0A2-D836-4B88-A45A-C7F4F7CC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90163" y="9869364"/>
          <a:ext cx="428625" cy="42771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57146</xdr:colOff>
      <xdr:row>52</xdr:row>
      <xdr:rowOff>11905</xdr:rowOff>
    </xdr:from>
    <xdr:ext cx="600806" cy="593482"/>
    <xdr:pic>
      <xdr:nvPicPr>
        <xdr:cNvPr id="35" name="Obraz 35">
          <a:extLst>
            <a:ext uri="{FF2B5EF4-FFF2-40B4-BE49-F238E27FC236}">
              <a16:creationId xmlns:a16="http://schemas.microsoft.com/office/drawing/2014/main" id="{51105F47-ECA5-4A21-B9E2-246EA321A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57546" y="9546430"/>
          <a:ext cx="600806" cy="59348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306442</xdr:colOff>
      <xdr:row>55</xdr:row>
      <xdr:rowOff>115653</xdr:rowOff>
    </xdr:from>
    <xdr:ext cx="2929903" cy="2966962"/>
    <xdr:grpSp>
      <xdr:nvGrpSpPr>
        <xdr:cNvPr id="36" name="Grupa 82">
          <a:extLst>
            <a:ext uri="{FF2B5EF4-FFF2-40B4-BE49-F238E27FC236}">
              <a16:creationId xmlns:a16="http://schemas.microsoft.com/office/drawing/2014/main" id="{F4D5FD5D-A14F-4E58-9EA8-C55217D4F552}"/>
            </a:ext>
          </a:extLst>
        </xdr:cNvPr>
        <xdr:cNvGrpSpPr/>
      </xdr:nvGrpSpPr>
      <xdr:grpSpPr>
        <a:xfrm>
          <a:off x="7187888" y="10959499"/>
          <a:ext cx="2929903" cy="2966962"/>
          <a:chOff x="6840592" y="8659578"/>
          <a:chExt cx="2929903" cy="2966962"/>
        </a:xfrm>
      </xdr:grpSpPr>
      <xdr:pic>
        <xdr:nvPicPr>
          <xdr:cNvPr id="37" name="Obraz 83">
            <a:extLst>
              <a:ext uri="{FF2B5EF4-FFF2-40B4-BE49-F238E27FC236}">
                <a16:creationId xmlns:a16="http://schemas.microsoft.com/office/drawing/2014/main" id="{6C6D88D2-03C6-4DAD-8EA1-A0EFE87653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/>
          <a:srcRect l="9885" t="2185" r="10770" b="3360"/>
          <a:stretch>
            <a:fillRect/>
          </a:stretch>
        </xdr:blipFill>
        <xdr:spPr>
          <a:xfrm>
            <a:off x="7618619" y="8659578"/>
            <a:ext cx="1965850" cy="2966962"/>
          </a:xfrm>
          <a:prstGeom prst="rect">
            <a:avLst/>
          </a:prstGeom>
          <a:noFill/>
          <a:ln cap="flat">
            <a:noFill/>
          </a:ln>
        </xdr:spPr>
      </xdr:pic>
      <xdr:cxnSp macro="">
        <xdr:nvCxnSpPr>
          <xdr:cNvPr id="38" name="Łącznik prosty 84">
            <a:extLst>
              <a:ext uri="{FF2B5EF4-FFF2-40B4-BE49-F238E27FC236}">
                <a16:creationId xmlns:a16="http://schemas.microsoft.com/office/drawing/2014/main" id="{405468E3-D576-4B32-9CF0-74FA45A0062A}"/>
              </a:ext>
            </a:extLst>
          </xdr:cNvPr>
          <xdr:cNvCxnSpPr/>
        </xdr:nvCxnSpPr>
        <xdr:spPr>
          <a:xfrm>
            <a:off x="7486003" y="9227182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9" name="Łącznik prosty 85">
            <a:extLst>
              <a:ext uri="{FF2B5EF4-FFF2-40B4-BE49-F238E27FC236}">
                <a16:creationId xmlns:a16="http://schemas.microsoft.com/office/drawing/2014/main" id="{89A4FC36-65CB-440F-AFFB-3B7E9B087038}"/>
              </a:ext>
            </a:extLst>
          </xdr:cNvPr>
          <xdr:cNvCxnSpPr/>
        </xdr:nvCxnSpPr>
        <xdr:spPr>
          <a:xfrm>
            <a:off x="9502402" y="9227182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0" name="Łącznik prosty 86">
            <a:extLst>
              <a:ext uri="{FF2B5EF4-FFF2-40B4-BE49-F238E27FC236}">
                <a16:creationId xmlns:a16="http://schemas.microsoft.com/office/drawing/2014/main" id="{521A9166-6B2F-4026-B59C-26DA14F74866}"/>
              </a:ext>
            </a:extLst>
          </xdr:cNvPr>
          <xdr:cNvCxnSpPr/>
        </xdr:nvCxnSpPr>
        <xdr:spPr>
          <a:xfrm>
            <a:off x="7486717" y="11041251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1" name="Łącznik prosty 87">
            <a:extLst>
              <a:ext uri="{FF2B5EF4-FFF2-40B4-BE49-F238E27FC236}">
                <a16:creationId xmlns:a16="http://schemas.microsoft.com/office/drawing/2014/main" id="{156B1D71-E085-4B4E-BD16-40A89D984323}"/>
              </a:ext>
            </a:extLst>
          </xdr:cNvPr>
          <xdr:cNvCxnSpPr/>
        </xdr:nvCxnSpPr>
        <xdr:spPr>
          <a:xfrm>
            <a:off x="9503115" y="11041251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2" name="Łącznik prosty ze strzałką 88">
            <a:extLst>
              <a:ext uri="{FF2B5EF4-FFF2-40B4-BE49-F238E27FC236}">
                <a16:creationId xmlns:a16="http://schemas.microsoft.com/office/drawing/2014/main" id="{346884FF-5F50-45F7-9FC2-782B7991F385}"/>
              </a:ext>
            </a:extLst>
          </xdr:cNvPr>
          <xdr:cNvCxnSpPr/>
        </xdr:nvCxnSpPr>
        <xdr:spPr>
          <a:xfrm>
            <a:off x="9770495" y="8712741"/>
            <a:ext cx="0" cy="2854446"/>
          </a:xfrm>
          <a:prstGeom prst="straightConnector1">
            <a:avLst/>
          </a:prstGeom>
          <a:noFill/>
          <a:ln w="19046" cap="flat">
            <a:solidFill>
              <a:srgbClr val="FF0000"/>
            </a:solidFill>
            <a:prstDash val="solid"/>
            <a:miter/>
            <a:headEnd type="arrow"/>
            <a:tailEnd type="arrow"/>
          </a:ln>
        </xdr:spPr>
      </xdr:cxnSp>
      <xdr:cxnSp macro="">
        <xdr:nvCxnSpPr>
          <xdr:cNvPr id="43" name="Łącznik prosty 90">
            <a:extLst>
              <a:ext uri="{FF2B5EF4-FFF2-40B4-BE49-F238E27FC236}">
                <a16:creationId xmlns:a16="http://schemas.microsoft.com/office/drawing/2014/main" id="{391A1B8C-E76D-4957-B9A6-F94A233612A0}"/>
              </a:ext>
            </a:extLst>
          </xdr:cNvPr>
          <xdr:cNvCxnSpPr/>
        </xdr:nvCxnSpPr>
        <xdr:spPr>
          <a:xfrm>
            <a:off x="7348313" y="8714643"/>
            <a:ext cx="0" cy="354677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44" name="Łącznik prosty 91">
            <a:extLst>
              <a:ext uri="{FF2B5EF4-FFF2-40B4-BE49-F238E27FC236}">
                <a16:creationId xmlns:a16="http://schemas.microsoft.com/office/drawing/2014/main" id="{9C2B49CA-0EB6-48AE-87FC-BC66B3BDC6AB}"/>
              </a:ext>
            </a:extLst>
          </xdr:cNvPr>
          <xdr:cNvCxnSpPr/>
        </xdr:nvCxnSpPr>
        <xdr:spPr>
          <a:xfrm>
            <a:off x="7348313" y="11199900"/>
            <a:ext cx="0" cy="354668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45" name="Łącznik prosty 92">
            <a:extLst>
              <a:ext uri="{FF2B5EF4-FFF2-40B4-BE49-F238E27FC236}">
                <a16:creationId xmlns:a16="http://schemas.microsoft.com/office/drawing/2014/main" id="{5AF895B0-4025-43D9-A749-5B40D9DB644C}"/>
              </a:ext>
            </a:extLst>
          </xdr:cNvPr>
          <xdr:cNvCxnSpPr/>
        </xdr:nvCxnSpPr>
        <xdr:spPr>
          <a:xfrm>
            <a:off x="7348313" y="10848898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46" name="Łącznik prosty 93">
            <a:extLst>
              <a:ext uri="{FF2B5EF4-FFF2-40B4-BE49-F238E27FC236}">
                <a16:creationId xmlns:a16="http://schemas.microsoft.com/office/drawing/2014/main" id="{6C49ED75-4E41-4AA8-A1BF-F54118710067}"/>
              </a:ext>
            </a:extLst>
          </xdr:cNvPr>
          <xdr:cNvCxnSpPr/>
        </xdr:nvCxnSpPr>
        <xdr:spPr>
          <a:xfrm>
            <a:off x="7348313" y="9069320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47" name="Łącznik prosty 94">
            <a:extLst>
              <a:ext uri="{FF2B5EF4-FFF2-40B4-BE49-F238E27FC236}">
                <a16:creationId xmlns:a16="http://schemas.microsoft.com/office/drawing/2014/main" id="{B5F0BA83-B3D9-47CF-A4D0-C5B299C1C88A}"/>
              </a:ext>
            </a:extLst>
          </xdr:cNvPr>
          <xdr:cNvCxnSpPr/>
        </xdr:nvCxnSpPr>
        <xdr:spPr>
          <a:xfrm>
            <a:off x="7348313" y="9423989"/>
            <a:ext cx="0" cy="1424909"/>
          </a:xfrm>
          <a:prstGeom prst="straightConnector1">
            <a:avLst/>
          </a:prstGeom>
          <a:noFill/>
          <a:ln w="127001" cap="flat">
            <a:solidFill>
              <a:srgbClr val="FF0000"/>
            </a:solidFill>
            <a:prstDash val="solid"/>
            <a:miter/>
          </a:ln>
        </xdr:spPr>
      </xdr:cxnSp>
      <xdr:sp macro="" textlink="">
        <xdr:nvSpPr>
          <xdr:cNvPr id="48" name="Symbol zastępczy zawartości 2">
            <a:extLst>
              <a:ext uri="{FF2B5EF4-FFF2-40B4-BE49-F238E27FC236}">
                <a16:creationId xmlns:a16="http://schemas.microsoft.com/office/drawing/2014/main" id="{8B4F6D5A-31AC-402C-9623-6DEF14FC7AE0}"/>
              </a:ext>
            </a:extLst>
          </xdr:cNvPr>
          <xdr:cNvSpPr txBox="1"/>
        </xdr:nvSpPr>
        <xdr:spPr>
          <a:xfrm>
            <a:off x="6840592" y="8758424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9" name="Symbol zastępczy zawartości 2">
            <a:extLst>
              <a:ext uri="{FF2B5EF4-FFF2-40B4-BE49-F238E27FC236}">
                <a16:creationId xmlns:a16="http://schemas.microsoft.com/office/drawing/2014/main" id="{82A727AA-EC12-41B8-B46F-2F335D31CD4A}"/>
              </a:ext>
            </a:extLst>
          </xdr:cNvPr>
          <xdr:cNvSpPr txBox="1"/>
        </xdr:nvSpPr>
        <xdr:spPr>
          <a:xfrm>
            <a:off x="6840592" y="9093616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0" name="Symbol zastępczy zawartości 2">
            <a:extLst>
              <a:ext uri="{FF2B5EF4-FFF2-40B4-BE49-F238E27FC236}">
                <a16:creationId xmlns:a16="http://schemas.microsoft.com/office/drawing/2014/main" id="{84A3842C-B8B8-4E0E-AA5B-A969793D7BC8}"/>
              </a:ext>
            </a:extLst>
          </xdr:cNvPr>
          <xdr:cNvSpPr txBox="1"/>
        </xdr:nvSpPr>
        <xdr:spPr>
          <a:xfrm>
            <a:off x="6840592" y="10895231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1" name="Symbol zastępczy zawartości 2">
            <a:extLst>
              <a:ext uri="{FF2B5EF4-FFF2-40B4-BE49-F238E27FC236}">
                <a16:creationId xmlns:a16="http://schemas.microsoft.com/office/drawing/2014/main" id="{7E12A3C5-CE1F-4DCC-84FA-875CDF5F1825}"/>
              </a:ext>
            </a:extLst>
          </xdr:cNvPr>
          <xdr:cNvSpPr txBox="1"/>
        </xdr:nvSpPr>
        <xdr:spPr>
          <a:xfrm>
            <a:off x="6840592" y="11245510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2" name="Symbol zastępczy zawartości 2">
            <a:extLst>
              <a:ext uri="{FF2B5EF4-FFF2-40B4-BE49-F238E27FC236}">
                <a16:creationId xmlns:a16="http://schemas.microsoft.com/office/drawing/2014/main" id="{4E362DBC-6B02-4278-9E2E-26777B2932EC}"/>
              </a:ext>
            </a:extLst>
          </xdr:cNvPr>
          <xdr:cNvSpPr txBox="1"/>
        </xdr:nvSpPr>
        <xdr:spPr>
          <a:xfrm rot="16200004">
            <a:off x="6409531" y="10014120"/>
            <a:ext cx="1424909" cy="244647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1" compatLnSpc="0">
            <a:noAutofit/>
          </a:bodyPr>
          <a:lstStyle/>
          <a:p>
            <a:pPr marL="0" marR="0" lvl="0" indent="0" algn="ctr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obszar zabroniony</a:t>
            </a:r>
          </a:p>
        </xdr:txBody>
      </xdr:sp>
    </xdr:grpSp>
    <xdr:clientData/>
  </xdr:oneCellAnchor>
  <xdr:oneCellAnchor>
    <xdr:from>
      <xdr:col>11</xdr:col>
      <xdr:colOff>496656</xdr:colOff>
      <xdr:row>55</xdr:row>
      <xdr:rowOff>35506</xdr:rowOff>
    </xdr:from>
    <xdr:ext cx="1817077" cy="22412"/>
    <xdr:cxnSp macro="">
      <xdr:nvCxnSpPr>
        <xdr:cNvPr id="53" name="Łącznik prosty ze strzałką 100">
          <a:extLst>
            <a:ext uri="{FF2B5EF4-FFF2-40B4-BE49-F238E27FC236}">
              <a16:creationId xmlns:a16="http://schemas.microsoft.com/office/drawing/2014/main" id="{794EAE1F-EA7D-4659-A541-454CFF540306}"/>
            </a:ext>
          </a:extLst>
        </xdr:cNvPr>
        <xdr:cNvCxnSpPr/>
      </xdr:nvCxnSpPr>
      <xdr:spPr>
        <a:xfrm flipH="1">
          <a:off x="7811856" y="9722431"/>
          <a:ext cx="1817077" cy="22412"/>
        </a:xfrm>
        <a:prstGeom prst="straightConnector1">
          <a:avLst/>
        </a:prstGeom>
        <a:noFill/>
        <a:ln w="19046" cap="flat">
          <a:solidFill>
            <a:srgbClr val="FF0000"/>
          </a:solidFill>
          <a:prstDash val="solid"/>
          <a:miter/>
          <a:headEnd type="arrow"/>
          <a:tailEnd type="arrow"/>
        </a:ln>
      </xdr:spPr>
    </xdr:cxnSp>
    <xdr:clientData/>
  </xdr:oneCellAnchor>
  <xdr:oneCellAnchor>
    <xdr:from>
      <xdr:col>9</xdr:col>
      <xdr:colOff>190496</xdr:colOff>
      <xdr:row>9</xdr:row>
      <xdr:rowOff>197830</xdr:rowOff>
    </xdr:from>
    <xdr:ext cx="3038962" cy="224375"/>
    <xdr:sp macro="" textlink="">
      <xdr:nvSpPr>
        <xdr:cNvPr id="54" name="Prostokąt zaokrąglony 16">
          <a:extLst>
            <a:ext uri="{FF2B5EF4-FFF2-40B4-BE49-F238E27FC236}">
              <a16:creationId xmlns:a16="http://schemas.microsoft.com/office/drawing/2014/main" id="{536A0DDC-B8BB-4589-A0C3-941AE4ACCCE4}"/>
            </a:ext>
          </a:extLst>
        </xdr:cNvPr>
        <xdr:cNvSpPr/>
      </xdr:nvSpPr>
      <xdr:spPr>
        <a:xfrm>
          <a:off x="6238871" y="2483830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twoCellAnchor editAs="oneCell">
    <xdr:from>
      <xdr:col>6</xdr:col>
      <xdr:colOff>495299</xdr:colOff>
      <xdr:row>79</xdr:row>
      <xdr:rowOff>10902</xdr:rowOff>
    </xdr:from>
    <xdr:to>
      <xdr:col>7</xdr:col>
      <xdr:colOff>276026</xdr:colOff>
      <xdr:row>81</xdr:row>
      <xdr:rowOff>114140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4838F12F-01CD-45CE-B2ED-7988C22D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95699" y="14193627"/>
          <a:ext cx="599877" cy="484238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82</xdr:row>
      <xdr:rowOff>23127</xdr:rowOff>
    </xdr:from>
    <xdr:to>
      <xdr:col>7</xdr:col>
      <xdr:colOff>372600</xdr:colOff>
      <xdr:row>85</xdr:row>
      <xdr:rowOff>52827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5264ED5F-0832-4749-B78D-D4EF5AF7D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379329">
          <a:off x="3790950" y="14777352"/>
          <a:ext cx="601200" cy="601200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89</xdr:row>
      <xdr:rowOff>134480</xdr:rowOff>
    </xdr:from>
    <xdr:ext cx="737692" cy="180264"/>
    <xdr:pic>
      <xdr:nvPicPr>
        <xdr:cNvPr id="57" name="Obraz 9" descr="Znalezione obrazy dla zapytania logo viessmann">
          <a:extLst>
            <a:ext uri="{FF2B5EF4-FFF2-40B4-BE49-F238E27FC236}">
              <a16:creationId xmlns:a16="http://schemas.microsoft.com/office/drawing/2014/main" id="{F8BE4F10-95E8-4E30-BB82-9D8F8D08E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15841205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3</xdr:col>
      <xdr:colOff>257175</xdr:colOff>
      <xdr:row>15</xdr:row>
      <xdr:rowOff>9525</xdr:rowOff>
    </xdr:from>
    <xdr:to>
      <xdr:col>5</xdr:col>
      <xdr:colOff>342900</xdr:colOff>
      <xdr:row>22</xdr:row>
      <xdr:rowOff>9526</xdr:rowOff>
    </xdr:to>
    <xdr:pic>
      <xdr:nvPicPr>
        <xdr:cNvPr id="59" name="Obraz 58" descr="Mocowania do dachów skośnych | Sklep internetowy Remor">
          <a:extLst>
            <a:ext uri="{FF2B5EF4-FFF2-40B4-BE49-F238E27FC236}">
              <a16:creationId xmlns:a16="http://schemas.microsoft.com/office/drawing/2014/main" id="{97F14781-80E2-49D0-A121-AC381757F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75"/>
        <a:stretch/>
      </xdr:blipFill>
      <xdr:spPr bwMode="auto">
        <a:xfrm>
          <a:off x="1257300" y="3943350"/>
          <a:ext cx="1590675" cy="1390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62482</xdr:colOff>
      <xdr:row>16</xdr:row>
      <xdr:rowOff>168519</xdr:rowOff>
    </xdr:from>
    <xdr:to>
      <xdr:col>13</xdr:col>
      <xdr:colOff>128899</xdr:colOff>
      <xdr:row>21</xdr:row>
      <xdr:rowOff>117231</xdr:rowOff>
    </xdr:to>
    <xdr:pic>
      <xdr:nvPicPr>
        <xdr:cNvPr id="62" name="Obraz 61" descr="Blacha rąbek stojący - Blaszkinadaszki">
          <a:extLst>
            <a:ext uri="{FF2B5EF4-FFF2-40B4-BE49-F238E27FC236}">
              <a16:creationId xmlns:a16="http://schemas.microsoft.com/office/drawing/2014/main" id="{5F30823C-E7EC-4209-A42B-8A85C953C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2" b="25574"/>
        <a:stretch/>
      </xdr:blipFill>
      <xdr:spPr bwMode="auto">
        <a:xfrm>
          <a:off x="6121847" y="4315557"/>
          <a:ext cx="2462321" cy="93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387659</xdr:colOff>
      <xdr:row>15</xdr:row>
      <xdr:rowOff>161192</xdr:rowOff>
    </xdr:from>
    <xdr:to>
      <xdr:col>7</xdr:col>
      <xdr:colOff>637443</xdr:colOff>
      <xdr:row>21</xdr:row>
      <xdr:rowOff>186358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CDE386A2-A3E3-4E30-A467-9FDEBBC97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96851" y="4110404"/>
          <a:ext cx="1070400" cy="1204800"/>
        </a:xfrm>
        <a:prstGeom prst="rect">
          <a:avLst/>
        </a:prstGeom>
      </xdr:spPr>
    </xdr:pic>
    <xdr:clientData/>
  </xdr:twoCellAnchor>
  <xdr:oneCellAnchor>
    <xdr:from>
      <xdr:col>5</xdr:col>
      <xdr:colOff>476250</xdr:colOff>
      <xdr:row>17</xdr:row>
      <xdr:rowOff>95250</xdr:rowOff>
    </xdr:from>
    <xdr:ext cx="494352" cy="502892"/>
    <xdr:pic>
      <xdr:nvPicPr>
        <xdr:cNvPr id="64" name="Grafika 29" descr="Strzałki ostrokątne (od prawej do lewej)">
          <a:extLst>
            <a:ext uri="{FF2B5EF4-FFF2-40B4-BE49-F238E27FC236}">
              <a16:creationId xmlns:a16="http://schemas.microsoft.com/office/drawing/2014/main" id="{D32341C7-C159-4013-A485-FB72CF05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 rot="10799991">
          <a:off x="2989385" y="4432788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14</xdr:col>
      <xdr:colOff>329713</xdr:colOff>
      <xdr:row>14</xdr:row>
      <xdr:rowOff>359018</xdr:rowOff>
    </xdr:from>
    <xdr:to>
      <xdr:col>16</xdr:col>
      <xdr:colOff>707541</xdr:colOff>
      <xdr:row>21</xdr:row>
      <xdr:rowOff>11710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321F07D8-AE89-4CF4-AB5E-D6CB71EF8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195290" y="3934556"/>
          <a:ext cx="1169136" cy="1206000"/>
        </a:xfrm>
        <a:prstGeom prst="rect">
          <a:avLst/>
        </a:prstGeom>
      </xdr:spPr>
    </xdr:pic>
    <xdr:clientData/>
  </xdr:twoCellAnchor>
  <xdr:oneCellAnchor>
    <xdr:from>
      <xdr:col>13</xdr:col>
      <xdr:colOff>130420</xdr:colOff>
      <xdr:row>16</xdr:row>
      <xdr:rowOff>137747</xdr:rowOff>
    </xdr:from>
    <xdr:ext cx="494352" cy="502892"/>
    <xdr:pic>
      <xdr:nvPicPr>
        <xdr:cNvPr id="66" name="Grafika 29" descr="Strzałki ostrokątne (od prawej do lewej)">
          <a:extLst>
            <a:ext uri="{FF2B5EF4-FFF2-40B4-BE49-F238E27FC236}">
              <a16:creationId xmlns:a16="http://schemas.microsoft.com/office/drawing/2014/main" id="{33F8CCD6-126A-44D7-933B-CF2D6B3E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 rot="10799991">
          <a:off x="8585689" y="4284785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5980</xdr:rowOff>
    </xdr:from>
    <xdr:ext cx="4187695" cy="1840751"/>
    <xdr:pic>
      <xdr:nvPicPr>
        <xdr:cNvPr id="5" name="Obraz 1">
          <a:extLst>
            <a:ext uri="{FF2B5EF4-FFF2-40B4-BE49-F238E27FC236}">
              <a16:creationId xmlns:a16="http://schemas.microsoft.com/office/drawing/2014/main" id="{5D9FB23C-8257-436B-8035-C80EB563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98436"/>
        <a:stretch>
          <a:fillRect/>
        </a:stretch>
      </xdr:blipFill>
      <xdr:spPr>
        <a:xfrm>
          <a:off x="209550" y="434605"/>
          <a:ext cx="4187695" cy="18407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224119</xdr:colOff>
      <xdr:row>1</xdr:row>
      <xdr:rowOff>3401</xdr:rowOff>
    </xdr:from>
    <xdr:ext cx="1822289" cy="1858463"/>
    <xdr:pic>
      <xdr:nvPicPr>
        <xdr:cNvPr id="9" name="Obraz 4">
          <a:extLst>
            <a:ext uri="{FF2B5EF4-FFF2-40B4-BE49-F238E27FC236}">
              <a16:creationId xmlns:a16="http://schemas.microsoft.com/office/drawing/2014/main" id="{3C57D670-4A46-43C5-85B0-9CC1E04D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9969" y="432026"/>
          <a:ext cx="1822289" cy="185846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100858</xdr:colOff>
      <xdr:row>2</xdr:row>
      <xdr:rowOff>112059</xdr:rowOff>
    </xdr:from>
    <xdr:ext cx="922757" cy="257732"/>
    <xdr:sp macro="" textlink="">
      <xdr:nvSpPr>
        <xdr:cNvPr id="10" name="pole tekstowe 5">
          <a:extLst>
            <a:ext uri="{FF2B5EF4-FFF2-40B4-BE49-F238E27FC236}">
              <a16:creationId xmlns:a16="http://schemas.microsoft.com/office/drawing/2014/main" id="{13CAF8D0-21D4-4D4C-8668-1C4A3A24864A}"/>
            </a:ext>
          </a:extLst>
        </xdr:cNvPr>
        <xdr:cNvSpPr txBox="1"/>
      </xdr:nvSpPr>
      <xdr:spPr>
        <a:xfrm>
          <a:off x="1100983" y="731184"/>
          <a:ext cx="922757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16</xdr:col>
      <xdr:colOff>240368</xdr:colOff>
      <xdr:row>8</xdr:row>
      <xdr:rowOff>201707</xdr:rowOff>
    </xdr:from>
    <xdr:ext cx="999055" cy="257732"/>
    <xdr:sp macro="" textlink="">
      <xdr:nvSpPr>
        <xdr:cNvPr id="12" name="pole tekstowe 6">
          <a:extLst>
            <a:ext uri="{FF2B5EF4-FFF2-40B4-BE49-F238E27FC236}">
              <a16:creationId xmlns:a16="http://schemas.microsoft.com/office/drawing/2014/main" id="{6FE171F3-0880-4E11-9DE3-53EA06010150}"/>
            </a:ext>
          </a:extLst>
        </xdr:cNvPr>
        <xdr:cNvSpPr txBox="1"/>
      </xdr:nvSpPr>
      <xdr:spPr>
        <a:xfrm>
          <a:off x="9736793" y="1963832"/>
          <a:ext cx="999055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wersja:06.2023</a:t>
          </a:r>
        </a:p>
      </xdr:txBody>
    </xdr:sp>
    <xdr:clientData/>
  </xdr:oneCellAnchor>
  <xdr:oneCellAnchor>
    <xdr:from>
      <xdr:col>3</xdr:col>
      <xdr:colOff>498817</xdr:colOff>
      <xdr:row>9</xdr:row>
      <xdr:rowOff>199768</xdr:rowOff>
    </xdr:from>
    <xdr:ext cx="3038962" cy="224375"/>
    <xdr:sp macro="" textlink="">
      <xdr:nvSpPr>
        <xdr:cNvPr id="13" name="Prostokąt zaokrąglony 16">
          <a:extLst>
            <a:ext uri="{FF2B5EF4-FFF2-40B4-BE49-F238E27FC236}">
              <a16:creationId xmlns:a16="http://schemas.microsoft.com/office/drawing/2014/main" id="{E1947168-CDAB-4CA4-91D8-D7CA68345F7C}"/>
            </a:ext>
          </a:extLst>
        </xdr:cNvPr>
        <xdr:cNvSpPr/>
      </xdr:nvSpPr>
      <xdr:spPr>
        <a:xfrm>
          <a:off x="1498942" y="2485768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112059</xdr:colOff>
      <xdr:row>1</xdr:row>
      <xdr:rowOff>145673</xdr:rowOff>
    </xdr:from>
    <xdr:ext cx="1109551" cy="241941"/>
    <xdr:pic>
      <xdr:nvPicPr>
        <xdr:cNvPr id="6" name="Obraz 8" descr="Znalezione obrazy dla zapytania logo viessmann">
          <a:extLst>
            <a:ext uri="{FF2B5EF4-FFF2-40B4-BE49-F238E27FC236}">
              <a16:creationId xmlns:a16="http://schemas.microsoft.com/office/drawing/2014/main" id="{BA31F70E-E68A-4411-8D70-77D679BF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574298"/>
          <a:ext cx="1109551" cy="2419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112059</xdr:colOff>
      <xdr:row>0</xdr:row>
      <xdr:rowOff>134480</xdr:rowOff>
    </xdr:from>
    <xdr:ext cx="737692" cy="180264"/>
    <xdr:pic>
      <xdr:nvPicPr>
        <xdr:cNvPr id="2" name="Obraz 9" descr="Znalezione obrazy dla zapytania logo viessmann">
          <a:extLst>
            <a:ext uri="{FF2B5EF4-FFF2-40B4-BE49-F238E27FC236}">
              <a16:creationId xmlns:a16="http://schemas.microsoft.com/office/drawing/2014/main" id="{25CF1FFE-5143-4A57-A108-70619BBE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134480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336179</xdr:colOff>
      <xdr:row>162</xdr:row>
      <xdr:rowOff>189939</xdr:rowOff>
    </xdr:from>
    <xdr:ext cx="810697" cy="2240"/>
    <xdr:sp macro="" textlink="">
      <xdr:nvSpPr>
        <xdr:cNvPr id="61" name="pole tekstowe 10">
          <a:extLst>
            <a:ext uri="{FF2B5EF4-FFF2-40B4-BE49-F238E27FC236}">
              <a16:creationId xmlns:a16="http://schemas.microsoft.com/office/drawing/2014/main" id="{FFF2F1E5-8594-4A4A-8897-552EFD935824}"/>
            </a:ext>
          </a:extLst>
        </xdr:cNvPr>
        <xdr:cNvSpPr txBox="1"/>
      </xdr:nvSpPr>
      <xdr:spPr>
        <a:xfrm>
          <a:off x="774329" y="26517039"/>
          <a:ext cx="810697" cy="2240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</xdr:col>
      <xdr:colOff>156883</xdr:colOff>
      <xdr:row>134</xdr:row>
      <xdr:rowOff>112059</xdr:rowOff>
    </xdr:from>
    <xdr:ext cx="1268336" cy="276477"/>
    <xdr:pic>
      <xdr:nvPicPr>
        <xdr:cNvPr id="56" name="Obraz 19" descr="Znalezione obrazy dla zapytania logo viessmann">
          <a:extLst>
            <a:ext uri="{FF2B5EF4-FFF2-40B4-BE49-F238E27FC236}">
              <a16:creationId xmlns:a16="http://schemas.microsoft.com/office/drawing/2014/main" id="{0876F322-3A9B-4CB1-9CB5-EE20574A1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66433" y="22772034"/>
          <a:ext cx="1268336" cy="27647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385538</xdr:colOff>
      <xdr:row>4</xdr:row>
      <xdr:rowOff>33613</xdr:rowOff>
    </xdr:from>
    <xdr:ext cx="4563587" cy="672349"/>
    <xdr:sp macro="" textlink="">
      <xdr:nvSpPr>
        <xdr:cNvPr id="11" name="pole tekstowe 20">
          <a:extLst>
            <a:ext uri="{FF2B5EF4-FFF2-40B4-BE49-F238E27FC236}">
              <a16:creationId xmlns:a16="http://schemas.microsoft.com/office/drawing/2014/main" id="{25BB2E40-D8A8-42B9-BF9C-DEC52D078D01}"/>
            </a:ext>
          </a:extLst>
        </xdr:cNvPr>
        <xdr:cNvSpPr txBox="1"/>
      </xdr:nvSpPr>
      <xdr:spPr>
        <a:xfrm>
          <a:off x="823688" y="1033738"/>
          <a:ext cx="4563587" cy="672349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Arkusz doboru elementów montażowych</a:t>
          </a:r>
          <a:b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</a:b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dla instalacji fotowoltaicznej Vitovolt</a:t>
          </a:r>
        </a:p>
      </xdr:txBody>
    </xdr:sp>
    <xdr:clientData/>
  </xdr:oneCellAnchor>
  <xdr:oneCellAnchor>
    <xdr:from>
      <xdr:col>8</xdr:col>
      <xdr:colOff>67235</xdr:colOff>
      <xdr:row>21</xdr:row>
      <xdr:rowOff>134471</xdr:rowOff>
    </xdr:from>
    <xdr:ext cx="4568589" cy="2622133"/>
    <xdr:pic>
      <xdr:nvPicPr>
        <xdr:cNvPr id="20" name="Obraz 24">
          <a:extLst>
            <a:ext uri="{FF2B5EF4-FFF2-40B4-BE49-F238E27FC236}">
              <a16:creationId xmlns:a16="http://schemas.microsoft.com/office/drawing/2014/main" id="{913F02CF-5CA5-4710-AEFB-434C6CA48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407" t="26475" r="7663" b="23877"/>
        <a:stretch>
          <a:fillRect/>
        </a:stretch>
      </xdr:blipFill>
      <xdr:spPr>
        <a:xfrm>
          <a:off x="5077385" y="5049371"/>
          <a:ext cx="4568589" cy="262213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3613</xdr:colOff>
      <xdr:row>24</xdr:row>
      <xdr:rowOff>28125</xdr:rowOff>
    </xdr:from>
    <xdr:ext cx="1389531" cy="264563"/>
    <xdr:sp macro="" textlink="">
      <xdr:nvSpPr>
        <xdr:cNvPr id="22" name="pole tekstowe 25">
          <a:extLst>
            <a:ext uri="{FF2B5EF4-FFF2-40B4-BE49-F238E27FC236}">
              <a16:creationId xmlns:a16="http://schemas.microsoft.com/office/drawing/2014/main" id="{00654094-3710-4652-98EF-5B56595F1D6A}"/>
            </a:ext>
          </a:extLst>
        </xdr:cNvPr>
        <xdr:cNvSpPr txBox="1"/>
      </xdr:nvSpPr>
      <xdr:spPr>
        <a:xfrm rot="20248982">
          <a:off x="8709463" y="5514525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1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128638</xdr:colOff>
      <xdr:row>25</xdr:row>
      <xdr:rowOff>3747</xdr:rowOff>
    </xdr:from>
    <xdr:ext cx="1389531" cy="264563"/>
    <xdr:sp macro="" textlink="">
      <xdr:nvSpPr>
        <xdr:cNvPr id="23" name="pole tekstowe 26">
          <a:extLst>
            <a:ext uri="{FF2B5EF4-FFF2-40B4-BE49-F238E27FC236}">
              <a16:creationId xmlns:a16="http://schemas.microsoft.com/office/drawing/2014/main" id="{BBF35CF1-F374-4D4B-96CB-55D0CE9E95B1}"/>
            </a:ext>
          </a:extLst>
        </xdr:cNvPr>
        <xdr:cNvSpPr txBox="1"/>
      </xdr:nvSpPr>
      <xdr:spPr>
        <a:xfrm rot="20248982">
          <a:off x="8834488" y="5680647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2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258840</xdr:colOff>
      <xdr:row>25</xdr:row>
      <xdr:rowOff>170698</xdr:rowOff>
    </xdr:from>
    <xdr:ext cx="1389531" cy="264563"/>
    <xdr:sp macro="" textlink="">
      <xdr:nvSpPr>
        <xdr:cNvPr id="24" name="pole tekstowe 27">
          <a:extLst>
            <a:ext uri="{FF2B5EF4-FFF2-40B4-BE49-F238E27FC236}">
              <a16:creationId xmlns:a16="http://schemas.microsoft.com/office/drawing/2014/main" id="{E0ADA162-918E-40FB-A6A5-B3B85BF69A8A}"/>
            </a:ext>
          </a:extLst>
        </xdr:cNvPr>
        <xdr:cNvSpPr txBox="1"/>
      </xdr:nvSpPr>
      <xdr:spPr>
        <a:xfrm rot="20248982">
          <a:off x="8964690" y="5847598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3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405180</xdr:colOff>
      <xdr:row>26</xdr:row>
      <xdr:rowOff>140340</xdr:rowOff>
    </xdr:from>
    <xdr:ext cx="1389531" cy="264563"/>
    <xdr:sp macro="" textlink="">
      <xdr:nvSpPr>
        <xdr:cNvPr id="25" name="pole tekstowe 28">
          <a:extLst>
            <a:ext uri="{FF2B5EF4-FFF2-40B4-BE49-F238E27FC236}">
              <a16:creationId xmlns:a16="http://schemas.microsoft.com/office/drawing/2014/main" id="{8CF4740D-ECED-41E0-AB75-61A5578782CB}"/>
            </a:ext>
          </a:extLst>
        </xdr:cNvPr>
        <xdr:cNvSpPr txBox="1"/>
      </xdr:nvSpPr>
      <xdr:spPr>
        <a:xfrm rot="20248982">
          <a:off x="9111030" y="6007740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4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7</xdr:col>
      <xdr:colOff>710662</xdr:colOff>
      <xdr:row>22</xdr:row>
      <xdr:rowOff>152219</xdr:rowOff>
    </xdr:from>
    <xdr:ext cx="494352" cy="502892"/>
    <xdr:pic>
      <xdr:nvPicPr>
        <xdr:cNvPr id="21" name="Grafika 29" descr="Strzałki ostrokątne (od prawej do lewej)">
          <a:extLst>
            <a:ext uri="{FF2B5EF4-FFF2-40B4-BE49-F238E27FC236}">
              <a16:creationId xmlns:a16="http://schemas.microsoft.com/office/drawing/2014/main" id="{DB8EC180-6C51-4D23-84AA-87D6304E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799991">
          <a:off x="4587337" y="5257619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611733</xdr:colOff>
      <xdr:row>13</xdr:row>
      <xdr:rowOff>133410</xdr:rowOff>
    </xdr:from>
    <xdr:ext cx="1952015" cy="1151366"/>
    <xdr:pic>
      <xdr:nvPicPr>
        <xdr:cNvPr id="15" name="Obraz 30">
          <a:extLst>
            <a:ext uri="{FF2B5EF4-FFF2-40B4-BE49-F238E27FC236}">
              <a16:creationId xmlns:a16="http://schemas.microsoft.com/office/drawing/2014/main" id="{30688566-E3A4-403E-AB7F-53E6F5CD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45883" y="3552885"/>
          <a:ext cx="1952015" cy="115136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438857</xdr:colOff>
      <xdr:row>18</xdr:row>
      <xdr:rowOff>26956</xdr:rowOff>
    </xdr:from>
    <xdr:ext cx="155338" cy="126983"/>
    <xdr:cxnSp macro="">
      <xdr:nvCxnSpPr>
        <xdr:cNvPr id="17" name="Łącznik prosty ze strzałką 31">
          <a:extLst>
            <a:ext uri="{FF2B5EF4-FFF2-40B4-BE49-F238E27FC236}">
              <a16:creationId xmlns:a16="http://schemas.microsoft.com/office/drawing/2014/main" id="{66EB70BE-3A57-42E4-91DC-A13894844C5C}"/>
            </a:ext>
          </a:extLst>
        </xdr:cNvPr>
        <xdr:cNvCxnSpPr/>
      </xdr:nvCxnSpPr>
      <xdr:spPr>
        <a:xfrm flipV="1">
          <a:off x="9144707" y="4551331"/>
          <a:ext cx="155338" cy="126983"/>
        </a:xfrm>
        <a:prstGeom prst="straightConnector1">
          <a:avLst/>
        </a:prstGeom>
        <a:noFill/>
        <a:ln w="6345" cap="flat">
          <a:solidFill>
            <a:srgbClr val="EF4423"/>
          </a:solidFill>
          <a:prstDash val="solid"/>
          <a:miter/>
          <a:headEnd type="arrow"/>
        </a:ln>
      </xdr:spPr>
    </xdr:cxnSp>
    <xdr:clientData/>
  </xdr:oneCellAnchor>
  <xdr:oneCellAnchor>
    <xdr:from>
      <xdr:col>14</xdr:col>
      <xdr:colOff>166137</xdr:colOff>
      <xdr:row>20</xdr:row>
      <xdr:rowOff>63971</xdr:rowOff>
    </xdr:from>
    <xdr:ext cx="161428" cy="125108"/>
    <xdr:cxnSp macro="">
      <xdr:nvCxnSpPr>
        <xdr:cNvPr id="19" name="Łącznik prosty 32">
          <a:extLst>
            <a:ext uri="{FF2B5EF4-FFF2-40B4-BE49-F238E27FC236}">
              <a16:creationId xmlns:a16="http://schemas.microsoft.com/office/drawing/2014/main" id="{4F4E6395-419C-42F1-AD78-FD747BDFFAD7}"/>
            </a:ext>
          </a:extLst>
        </xdr:cNvPr>
        <xdr:cNvCxnSpPr/>
      </xdr:nvCxnSpPr>
      <xdr:spPr>
        <a:xfrm flipV="1">
          <a:off x="8871987" y="4788371"/>
          <a:ext cx="161428" cy="125108"/>
        </a:xfrm>
        <a:prstGeom prst="straightConnector1">
          <a:avLst/>
        </a:prstGeom>
        <a:noFill/>
        <a:ln w="6345" cap="flat">
          <a:solidFill>
            <a:srgbClr val="EF4423"/>
          </a:solidFill>
          <a:prstDash val="solid"/>
          <a:miter/>
          <a:tailEnd type="arrow"/>
        </a:ln>
      </xdr:spPr>
    </xdr:cxnSp>
    <xdr:clientData/>
  </xdr:oneCellAnchor>
  <xdr:oneCellAnchor>
    <xdr:from>
      <xdr:col>14</xdr:col>
      <xdr:colOff>244812</xdr:colOff>
      <xdr:row>18</xdr:row>
      <xdr:rowOff>166685</xdr:rowOff>
    </xdr:from>
    <xdr:ext cx="145591" cy="135103"/>
    <xdr:cxnSp macro="">
      <xdr:nvCxnSpPr>
        <xdr:cNvPr id="16" name="Łącznik prosty 33">
          <a:extLst>
            <a:ext uri="{FF2B5EF4-FFF2-40B4-BE49-F238E27FC236}">
              <a16:creationId xmlns:a16="http://schemas.microsoft.com/office/drawing/2014/main" id="{7812B2EF-25E8-4A67-8C48-02E31F4BF867}"/>
            </a:ext>
          </a:extLst>
        </xdr:cNvPr>
        <xdr:cNvCxnSpPr/>
      </xdr:nvCxnSpPr>
      <xdr:spPr>
        <a:xfrm>
          <a:off x="8950662" y="4691060"/>
          <a:ext cx="145591" cy="135103"/>
        </a:xfrm>
        <a:prstGeom prst="straightConnector1">
          <a:avLst/>
        </a:prstGeom>
        <a:noFill/>
        <a:ln w="3172" cap="flat">
          <a:solidFill>
            <a:srgbClr val="000000"/>
          </a:solidFill>
          <a:custDash>
            <a:ds d="100000" sp="100000"/>
          </a:custDash>
          <a:miter/>
        </a:ln>
      </xdr:spPr>
    </xdr:cxnSp>
    <xdr:clientData/>
  </xdr:oneCellAnchor>
  <xdr:oneCellAnchor>
    <xdr:from>
      <xdr:col>14</xdr:col>
      <xdr:colOff>347481</xdr:colOff>
      <xdr:row>18</xdr:row>
      <xdr:rowOff>77879</xdr:rowOff>
    </xdr:from>
    <xdr:ext cx="151232" cy="134289"/>
    <xdr:cxnSp macro="">
      <xdr:nvCxnSpPr>
        <xdr:cNvPr id="18" name="Łącznik prosty 34">
          <a:extLst>
            <a:ext uri="{FF2B5EF4-FFF2-40B4-BE49-F238E27FC236}">
              <a16:creationId xmlns:a16="http://schemas.microsoft.com/office/drawing/2014/main" id="{95A100B7-A61A-4C2B-8352-08EC49AB4A8A}"/>
            </a:ext>
          </a:extLst>
        </xdr:cNvPr>
        <xdr:cNvCxnSpPr/>
      </xdr:nvCxnSpPr>
      <xdr:spPr>
        <a:xfrm>
          <a:off x="9053331" y="4602254"/>
          <a:ext cx="151232" cy="134289"/>
        </a:xfrm>
        <a:prstGeom prst="straightConnector1">
          <a:avLst/>
        </a:prstGeom>
        <a:noFill/>
        <a:ln w="3172" cap="flat">
          <a:solidFill>
            <a:srgbClr val="000000"/>
          </a:solidFill>
          <a:custDash>
            <a:ds d="100000" sp="100000"/>
          </a:custDash>
          <a:miter/>
        </a:ln>
      </xdr:spPr>
    </xdr:cxnSp>
    <xdr:clientData/>
  </xdr:oneCellAnchor>
  <xdr:oneCellAnchor>
    <xdr:from>
      <xdr:col>6</xdr:col>
      <xdr:colOff>471098</xdr:colOff>
      <xdr:row>57</xdr:row>
      <xdr:rowOff>140268</xdr:rowOff>
    </xdr:from>
    <xdr:ext cx="691588" cy="652424"/>
    <xdr:pic>
      <xdr:nvPicPr>
        <xdr:cNvPr id="50" name="Obraz 36">
          <a:extLst>
            <a:ext uri="{FF2B5EF4-FFF2-40B4-BE49-F238E27FC236}">
              <a16:creationId xmlns:a16="http://schemas.microsoft.com/office/drawing/2014/main" id="{8D837FA3-9AD8-4AD4-88FF-EB816B3A5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28623" y="9865293"/>
          <a:ext cx="691588" cy="65242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784384</xdr:colOff>
      <xdr:row>46</xdr:row>
      <xdr:rowOff>104771</xdr:rowOff>
    </xdr:from>
    <xdr:ext cx="404750" cy="477719"/>
    <xdr:pic>
      <xdr:nvPicPr>
        <xdr:cNvPr id="26" name="Obraz 37">
          <a:extLst>
            <a:ext uri="{FF2B5EF4-FFF2-40B4-BE49-F238E27FC236}">
              <a16:creationId xmlns:a16="http://schemas.microsoft.com/office/drawing/2014/main" id="{23EBCB19-BC77-4F17-A25B-EEBD90741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41909" y="9105896"/>
          <a:ext cx="404750" cy="47771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571500</xdr:colOff>
      <xdr:row>67</xdr:row>
      <xdr:rowOff>49743</xdr:rowOff>
    </xdr:from>
    <xdr:ext cx="486799" cy="380353"/>
    <xdr:pic>
      <xdr:nvPicPr>
        <xdr:cNvPr id="53" name="Obraz 38">
          <a:extLst>
            <a:ext uri="{FF2B5EF4-FFF2-40B4-BE49-F238E27FC236}">
              <a16:creationId xmlns:a16="http://schemas.microsoft.com/office/drawing/2014/main" id="{F9DF5FD4-5307-4296-9110-50E5DC749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29025" y="11413068"/>
          <a:ext cx="486799" cy="3803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581028</xdr:colOff>
      <xdr:row>64</xdr:row>
      <xdr:rowOff>48682</xdr:rowOff>
    </xdr:from>
    <xdr:ext cx="488152" cy="404265"/>
    <xdr:pic>
      <xdr:nvPicPr>
        <xdr:cNvPr id="52" name="Obraz 41">
          <a:extLst>
            <a:ext uri="{FF2B5EF4-FFF2-40B4-BE49-F238E27FC236}">
              <a16:creationId xmlns:a16="http://schemas.microsoft.com/office/drawing/2014/main" id="{7A02A578-5182-4104-843B-EA29E9A5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38553" y="10916707"/>
          <a:ext cx="488152" cy="4042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519818</xdr:colOff>
      <xdr:row>62</xdr:row>
      <xdr:rowOff>40215</xdr:rowOff>
    </xdr:from>
    <xdr:ext cx="629728" cy="188384"/>
    <xdr:pic>
      <xdr:nvPicPr>
        <xdr:cNvPr id="51" name="Obraz 42">
          <a:extLst>
            <a:ext uri="{FF2B5EF4-FFF2-40B4-BE49-F238E27FC236}">
              <a16:creationId xmlns:a16="http://schemas.microsoft.com/office/drawing/2014/main" id="{3D4AECB9-0EF9-40F8-A035-638363131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77343" y="10565340"/>
          <a:ext cx="629728" cy="18838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559859</xdr:colOff>
      <xdr:row>55</xdr:row>
      <xdr:rowOff>82049</xdr:rowOff>
    </xdr:from>
    <xdr:ext cx="527453" cy="445321"/>
    <xdr:pic>
      <xdr:nvPicPr>
        <xdr:cNvPr id="49" name="Obraz 43">
          <a:extLst>
            <a:ext uri="{FF2B5EF4-FFF2-40B4-BE49-F238E27FC236}">
              <a16:creationId xmlns:a16="http://schemas.microsoft.com/office/drawing/2014/main" id="{97772AEF-F904-412F-8E35-90A4E0E17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17384" y="9464174"/>
          <a:ext cx="527453" cy="44532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501100</xdr:colOff>
      <xdr:row>51</xdr:row>
      <xdr:rowOff>123828</xdr:rowOff>
    </xdr:from>
    <xdr:ext cx="538654" cy="584530"/>
    <xdr:pic>
      <xdr:nvPicPr>
        <xdr:cNvPr id="48" name="Obraz 40">
          <a:extLst>
            <a:ext uri="{FF2B5EF4-FFF2-40B4-BE49-F238E27FC236}">
              <a16:creationId xmlns:a16="http://schemas.microsoft.com/office/drawing/2014/main" id="{3A958CC3-E2F4-469C-89C8-C9F4F228D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58625" y="8858253"/>
          <a:ext cx="538654" cy="58453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691984</xdr:colOff>
      <xdr:row>49</xdr:row>
      <xdr:rowOff>49953</xdr:rowOff>
    </xdr:from>
    <xdr:ext cx="453725" cy="427765"/>
    <xdr:pic>
      <xdr:nvPicPr>
        <xdr:cNvPr id="29" name="Obraz 44">
          <a:extLst>
            <a:ext uri="{FF2B5EF4-FFF2-40B4-BE49-F238E27FC236}">
              <a16:creationId xmlns:a16="http://schemas.microsoft.com/office/drawing/2014/main" id="{1643954B-4339-41E9-8995-47EB03D0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749509" y="9584478"/>
          <a:ext cx="453725" cy="4277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9527</xdr:colOff>
      <xdr:row>1</xdr:row>
      <xdr:rowOff>0</xdr:rowOff>
    </xdr:from>
    <xdr:ext cx="8858247" cy="1848871"/>
    <xdr:pic>
      <xdr:nvPicPr>
        <xdr:cNvPr id="7" name="Obraz 11">
          <a:extLst>
            <a:ext uri="{FF2B5EF4-FFF2-40B4-BE49-F238E27FC236}">
              <a16:creationId xmlns:a16="http://schemas.microsoft.com/office/drawing/2014/main" id="{6E8BE7AB-B17B-4C7D-8C96-CCBA901B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r="18740"/>
        <a:stretch>
          <a:fillRect/>
        </a:stretch>
      </xdr:blipFill>
      <xdr:spPr>
        <a:xfrm>
          <a:off x="219077" y="428625"/>
          <a:ext cx="8858247" cy="184887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530470</xdr:colOff>
      <xdr:row>70</xdr:row>
      <xdr:rowOff>45244</xdr:rowOff>
    </xdr:from>
    <xdr:ext cx="614412" cy="411672"/>
    <xdr:pic>
      <xdr:nvPicPr>
        <xdr:cNvPr id="54" name="Obraz 18">
          <a:extLst>
            <a:ext uri="{FF2B5EF4-FFF2-40B4-BE49-F238E27FC236}">
              <a16:creationId xmlns:a16="http://schemas.microsoft.com/office/drawing/2014/main" id="{91839472-8EFB-4C60-B1A5-CD6D6DF99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87995" y="11941969"/>
          <a:ext cx="614412" cy="41167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447123</xdr:colOff>
      <xdr:row>73</xdr:row>
      <xdr:rowOff>64291</xdr:rowOff>
    </xdr:from>
    <xdr:ext cx="677323" cy="436351"/>
    <xdr:pic>
      <xdr:nvPicPr>
        <xdr:cNvPr id="55" name="Obraz 22">
          <a:extLst>
            <a:ext uri="{FF2B5EF4-FFF2-40B4-BE49-F238E27FC236}">
              <a16:creationId xmlns:a16="http://schemas.microsoft.com/office/drawing/2014/main" id="{E47641C7-711B-4FD7-9E36-85236D8A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504648" y="12532516"/>
          <a:ext cx="677323" cy="4363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180971</xdr:colOff>
      <xdr:row>46</xdr:row>
      <xdr:rowOff>107158</xdr:rowOff>
    </xdr:from>
    <xdr:ext cx="428625" cy="427710"/>
    <xdr:pic>
      <xdr:nvPicPr>
        <xdr:cNvPr id="27" name="Obraz 21">
          <a:extLst>
            <a:ext uri="{FF2B5EF4-FFF2-40B4-BE49-F238E27FC236}">
              <a16:creationId xmlns:a16="http://schemas.microsoft.com/office/drawing/2014/main" id="{12914879-3948-4353-BC28-9514ACC4E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38496" y="9108283"/>
          <a:ext cx="428625" cy="42771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57146</xdr:colOff>
      <xdr:row>49</xdr:row>
      <xdr:rowOff>11905</xdr:rowOff>
    </xdr:from>
    <xdr:ext cx="600806" cy="593482"/>
    <xdr:pic>
      <xdr:nvPicPr>
        <xdr:cNvPr id="28" name="Obraz 35">
          <a:extLst>
            <a:ext uri="{FF2B5EF4-FFF2-40B4-BE49-F238E27FC236}">
              <a16:creationId xmlns:a16="http://schemas.microsoft.com/office/drawing/2014/main" id="{859DFDA1-0ECB-49C0-81F4-4C9BBDEE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14671" y="9546430"/>
          <a:ext cx="600806" cy="59348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306442</xdr:colOff>
      <xdr:row>50</xdr:row>
      <xdr:rowOff>115653</xdr:rowOff>
    </xdr:from>
    <xdr:ext cx="2929903" cy="2966962"/>
    <xdr:grpSp>
      <xdr:nvGrpSpPr>
        <xdr:cNvPr id="30" name="Grupa 82">
          <a:extLst>
            <a:ext uri="{FF2B5EF4-FFF2-40B4-BE49-F238E27FC236}">
              <a16:creationId xmlns:a16="http://schemas.microsoft.com/office/drawing/2014/main" id="{8D81F079-EA1B-4DEB-9690-75750B33419E}"/>
            </a:ext>
          </a:extLst>
        </xdr:cNvPr>
        <xdr:cNvGrpSpPr/>
      </xdr:nvGrpSpPr>
      <xdr:grpSpPr>
        <a:xfrm>
          <a:off x="7263502" y="9671133"/>
          <a:ext cx="2929903" cy="2966962"/>
          <a:chOff x="6840592" y="8659578"/>
          <a:chExt cx="2929903" cy="2966962"/>
        </a:xfrm>
      </xdr:grpSpPr>
      <xdr:pic>
        <xdr:nvPicPr>
          <xdr:cNvPr id="31" name="Obraz 83">
            <a:extLst>
              <a:ext uri="{FF2B5EF4-FFF2-40B4-BE49-F238E27FC236}">
                <a16:creationId xmlns:a16="http://schemas.microsoft.com/office/drawing/2014/main" id="{70ADDD28-67C9-46BA-872D-CCADEAD327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rcRect l="9885" t="2185" r="10770" b="3360"/>
          <a:stretch>
            <a:fillRect/>
          </a:stretch>
        </xdr:blipFill>
        <xdr:spPr>
          <a:xfrm>
            <a:off x="7618619" y="8659578"/>
            <a:ext cx="1965850" cy="2966962"/>
          </a:xfrm>
          <a:prstGeom prst="rect">
            <a:avLst/>
          </a:prstGeom>
          <a:noFill/>
          <a:ln cap="flat">
            <a:noFill/>
          </a:ln>
        </xdr:spPr>
      </xdr:pic>
      <xdr:cxnSp macro="">
        <xdr:nvCxnSpPr>
          <xdr:cNvPr id="32" name="Łącznik prosty 84">
            <a:extLst>
              <a:ext uri="{FF2B5EF4-FFF2-40B4-BE49-F238E27FC236}">
                <a16:creationId xmlns:a16="http://schemas.microsoft.com/office/drawing/2014/main" id="{52C39370-BC89-41F3-B398-1F0747D04DAB}"/>
              </a:ext>
            </a:extLst>
          </xdr:cNvPr>
          <xdr:cNvCxnSpPr/>
        </xdr:nvCxnSpPr>
        <xdr:spPr>
          <a:xfrm>
            <a:off x="7486003" y="9227182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3" name="Łącznik prosty 85">
            <a:extLst>
              <a:ext uri="{FF2B5EF4-FFF2-40B4-BE49-F238E27FC236}">
                <a16:creationId xmlns:a16="http://schemas.microsoft.com/office/drawing/2014/main" id="{D39F8BC3-3406-4801-8270-9C88C5573CD7}"/>
              </a:ext>
            </a:extLst>
          </xdr:cNvPr>
          <xdr:cNvCxnSpPr/>
        </xdr:nvCxnSpPr>
        <xdr:spPr>
          <a:xfrm>
            <a:off x="9502402" y="9227182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4" name="Łącznik prosty 86">
            <a:extLst>
              <a:ext uri="{FF2B5EF4-FFF2-40B4-BE49-F238E27FC236}">
                <a16:creationId xmlns:a16="http://schemas.microsoft.com/office/drawing/2014/main" id="{98E59A4A-2434-4C98-A304-A1D10831EF07}"/>
              </a:ext>
            </a:extLst>
          </xdr:cNvPr>
          <xdr:cNvCxnSpPr/>
        </xdr:nvCxnSpPr>
        <xdr:spPr>
          <a:xfrm>
            <a:off x="7486717" y="11041251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5" name="Łącznik prosty 87">
            <a:extLst>
              <a:ext uri="{FF2B5EF4-FFF2-40B4-BE49-F238E27FC236}">
                <a16:creationId xmlns:a16="http://schemas.microsoft.com/office/drawing/2014/main" id="{BAA11662-CA72-4F5F-A82C-07B2CADBA550}"/>
              </a:ext>
            </a:extLst>
          </xdr:cNvPr>
          <xdr:cNvCxnSpPr/>
        </xdr:nvCxnSpPr>
        <xdr:spPr>
          <a:xfrm>
            <a:off x="9503115" y="11041251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6" name="Łącznik prosty ze strzałką 88">
            <a:extLst>
              <a:ext uri="{FF2B5EF4-FFF2-40B4-BE49-F238E27FC236}">
                <a16:creationId xmlns:a16="http://schemas.microsoft.com/office/drawing/2014/main" id="{7C3C0808-4376-47D1-9116-87F036409098}"/>
              </a:ext>
            </a:extLst>
          </xdr:cNvPr>
          <xdr:cNvCxnSpPr/>
        </xdr:nvCxnSpPr>
        <xdr:spPr>
          <a:xfrm>
            <a:off x="9770495" y="8712741"/>
            <a:ext cx="0" cy="2854446"/>
          </a:xfrm>
          <a:prstGeom prst="straightConnector1">
            <a:avLst/>
          </a:prstGeom>
          <a:noFill/>
          <a:ln w="19046" cap="flat">
            <a:solidFill>
              <a:srgbClr val="FF0000"/>
            </a:solidFill>
            <a:prstDash val="solid"/>
            <a:miter/>
            <a:headEnd type="arrow"/>
            <a:tailEnd type="arrow"/>
          </a:ln>
        </xdr:spPr>
      </xdr:cxnSp>
      <xdr:cxnSp macro="">
        <xdr:nvCxnSpPr>
          <xdr:cNvPr id="37" name="Łącznik prosty 90">
            <a:extLst>
              <a:ext uri="{FF2B5EF4-FFF2-40B4-BE49-F238E27FC236}">
                <a16:creationId xmlns:a16="http://schemas.microsoft.com/office/drawing/2014/main" id="{60F21A3F-7BC3-4921-A97B-38A2CBF357F2}"/>
              </a:ext>
            </a:extLst>
          </xdr:cNvPr>
          <xdr:cNvCxnSpPr/>
        </xdr:nvCxnSpPr>
        <xdr:spPr>
          <a:xfrm>
            <a:off x="7348313" y="8714643"/>
            <a:ext cx="0" cy="354677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38" name="Łącznik prosty 91">
            <a:extLst>
              <a:ext uri="{FF2B5EF4-FFF2-40B4-BE49-F238E27FC236}">
                <a16:creationId xmlns:a16="http://schemas.microsoft.com/office/drawing/2014/main" id="{C462E30A-19C3-4D1F-B9FE-1BB544F30804}"/>
              </a:ext>
            </a:extLst>
          </xdr:cNvPr>
          <xdr:cNvCxnSpPr/>
        </xdr:nvCxnSpPr>
        <xdr:spPr>
          <a:xfrm>
            <a:off x="7348313" y="11199900"/>
            <a:ext cx="0" cy="354668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39" name="Łącznik prosty 92">
            <a:extLst>
              <a:ext uri="{FF2B5EF4-FFF2-40B4-BE49-F238E27FC236}">
                <a16:creationId xmlns:a16="http://schemas.microsoft.com/office/drawing/2014/main" id="{467AF54C-0682-424B-9AB0-8EB721ED0E72}"/>
              </a:ext>
            </a:extLst>
          </xdr:cNvPr>
          <xdr:cNvCxnSpPr/>
        </xdr:nvCxnSpPr>
        <xdr:spPr>
          <a:xfrm>
            <a:off x="7348313" y="10848898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40" name="Łącznik prosty 93">
            <a:extLst>
              <a:ext uri="{FF2B5EF4-FFF2-40B4-BE49-F238E27FC236}">
                <a16:creationId xmlns:a16="http://schemas.microsoft.com/office/drawing/2014/main" id="{28454228-DD19-4EB4-BBE6-7E09D3A69581}"/>
              </a:ext>
            </a:extLst>
          </xdr:cNvPr>
          <xdr:cNvCxnSpPr/>
        </xdr:nvCxnSpPr>
        <xdr:spPr>
          <a:xfrm>
            <a:off x="7348313" y="9069320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41" name="Łącznik prosty 94">
            <a:extLst>
              <a:ext uri="{FF2B5EF4-FFF2-40B4-BE49-F238E27FC236}">
                <a16:creationId xmlns:a16="http://schemas.microsoft.com/office/drawing/2014/main" id="{E165BE1B-CCD7-4701-A058-F64094213B32}"/>
              </a:ext>
            </a:extLst>
          </xdr:cNvPr>
          <xdr:cNvCxnSpPr/>
        </xdr:nvCxnSpPr>
        <xdr:spPr>
          <a:xfrm>
            <a:off x="7348313" y="9423989"/>
            <a:ext cx="0" cy="1424909"/>
          </a:xfrm>
          <a:prstGeom prst="straightConnector1">
            <a:avLst/>
          </a:prstGeom>
          <a:noFill/>
          <a:ln w="127001" cap="flat">
            <a:solidFill>
              <a:srgbClr val="FF0000"/>
            </a:solidFill>
            <a:prstDash val="solid"/>
            <a:miter/>
          </a:ln>
        </xdr:spPr>
      </xdr:cxnSp>
      <xdr:sp macro="" textlink="">
        <xdr:nvSpPr>
          <xdr:cNvPr id="42" name="Symbol zastępczy zawartości 2">
            <a:extLst>
              <a:ext uri="{FF2B5EF4-FFF2-40B4-BE49-F238E27FC236}">
                <a16:creationId xmlns:a16="http://schemas.microsoft.com/office/drawing/2014/main" id="{F3CF65BC-0A90-4828-B4BE-D4F712EF98B6}"/>
              </a:ext>
            </a:extLst>
          </xdr:cNvPr>
          <xdr:cNvSpPr txBox="1"/>
        </xdr:nvSpPr>
        <xdr:spPr>
          <a:xfrm>
            <a:off x="6840592" y="8758424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3" name="Symbol zastępczy zawartości 2">
            <a:extLst>
              <a:ext uri="{FF2B5EF4-FFF2-40B4-BE49-F238E27FC236}">
                <a16:creationId xmlns:a16="http://schemas.microsoft.com/office/drawing/2014/main" id="{2972A51E-A1C1-4AE4-90CE-113E52F3C4DA}"/>
              </a:ext>
            </a:extLst>
          </xdr:cNvPr>
          <xdr:cNvSpPr txBox="1"/>
        </xdr:nvSpPr>
        <xdr:spPr>
          <a:xfrm>
            <a:off x="6840592" y="9093616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4" name="Symbol zastępczy zawartości 2">
            <a:extLst>
              <a:ext uri="{FF2B5EF4-FFF2-40B4-BE49-F238E27FC236}">
                <a16:creationId xmlns:a16="http://schemas.microsoft.com/office/drawing/2014/main" id="{B68C42F0-E5D6-4DE4-9B11-24D21BD60991}"/>
              </a:ext>
            </a:extLst>
          </xdr:cNvPr>
          <xdr:cNvSpPr txBox="1"/>
        </xdr:nvSpPr>
        <xdr:spPr>
          <a:xfrm>
            <a:off x="6840592" y="10895231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5" name="Symbol zastępczy zawartości 2">
            <a:extLst>
              <a:ext uri="{FF2B5EF4-FFF2-40B4-BE49-F238E27FC236}">
                <a16:creationId xmlns:a16="http://schemas.microsoft.com/office/drawing/2014/main" id="{9A51902C-61D4-47CE-B35B-7A71702776FB}"/>
              </a:ext>
            </a:extLst>
          </xdr:cNvPr>
          <xdr:cNvSpPr txBox="1"/>
        </xdr:nvSpPr>
        <xdr:spPr>
          <a:xfrm>
            <a:off x="6840592" y="11245510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6" name="Symbol zastępczy zawartości 2">
            <a:extLst>
              <a:ext uri="{FF2B5EF4-FFF2-40B4-BE49-F238E27FC236}">
                <a16:creationId xmlns:a16="http://schemas.microsoft.com/office/drawing/2014/main" id="{35B3C2FF-16BA-4613-A293-17E5C8019049}"/>
              </a:ext>
            </a:extLst>
          </xdr:cNvPr>
          <xdr:cNvSpPr txBox="1"/>
        </xdr:nvSpPr>
        <xdr:spPr>
          <a:xfrm rot="16200004">
            <a:off x="6409531" y="10014120"/>
            <a:ext cx="1424909" cy="244647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1" compatLnSpc="0">
            <a:noAutofit/>
          </a:bodyPr>
          <a:lstStyle/>
          <a:p>
            <a:pPr marL="0" marR="0" lvl="0" indent="0" algn="ctr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obszar zabroniony</a:t>
            </a:r>
          </a:p>
        </xdr:txBody>
      </xdr:sp>
    </xdr:grpSp>
    <xdr:clientData/>
  </xdr:oneCellAnchor>
  <xdr:oneCellAnchor>
    <xdr:from>
      <xdr:col>11</xdr:col>
      <xdr:colOff>496656</xdr:colOff>
      <xdr:row>50</xdr:row>
      <xdr:rowOff>35506</xdr:rowOff>
    </xdr:from>
    <xdr:ext cx="1817077" cy="22412"/>
    <xdr:cxnSp macro="">
      <xdr:nvCxnSpPr>
        <xdr:cNvPr id="47" name="Łącznik prosty ze strzałką 100">
          <a:extLst>
            <a:ext uri="{FF2B5EF4-FFF2-40B4-BE49-F238E27FC236}">
              <a16:creationId xmlns:a16="http://schemas.microsoft.com/office/drawing/2014/main" id="{62506D5A-9E86-41BB-BE0A-9B990379A710}"/>
            </a:ext>
          </a:extLst>
        </xdr:cNvPr>
        <xdr:cNvCxnSpPr/>
      </xdr:nvCxnSpPr>
      <xdr:spPr>
        <a:xfrm flipH="1">
          <a:off x="7668981" y="8579431"/>
          <a:ext cx="1817077" cy="22412"/>
        </a:xfrm>
        <a:prstGeom prst="straightConnector1">
          <a:avLst/>
        </a:prstGeom>
        <a:noFill/>
        <a:ln w="19046" cap="flat">
          <a:solidFill>
            <a:srgbClr val="FF0000"/>
          </a:solidFill>
          <a:prstDash val="solid"/>
          <a:miter/>
          <a:headEnd type="arrow"/>
          <a:tailEnd type="arrow"/>
        </a:ln>
      </xdr:spPr>
    </xdr:cxnSp>
    <xdr:clientData/>
  </xdr:oneCellAnchor>
  <xdr:oneCellAnchor>
    <xdr:from>
      <xdr:col>9</xdr:col>
      <xdr:colOff>190496</xdr:colOff>
      <xdr:row>9</xdr:row>
      <xdr:rowOff>197830</xdr:rowOff>
    </xdr:from>
    <xdr:ext cx="3038962" cy="224375"/>
    <xdr:sp macro="" textlink="">
      <xdr:nvSpPr>
        <xdr:cNvPr id="14" name="Prostokąt zaokrąglony 16">
          <a:extLst>
            <a:ext uri="{FF2B5EF4-FFF2-40B4-BE49-F238E27FC236}">
              <a16:creationId xmlns:a16="http://schemas.microsoft.com/office/drawing/2014/main" id="{1CEE1617-3384-4788-ADF3-CD17242E44A0}"/>
            </a:ext>
          </a:extLst>
        </xdr:cNvPr>
        <xdr:cNvSpPr/>
      </xdr:nvSpPr>
      <xdr:spPr>
        <a:xfrm>
          <a:off x="6095996" y="2483830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twoCellAnchor editAs="oneCell">
    <xdr:from>
      <xdr:col>6</xdr:col>
      <xdr:colOff>495299</xdr:colOff>
      <xdr:row>76</xdr:row>
      <xdr:rowOff>10902</xdr:rowOff>
    </xdr:from>
    <xdr:to>
      <xdr:col>7</xdr:col>
      <xdr:colOff>276026</xdr:colOff>
      <xdr:row>78</xdr:row>
      <xdr:rowOff>114140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9E8DBD74-ABB3-46FE-A496-13DC348A7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552824" y="14193627"/>
          <a:ext cx="599877" cy="484238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79</xdr:row>
      <xdr:rowOff>23127</xdr:rowOff>
    </xdr:from>
    <xdr:to>
      <xdr:col>7</xdr:col>
      <xdr:colOff>372600</xdr:colOff>
      <xdr:row>82</xdr:row>
      <xdr:rowOff>52827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AA860396-3E81-4E33-8E8B-F43C56A4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379329">
          <a:off x="3648075" y="14777352"/>
          <a:ext cx="601200" cy="601200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84</xdr:row>
      <xdr:rowOff>134480</xdr:rowOff>
    </xdr:from>
    <xdr:ext cx="737692" cy="180264"/>
    <xdr:pic>
      <xdr:nvPicPr>
        <xdr:cNvPr id="65" name="Obraz 9" descr="Znalezione obrazy dla zapytania logo viessmann">
          <a:extLst>
            <a:ext uri="{FF2B5EF4-FFF2-40B4-BE49-F238E27FC236}">
              <a16:creationId xmlns:a16="http://schemas.microsoft.com/office/drawing/2014/main" id="{525D8118-2E4A-49C8-8DAE-F05F1E800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134480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essmann.net\users\!PanD\Prezentacje\DVD%20dla%20DH\Kalkulatory%20doborowe\18%20Kalkulator%20doborowy%20pomp%20ciep&#322;a%20typu%20Split%202019-11%20&#8212;%20kopi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oj/Downloads/kalkulator_doboru_wentylacji_vitovent_04_2019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_obliczeń"/>
      <sheetName val="Obliczenia_PC"/>
      <sheetName val="Dane_wejsciowe"/>
      <sheetName val="SCOP_Rozwiazanie_1"/>
      <sheetName val="SCOP_Rozwiazanie_2"/>
      <sheetName val="rozwiazanie_1"/>
      <sheetName val="rozwiazanie_2"/>
      <sheetName val="dane_pomp_ciepla"/>
      <sheetName val="Obliczenia_PV"/>
      <sheetName val="Arkusz_koszow_energii"/>
      <sheetName val="Klimat"/>
      <sheetName val="18_Kalkulator_doborowy_pomp_cie"/>
    </sheetNames>
    <sheetDataSet>
      <sheetData sheetId="0"/>
      <sheetData sheetId="1"/>
      <sheetData sheetId="2"/>
      <sheetData sheetId="3"/>
      <sheetData sheetId="4"/>
      <sheetData sheetId="5">
        <row r="139">
          <cell r="B139" t="str">
            <v>Układ monowalentny</v>
          </cell>
        </row>
        <row r="140">
          <cell r="B140" t="str">
            <v>=&gt; Grzałka elektryczna</v>
          </cell>
        </row>
        <row r="141">
          <cell r="B141" t="str">
            <v>Układ biwalentny</v>
          </cell>
        </row>
        <row r="142">
          <cell r="B142" t="str">
            <v>=&gt; Kocioł gazowy tradycyjny</v>
          </cell>
        </row>
        <row r="143">
          <cell r="B143" t="str">
            <v>=&gt; Kocioł gazowy kondensacyjny</v>
          </cell>
        </row>
        <row r="144">
          <cell r="B144" t="str">
            <v>=&gt; Kocioł na propan tradycyjny</v>
          </cell>
        </row>
        <row r="145">
          <cell r="B145" t="str">
            <v>=&gt; Kocioł na propan kondensacyjny</v>
          </cell>
        </row>
        <row r="146">
          <cell r="B146" t="str">
            <v>=&gt; Kocioł na olej tradycyjny</v>
          </cell>
        </row>
        <row r="147">
          <cell r="B147" t="str">
            <v>=&gt; Kocioł na olej kondensacyjny</v>
          </cell>
        </row>
      </sheetData>
      <sheetData sheetId="6"/>
      <sheetData sheetId="7">
        <row r="3">
          <cell r="M3" t="str">
            <v>100-S ~230 V</v>
          </cell>
        </row>
        <row r="4">
          <cell r="M4" t="str">
            <v>Vitocal 100-S AWB-M-E(-AC) 101.A04</v>
          </cell>
        </row>
        <row r="5">
          <cell r="M5" t="str">
            <v>Vitocal 100-S AWB-M-E(-AC) 101.A06</v>
          </cell>
        </row>
        <row r="6">
          <cell r="M6" t="str">
            <v>Vitocal 100-S AWB-M-E(-AC) 101.A08</v>
          </cell>
        </row>
        <row r="7">
          <cell r="M7" t="str">
            <v>Vitocal 100-S AWB-M-E(-AC) 101.A12</v>
          </cell>
        </row>
        <row r="8">
          <cell r="M8" t="str">
            <v>Vitocal 100-S AWB-M-E(-AC) 101.A14</v>
          </cell>
        </row>
        <row r="9">
          <cell r="M9" t="str">
            <v>Vitocal 100-S AWB-M-E(-AC) 101.A16</v>
          </cell>
        </row>
        <row r="10">
          <cell r="M10" t="str">
            <v>100-S ~400 V</v>
          </cell>
        </row>
        <row r="11">
          <cell r="M11" t="str">
            <v>Vitocal 100-S AWB-E(-AC) 101.A12</v>
          </cell>
        </row>
        <row r="12">
          <cell r="M12" t="str">
            <v>Vitocal 100-S AWB-E(-AC) 101.A14</v>
          </cell>
        </row>
        <row r="13">
          <cell r="M13" t="str">
            <v>Vitocal 100-S AWB-E(-AC) 101.A16</v>
          </cell>
        </row>
        <row r="14">
          <cell r="M14" t="str">
            <v>200-S ~230V</v>
          </cell>
        </row>
        <row r="15">
          <cell r="M15" t="str">
            <v>Vitocal 200-S AWB-M-E(-AC) 201.D04</v>
          </cell>
        </row>
        <row r="16">
          <cell r="M16" t="str">
            <v>Vitocal 200-S AWB-M-E(-AC) 201.D06</v>
          </cell>
        </row>
        <row r="17">
          <cell r="M17" t="str">
            <v>Vitocal 200-S AWB-M-E(-AC) 201.D08</v>
          </cell>
        </row>
        <row r="18">
          <cell r="M18" t="str">
            <v>200-S ~400V</v>
          </cell>
        </row>
        <row r="19">
          <cell r="M19" t="str">
            <v>Vitocal 200-S AWB-E(-AC) 201.D10</v>
          </cell>
        </row>
        <row r="20">
          <cell r="M20" t="str">
            <v>Vitocal 200-S AWB-E(-AC) 201.D13</v>
          </cell>
        </row>
        <row r="21">
          <cell r="M21" t="str">
            <v>Vitocal 200-S AWB-E(-AC) 201.D16</v>
          </cell>
        </row>
      </sheetData>
      <sheetData sheetId="8"/>
      <sheetData sheetId="9"/>
      <sheetData sheetId="10">
        <row r="64">
          <cell r="A64" t="str">
            <v>Białystok [-22]</v>
          </cell>
        </row>
        <row r="65">
          <cell r="A65" t="str">
            <v>Gdańsk [-16]</v>
          </cell>
        </row>
        <row r="66">
          <cell r="A66" t="str">
            <v>Gorzów Wielkopolski [-18]</v>
          </cell>
        </row>
        <row r="67">
          <cell r="A67" t="str">
            <v>Katowice [-20]</v>
          </cell>
        </row>
        <row r="68">
          <cell r="A68" t="str">
            <v>Kraków [-20]</v>
          </cell>
        </row>
        <row r="69">
          <cell r="A69" t="str">
            <v>Łódź [-20]</v>
          </cell>
        </row>
        <row r="70">
          <cell r="A70" t="str">
            <v>Suwałki [-24]</v>
          </cell>
        </row>
        <row r="71">
          <cell r="A71" t="str">
            <v>Szczecin [-16]</v>
          </cell>
        </row>
        <row r="72">
          <cell r="A72" t="str">
            <v>Warszawa [-20]</v>
          </cell>
        </row>
        <row r="73">
          <cell r="A73" t="str">
            <v>Wrocław [-18]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_doborowy"/>
      <sheetName val="Centrala_Vitovent"/>
      <sheetName val="Rozdział_powietrza"/>
      <sheetName val="Dane_techniczne"/>
      <sheetName val="Warunki"/>
      <sheetName val="obliczenia-temp"/>
      <sheetName val="Arkusz1"/>
    </sheetNames>
    <sheetDataSet>
      <sheetData sheetId="0">
        <row r="7">
          <cell r="AY7" t="str">
            <v>nawiew</v>
          </cell>
        </row>
        <row r="8">
          <cell r="AY8" t="str">
            <v>wywiew</v>
          </cell>
        </row>
      </sheetData>
      <sheetData sheetId="1"/>
      <sheetData sheetId="2">
        <row r="3">
          <cell r="D3" t="str">
            <v>Vitovent 300-W 300m3/h</v>
          </cell>
          <cell r="E3" t="str">
            <v>szt.</v>
          </cell>
          <cell r="F3" t="str">
            <v>Z014589</v>
          </cell>
          <cell r="G3">
            <v>8839</v>
          </cell>
          <cell r="H3">
            <v>1</v>
          </cell>
        </row>
        <row r="4">
          <cell r="D4" t="str">
            <v>Vitovent 300-W 400m3/h</v>
          </cell>
          <cell r="E4" t="str">
            <v>szt.</v>
          </cell>
          <cell r="F4" t="str">
            <v>Z014590</v>
          </cell>
          <cell r="G4">
            <v>10946</v>
          </cell>
          <cell r="H4">
            <v>2</v>
          </cell>
        </row>
        <row r="5">
          <cell r="D5" t="str">
            <v>Moduł LB1</v>
          </cell>
          <cell r="E5" t="str">
            <v>szt.</v>
          </cell>
          <cell r="F5" t="str">
            <v>Z015318</v>
          </cell>
          <cell r="G5">
            <v>1099</v>
          </cell>
          <cell r="H5">
            <v>3</v>
          </cell>
        </row>
        <row r="6">
          <cell r="D6" t="str">
            <v>Przewód połączeniowy Vitocal</v>
          </cell>
          <cell r="E6" t="str">
            <v>szt.</v>
          </cell>
          <cell r="F6" t="str">
            <v>ZK02789</v>
          </cell>
          <cell r="G6">
            <v>73</v>
          </cell>
          <cell r="H6">
            <v>4</v>
          </cell>
        </row>
        <row r="7">
          <cell r="D7" t="str">
            <v>Czujnik wilgotności</v>
          </cell>
          <cell r="E7" t="str">
            <v>szt.</v>
          </cell>
          <cell r="F7" t="str">
            <v>ZK02539</v>
          </cell>
          <cell r="G7">
            <v>995</v>
          </cell>
          <cell r="H7">
            <v>5</v>
          </cell>
        </row>
        <row r="8">
          <cell r="D8" t="str">
            <v>Czujnik CO2/wilgoci</v>
          </cell>
          <cell r="E8" t="str">
            <v>szt.</v>
          </cell>
          <cell r="F8">
            <v>7501978</v>
          </cell>
          <cell r="G8">
            <v>1229</v>
          </cell>
          <cell r="H8">
            <v>6</v>
          </cell>
        </row>
        <row r="9">
          <cell r="D9" t="str">
            <v>Elastyczny kanał okrągły DN63</v>
          </cell>
          <cell r="E9" t="str">
            <v>50m/rolka</v>
          </cell>
          <cell r="F9">
            <v>7546056</v>
          </cell>
          <cell r="G9">
            <v>706</v>
          </cell>
          <cell r="H9">
            <v>7</v>
          </cell>
        </row>
        <row r="10">
          <cell r="D10" t="str">
            <v>Skrzynka do anemostatu</v>
          </cell>
          <cell r="E10" t="str">
            <v>szt.</v>
          </cell>
          <cell r="F10">
            <v>7546057</v>
          </cell>
          <cell r="G10">
            <v>246</v>
          </cell>
          <cell r="H10">
            <v>8</v>
          </cell>
        </row>
        <row r="11">
          <cell r="D11" t="str">
            <v>Anemostat metalowy nawiewny</v>
          </cell>
          <cell r="E11" t="str">
            <v>szt.</v>
          </cell>
          <cell r="F11">
            <v>7546059</v>
          </cell>
          <cell r="G11">
            <v>47.4</v>
          </cell>
          <cell r="H11">
            <v>9</v>
          </cell>
        </row>
        <row r="12">
          <cell r="D12" t="str">
            <v>Anemostat metalowy wywiewny</v>
          </cell>
          <cell r="E12" t="str">
            <v>szt.</v>
          </cell>
          <cell r="F12">
            <v>7546060</v>
          </cell>
          <cell r="G12">
            <v>39</v>
          </cell>
          <cell r="H12">
            <v>10</v>
          </cell>
        </row>
        <row r="13">
          <cell r="D13" t="str">
            <v>Skrzynka rozdzielcza 18x63</v>
          </cell>
          <cell r="E13" t="str">
            <v>szt.</v>
          </cell>
          <cell r="F13">
            <v>7546061</v>
          </cell>
          <cell r="G13">
            <v>914</v>
          </cell>
          <cell r="H13">
            <v>11</v>
          </cell>
        </row>
        <row r="14">
          <cell r="D14" t="str">
            <v>Skrzynka rozdzielcza 12x63</v>
          </cell>
          <cell r="E14" t="str">
            <v>szt.</v>
          </cell>
          <cell r="F14">
            <v>7546062</v>
          </cell>
          <cell r="G14">
            <v>782</v>
          </cell>
          <cell r="H14">
            <v>12</v>
          </cell>
        </row>
        <row r="15">
          <cell r="D15" t="str">
            <v>Tłumik dźwięku, giętki; 1,1m; DN180; 25mm</v>
          </cell>
          <cell r="E15" t="str">
            <v>szt.</v>
          </cell>
          <cell r="F15">
            <v>7373027</v>
          </cell>
          <cell r="G15">
            <v>504</v>
          </cell>
          <cell r="H15">
            <v>13</v>
          </cell>
        </row>
        <row r="16">
          <cell r="D16" t="str">
            <v>Tłumik dźwięku, giętki; 1,1m; DN180; 50mm</v>
          </cell>
          <cell r="E16" t="str">
            <v>szt.</v>
          </cell>
          <cell r="F16" t="str">
            <v>ZK03037</v>
          </cell>
          <cell r="G16">
            <v>801</v>
          </cell>
          <cell r="H16">
            <v>14</v>
          </cell>
        </row>
        <row r="17">
          <cell r="D17" t="str">
            <v>Kratka 200x100 podłączenie z góry</v>
          </cell>
          <cell r="E17" t="str">
            <v>szt.</v>
          </cell>
          <cell r="F17">
            <v>7546065</v>
          </cell>
          <cell r="G17">
            <v>405</v>
          </cell>
          <cell r="H17">
            <v>15</v>
          </cell>
        </row>
        <row r="18">
          <cell r="D18" t="str">
            <v>Kratka 200x100 podłączenie z tyłu</v>
          </cell>
          <cell r="E18" t="str">
            <v>szt.</v>
          </cell>
          <cell r="F18">
            <v>7546066</v>
          </cell>
          <cell r="G18">
            <v>405</v>
          </cell>
          <cell r="H18">
            <v>16</v>
          </cell>
        </row>
        <row r="19">
          <cell r="D19" t="str">
            <v>Łącznik kanałów DN63</v>
          </cell>
          <cell r="E19" t="str">
            <v>szt.</v>
          </cell>
          <cell r="F19">
            <v>7546067</v>
          </cell>
          <cell r="G19">
            <v>30.6</v>
          </cell>
          <cell r="H19">
            <v>17</v>
          </cell>
        </row>
        <row r="20">
          <cell r="D20" t="str">
            <v>Nóż do kanałów DN63</v>
          </cell>
          <cell r="E20" t="str">
            <v>szt.</v>
          </cell>
          <cell r="F20">
            <v>7546068</v>
          </cell>
          <cell r="G20">
            <v>232</v>
          </cell>
          <cell r="H20">
            <v>18</v>
          </cell>
        </row>
        <row r="21">
          <cell r="D21" t="str">
            <v>Uchwyt mocujący do kanałów DN63</v>
          </cell>
          <cell r="E21" t="str">
            <v>szt.</v>
          </cell>
          <cell r="F21">
            <v>7546069</v>
          </cell>
          <cell r="G21">
            <v>6.3</v>
          </cell>
          <cell r="H21">
            <v>19</v>
          </cell>
        </row>
        <row r="22">
          <cell r="D22" t="str">
            <v>Kanał izolowany 200/174</v>
          </cell>
          <cell r="E22" t="str">
            <v>2m/szt.</v>
          </cell>
          <cell r="F22">
            <v>7546070</v>
          </cell>
          <cell r="G22">
            <v>309</v>
          </cell>
          <cell r="H22">
            <v>20</v>
          </cell>
        </row>
        <row r="23">
          <cell r="D23" t="str">
            <v>Kolano izolowane z mufą 90 stopni</v>
          </cell>
          <cell r="E23" t="str">
            <v>szt.</v>
          </cell>
          <cell r="F23">
            <v>7546071</v>
          </cell>
          <cell r="G23">
            <v>140</v>
          </cell>
          <cell r="H23">
            <v>21</v>
          </cell>
        </row>
        <row r="24">
          <cell r="D24" t="str">
            <v>Kolano izolowane z mufą 45 stopni</v>
          </cell>
          <cell r="E24" t="str">
            <v>szt.</v>
          </cell>
          <cell r="F24">
            <v>7546072</v>
          </cell>
          <cell r="G24">
            <v>102</v>
          </cell>
          <cell r="H24">
            <v>22</v>
          </cell>
        </row>
        <row r="25">
          <cell r="D25" t="str">
            <v>Mufa łącząca 200/200</v>
          </cell>
          <cell r="E25" t="str">
            <v>szt.</v>
          </cell>
          <cell r="F25">
            <v>7546073</v>
          </cell>
          <cell r="G25">
            <v>47</v>
          </cell>
          <cell r="H25">
            <v>23</v>
          </cell>
        </row>
        <row r="26">
          <cell r="D26" t="str">
            <v>Mufa/redukcja 200/180</v>
          </cell>
          <cell r="E26" t="str">
            <v>szt.</v>
          </cell>
          <cell r="F26">
            <v>7546074</v>
          </cell>
          <cell r="G26">
            <v>58</v>
          </cell>
          <cell r="H26">
            <v>24</v>
          </cell>
        </row>
        <row r="27">
          <cell r="D27" t="str">
            <v>Mufa/redukcja 200/150</v>
          </cell>
          <cell r="E27" t="str">
            <v>szt.</v>
          </cell>
          <cell r="F27">
            <v>7546075</v>
          </cell>
          <cell r="G27">
            <v>59</v>
          </cell>
          <cell r="H27">
            <v>25</v>
          </cell>
        </row>
        <row r="28">
          <cell r="D28" t="str">
            <v>Czerpnia/wyrzutnia ścienna z rurą montażow</v>
          </cell>
          <cell r="E28" t="str">
            <v>szt.</v>
          </cell>
          <cell r="F28">
            <v>7663729</v>
          </cell>
          <cell r="G28">
            <v>234</v>
          </cell>
          <cell r="H28">
            <v>26</v>
          </cell>
        </row>
        <row r="29">
          <cell r="D29" t="str">
            <v>Czerpnia/wyrzutnia ścienna</v>
          </cell>
          <cell r="E29" t="str">
            <v>szt.</v>
          </cell>
          <cell r="F29">
            <v>7546076</v>
          </cell>
          <cell r="G29">
            <v>273</v>
          </cell>
          <cell r="H29">
            <v>27</v>
          </cell>
        </row>
        <row r="30">
          <cell r="D30" t="str">
            <v>Wyrzutnia dachowa</v>
          </cell>
          <cell r="E30" t="str">
            <v>szt.</v>
          </cell>
          <cell r="F30">
            <v>7547618</v>
          </cell>
          <cell r="G30">
            <v>639</v>
          </cell>
          <cell r="H30">
            <v>28</v>
          </cell>
        </row>
      </sheetData>
      <sheetData sheetId="3"/>
      <sheetData sheetId="4">
        <row r="6">
          <cell r="B6" t="str">
            <v>Pokój dzienny</v>
          </cell>
          <cell r="C6">
            <v>20</v>
          </cell>
          <cell r="D6">
            <v>20</v>
          </cell>
          <cell r="E6">
            <v>1</v>
          </cell>
          <cell r="F6">
            <v>1</v>
          </cell>
          <cell r="H6" t="str">
            <v>nawiew</v>
          </cell>
          <cell r="I6">
            <v>60</v>
          </cell>
        </row>
        <row r="7">
          <cell r="B7" t="str">
            <v>Gabinet</v>
          </cell>
          <cell r="C7">
            <v>20</v>
          </cell>
          <cell r="D7">
            <v>20</v>
          </cell>
          <cell r="E7">
            <v>1</v>
          </cell>
          <cell r="F7">
            <v>1</v>
          </cell>
          <cell r="H7" t="str">
            <v>nawiew</v>
          </cell>
          <cell r="I7">
            <v>60</v>
          </cell>
        </row>
        <row r="8">
          <cell r="B8" t="str">
            <v>Sypialnia</v>
          </cell>
          <cell r="C8">
            <v>20</v>
          </cell>
          <cell r="D8">
            <v>20</v>
          </cell>
          <cell r="E8">
            <v>1</v>
          </cell>
          <cell r="F8">
            <v>1</v>
          </cell>
          <cell r="H8" t="str">
            <v>nawiew</v>
          </cell>
          <cell r="I8">
            <v>60</v>
          </cell>
        </row>
        <row r="9">
          <cell r="B9" t="str">
            <v>Salon</v>
          </cell>
          <cell r="C9">
            <v>20</v>
          </cell>
          <cell r="D9">
            <v>20</v>
          </cell>
          <cell r="E9">
            <v>1</v>
          </cell>
          <cell r="F9">
            <v>1</v>
          </cell>
          <cell r="H9" t="str">
            <v>nawiew</v>
          </cell>
          <cell r="I9">
            <v>60</v>
          </cell>
        </row>
        <row r="10">
          <cell r="B10" t="str">
            <v>Jadalnia</v>
          </cell>
          <cell r="C10">
            <v>20</v>
          </cell>
          <cell r="D10">
            <v>20</v>
          </cell>
          <cell r="E10">
            <v>1</v>
          </cell>
          <cell r="F10">
            <v>1</v>
          </cell>
          <cell r="H10" t="str">
            <v>nawiew</v>
          </cell>
          <cell r="I10">
            <v>60</v>
          </cell>
        </row>
        <row r="11">
          <cell r="B11" t="str">
            <v>Pomieszczenie / nawiew</v>
          </cell>
          <cell r="C11">
            <v>20</v>
          </cell>
          <cell r="D11">
            <v>20</v>
          </cell>
          <cell r="E11">
            <v>1</v>
          </cell>
          <cell r="F11">
            <v>1</v>
          </cell>
          <cell r="H11" t="str">
            <v>nawiew</v>
          </cell>
          <cell r="I11">
            <v>60</v>
          </cell>
        </row>
        <row r="12">
          <cell r="B12" t="str">
            <v>Pomieszczenie / wywiew</v>
          </cell>
          <cell r="C12">
            <v>20</v>
          </cell>
          <cell r="D12">
            <v>20</v>
          </cell>
          <cell r="E12">
            <v>1</v>
          </cell>
          <cell r="F12">
            <v>1</v>
          </cell>
          <cell r="H12" t="str">
            <v>wywiew</v>
          </cell>
          <cell r="I12">
            <v>60</v>
          </cell>
        </row>
        <row r="13">
          <cell r="C13" t="str">
            <v>[m3/h]</v>
          </cell>
          <cell r="D13" t="str">
            <v>[m3/h]</v>
          </cell>
        </row>
        <row r="14">
          <cell r="B14" t="str">
            <v>Kuchnia otwarta z kuchenką gazową</v>
          </cell>
          <cell r="D14">
            <v>70</v>
          </cell>
          <cell r="E14">
            <v>2</v>
          </cell>
          <cell r="F14">
            <v>2</v>
          </cell>
          <cell r="H14" t="str">
            <v>wywiew</v>
          </cell>
          <cell r="I14">
            <v>75</v>
          </cell>
        </row>
        <row r="15">
          <cell r="B15" t="str">
            <v>Kuchnia otwarta z kuchenką elektryczną</v>
          </cell>
          <cell r="D15">
            <v>50</v>
          </cell>
          <cell r="E15">
            <v>2</v>
          </cell>
          <cell r="F15">
            <v>2</v>
          </cell>
          <cell r="H15" t="str">
            <v>wywiew</v>
          </cell>
          <cell r="I15">
            <v>75</v>
          </cell>
        </row>
        <row r="16">
          <cell r="B16" t="str">
            <v>Łazienka</v>
          </cell>
          <cell r="D16">
            <v>50</v>
          </cell>
          <cell r="E16">
            <v>2</v>
          </cell>
          <cell r="F16">
            <v>3</v>
          </cell>
          <cell r="H16" t="str">
            <v>wywiew</v>
          </cell>
          <cell r="I16">
            <v>75</v>
          </cell>
        </row>
        <row r="17">
          <cell r="B17" t="str">
            <v>WC (bez wanny lub kabiny prysznicowej)</v>
          </cell>
          <cell r="D17">
            <v>30</v>
          </cell>
          <cell r="E17">
            <v>2</v>
          </cell>
          <cell r="F17">
            <v>3</v>
          </cell>
          <cell r="H17" t="str">
            <v>wywiew</v>
          </cell>
          <cell r="I17">
            <v>75</v>
          </cell>
        </row>
        <row r="18">
          <cell r="B18" t="str">
            <v>Klatka schodowa, hol</v>
          </cell>
          <cell r="D18">
            <v>0</v>
          </cell>
          <cell r="F18">
            <v>1</v>
          </cell>
          <cell r="G18">
            <v>50</v>
          </cell>
          <cell r="H18" t="str">
            <v>wywiew</v>
          </cell>
          <cell r="I18">
            <v>75</v>
          </cell>
        </row>
        <row r="19">
          <cell r="B19" t="str">
            <v>Pomieszczenie gospodarcze</v>
          </cell>
          <cell r="D19">
            <v>15</v>
          </cell>
          <cell r="E19">
            <v>1</v>
          </cell>
          <cell r="F19">
            <v>1</v>
          </cell>
          <cell r="H19" t="str">
            <v>wywiew</v>
          </cell>
          <cell r="I19">
            <v>75</v>
          </cell>
        </row>
        <row r="20">
          <cell r="B20" t="str">
            <v>Garderoba</v>
          </cell>
          <cell r="D20">
            <v>15</v>
          </cell>
          <cell r="E20">
            <v>0.5</v>
          </cell>
          <cell r="F20">
            <v>0.5</v>
          </cell>
          <cell r="H20" t="str">
            <v>wywiew</v>
          </cell>
          <cell r="I20">
            <v>75</v>
          </cell>
        </row>
        <row r="21">
          <cell r="B21" t="str">
            <v>Wiatrołap</v>
          </cell>
          <cell r="D21">
            <v>15</v>
          </cell>
          <cell r="E21">
            <v>0.5</v>
          </cell>
          <cell r="F21">
            <v>0.5</v>
          </cell>
          <cell r="H21" t="str">
            <v>wywiew</v>
          </cell>
          <cell r="I21">
            <v>75</v>
          </cell>
        </row>
        <row r="22">
          <cell r="B22" t="str">
            <v>Pomieszczenie rekreacyjne</v>
          </cell>
          <cell r="D22">
            <v>20</v>
          </cell>
          <cell r="E22">
            <v>2</v>
          </cell>
          <cell r="F22">
            <v>2</v>
          </cell>
          <cell r="H22" t="str">
            <v>wywiew</v>
          </cell>
          <cell r="I22">
            <v>60</v>
          </cell>
        </row>
        <row r="23">
          <cell r="B23" t="str">
            <v>Pralnia, suszarnia</v>
          </cell>
          <cell r="D23">
            <v>0</v>
          </cell>
          <cell r="E23">
            <v>2</v>
          </cell>
          <cell r="F23">
            <v>2</v>
          </cell>
          <cell r="H23" t="str">
            <v>wywiew</v>
          </cell>
          <cell r="I23">
            <v>75</v>
          </cell>
        </row>
        <row r="24">
          <cell r="B24" t="str">
            <v>Spiżarnia</v>
          </cell>
          <cell r="D24">
            <v>15</v>
          </cell>
          <cell r="E24">
            <v>1</v>
          </cell>
          <cell r="F24">
            <v>1</v>
          </cell>
          <cell r="H24" t="str">
            <v>wywiew</v>
          </cell>
          <cell r="I24">
            <v>75</v>
          </cell>
        </row>
        <row r="25">
          <cell r="B25" t="str">
            <v>Kotłownia z kotłem grupy C lub pompą ciepła</v>
          </cell>
          <cell r="C25">
            <v>15</v>
          </cell>
          <cell r="D25">
            <v>15</v>
          </cell>
          <cell r="E25">
            <v>1</v>
          </cell>
          <cell r="F25">
            <v>1</v>
          </cell>
          <cell r="H25" t="str">
            <v>wywiew</v>
          </cell>
          <cell r="I25">
            <v>75</v>
          </cell>
        </row>
        <row r="26">
          <cell r="B26" t="str">
            <v>Garaż</v>
          </cell>
          <cell r="H26" t="str">
            <v>nawiew</v>
          </cell>
        </row>
        <row r="36">
          <cell r="B36" t="str">
            <v>- - - - - - - - - - - - - - - NAWIEW - - - - - - - - - - - - - - -</v>
          </cell>
        </row>
        <row r="37">
          <cell r="B37" t="str">
            <v>Pokój dzienny</v>
          </cell>
        </row>
        <row r="38">
          <cell r="B38" t="str">
            <v>Gabinet</v>
          </cell>
        </row>
        <row r="39">
          <cell r="B39" t="str">
            <v>Sypialnia</v>
          </cell>
        </row>
        <row r="40">
          <cell r="B40" t="str">
            <v>Salon</v>
          </cell>
        </row>
        <row r="41">
          <cell r="B41" t="str">
            <v>Jadalnia</v>
          </cell>
        </row>
        <row r="42">
          <cell r="B42" t="str">
            <v>Pomieszczenie / nawiew</v>
          </cell>
        </row>
        <row r="43">
          <cell r="B43" t="str">
            <v>- - - - - - - - - - - - - - - WYWIEW - - - - - - - - - - - - - - -</v>
          </cell>
        </row>
        <row r="44">
          <cell r="B44" t="str">
            <v>Pomieszczenie / wywiew</v>
          </cell>
        </row>
        <row r="45">
          <cell r="B45" t="str">
            <v>Kuchnia otwarta z kuchenką gazową</v>
          </cell>
        </row>
        <row r="46">
          <cell r="B46" t="str">
            <v>Kuchnia otwarta z kuchenką elektryczną</v>
          </cell>
        </row>
        <row r="47">
          <cell r="B47" t="str">
            <v>Łazienka</v>
          </cell>
        </row>
        <row r="48">
          <cell r="B48" t="str">
            <v>WC (bez wanny lub kabiny prysznicowej)</v>
          </cell>
        </row>
        <row r="49">
          <cell r="B49" t="str">
            <v>Klatka schodowa, hol</v>
          </cell>
        </row>
        <row r="50">
          <cell r="B50" t="str">
            <v>Pomieszczenie gospodarcze</v>
          </cell>
        </row>
        <row r="51">
          <cell r="B51" t="str">
            <v>Garderoba</v>
          </cell>
        </row>
        <row r="52">
          <cell r="B52" t="str">
            <v>Wiatrołap</v>
          </cell>
        </row>
        <row r="53">
          <cell r="B53" t="str">
            <v>Pomieszczenie rekreacyjne</v>
          </cell>
        </row>
        <row r="54">
          <cell r="B54" t="str">
            <v>Pralnia, suszarnia</v>
          </cell>
        </row>
        <row r="55">
          <cell r="B55" t="str">
            <v>Spiżarnia</v>
          </cell>
        </row>
        <row r="56">
          <cell r="B56" t="str">
            <v>Kotłownia z kotłem grupy C lub pompą ciepła</v>
          </cell>
        </row>
        <row r="57">
          <cell r="B57" t="str">
            <v>Garaż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"/>
  <dimension ref="A1:AO110"/>
  <sheetViews>
    <sheetView topLeftCell="A41" workbookViewId="0">
      <selection activeCell="D76" sqref="D76:F76"/>
    </sheetView>
  </sheetViews>
  <sheetFormatPr defaultColWidth="9.109375" defaultRowHeight="14.4"/>
  <cols>
    <col min="1" max="1" width="3.109375" style="5" customWidth="1"/>
    <col min="2" max="2" width="3.44140625" style="5" customWidth="1"/>
    <col min="3" max="3" width="8.44140625" style="5" customWidth="1"/>
    <col min="4" max="4" width="11.33203125" style="5" customWidth="1"/>
    <col min="5" max="5" width="9.109375" style="5" customWidth="1"/>
    <col min="6" max="6" width="10.44140625" style="5" customWidth="1"/>
    <col min="7" max="7" width="12.33203125" style="5" customWidth="1"/>
    <col min="8" max="8" width="17" style="5" customWidth="1"/>
    <col min="9" max="9" width="13.44140625" style="5" customWidth="1"/>
    <col min="10" max="10" width="9.44140625" style="5" customWidth="1"/>
    <col min="11" max="11" width="9.5546875" style="5" customWidth="1"/>
    <col min="12" max="12" width="10.33203125" style="5" customWidth="1"/>
    <col min="13" max="13" width="6.5546875" style="5" bestFit="1" customWidth="1"/>
    <col min="14" max="14" width="6.109375" style="5" customWidth="1"/>
    <col min="15" max="15" width="7" style="5" customWidth="1"/>
    <col min="16" max="16" width="4.88671875" style="5" customWidth="1"/>
    <col min="17" max="17" width="13" style="5" customWidth="1"/>
    <col min="18" max="18" width="5.6640625" style="5" customWidth="1"/>
    <col min="19" max="19" width="9.109375" style="12" customWidth="1"/>
    <col min="20" max="22" width="9.109375" style="5" customWidth="1"/>
    <col min="23" max="23" width="26.44140625" style="5" customWidth="1"/>
    <col min="24" max="27" width="9.109375" style="5" customWidth="1"/>
    <col min="28" max="28" width="25" style="5" customWidth="1"/>
    <col min="29" max="29" width="9.109375" style="5" customWidth="1"/>
    <col min="30" max="16384" width="9.109375" style="5"/>
  </cols>
  <sheetData>
    <row r="1" spans="1:41" ht="33.75" customHeight="1">
      <c r="A1" s="1"/>
      <c r="B1" s="2"/>
      <c r="C1" s="2"/>
      <c r="D1" s="2"/>
      <c r="E1" s="2"/>
      <c r="F1" s="191" t="str">
        <f>"Moc generatora PV : "&amp;G93&amp;" kWp"</f>
        <v>Moc generatora PV : 9,86 kWp</v>
      </c>
      <c r="G1" s="191"/>
      <c r="H1" s="191"/>
      <c r="I1" s="3"/>
      <c r="J1" s="191" t="str">
        <f>"Dane klienta : " &amp;L10</f>
        <v>Dane klienta : Imie i Nazwisko</v>
      </c>
      <c r="K1" s="191"/>
      <c r="L1" s="191"/>
      <c r="M1" s="191"/>
      <c r="N1" s="3"/>
      <c r="O1" s="3"/>
      <c r="P1" s="3"/>
      <c r="Q1" s="3"/>
      <c r="R1" s="3"/>
      <c r="S1" s="4"/>
      <c r="U1" s="6"/>
      <c r="V1" s="6"/>
      <c r="W1" s="7"/>
      <c r="X1" s="7"/>
      <c r="Y1" s="8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ht="15" customHeight="1">
      <c r="A2" s="1"/>
      <c r="B2" s="9"/>
      <c r="S2" s="4"/>
      <c r="U2" s="6"/>
      <c r="V2" s="6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ht="15" customHeight="1">
      <c r="A3" s="1"/>
      <c r="B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6"/>
      <c r="W3" s="7"/>
      <c r="X3" s="7"/>
      <c r="Y3" s="8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ht="15" customHeight="1">
      <c r="A4" s="1"/>
      <c r="B4" s="9"/>
      <c r="D4" s="10"/>
      <c r="E4" s="10"/>
      <c r="F4" s="10"/>
      <c r="G4" s="10"/>
      <c r="I4" s="11"/>
      <c r="J4" s="11"/>
      <c r="K4" s="11"/>
      <c r="L4" s="11"/>
      <c r="M4" s="11"/>
      <c r="N4" s="11"/>
      <c r="O4" s="11"/>
      <c r="P4" s="11"/>
      <c r="Q4" s="11"/>
      <c r="R4" s="11"/>
      <c r="T4" s="10"/>
      <c r="U4" s="10"/>
      <c r="V4" s="6"/>
      <c r="W4" s="7"/>
      <c r="X4" s="7"/>
      <c r="Y4" s="8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8"/>
      <c r="AN4" s="8"/>
      <c r="AO4" s="8"/>
    </row>
    <row r="5" spans="1:41" ht="15" customHeight="1">
      <c r="A5" s="1"/>
      <c r="B5" s="9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3"/>
      <c r="U5" s="14"/>
      <c r="W5" s="7"/>
      <c r="X5" s="7"/>
      <c r="Y5" s="8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8"/>
      <c r="AN5" s="8"/>
      <c r="AO5" s="8"/>
    </row>
    <row r="6" spans="1:41" ht="15" customHeight="1">
      <c r="A6" s="1"/>
      <c r="B6" s="9"/>
      <c r="F6" s="15"/>
      <c r="G6" s="15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4"/>
      <c r="U6" s="16"/>
      <c r="V6" s="17"/>
      <c r="W6" s="7"/>
      <c r="X6" s="7"/>
      <c r="Y6" s="8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8"/>
      <c r="AN6" s="8"/>
      <c r="AO6" s="8"/>
    </row>
    <row r="7" spans="1:41" ht="15" customHeight="1">
      <c r="A7" s="1"/>
      <c r="B7" s="9"/>
      <c r="E7" s="18"/>
      <c r="F7" s="19"/>
      <c r="G7" s="19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4"/>
      <c r="U7" s="16"/>
      <c r="V7" s="17"/>
      <c r="W7" s="7"/>
      <c r="X7" s="7"/>
      <c r="Y7" s="8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8"/>
      <c r="AN7" s="8"/>
      <c r="AO7" s="8"/>
    </row>
    <row r="8" spans="1:41" ht="15" customHeight="1">
      <c r="A8" s="1"/>
      <c r="F8" s="15"/>
      <c r="G8" s="15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4"/>
      <c r="U8" s="16"/>
      <c r="V8" s="17"/>
      <c r="W8" s="7"/>
      <c r="X8" s="7"/>
      <c r="Y8" s="8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8"/>
      <c r="AN8" s="8"/>
      <c r="AO8" s="8"/>
    </row>
    <row r="9" spans="1:41" ht="41.25" customHeight="1">
      <c r="A9" s="1"/>
      <c r="H9" s="20"/>
      <c r="I9" s="20"/>
      <c r="J9" s="20"/>
      <c r="K9" s="20"/>
      <c r="L9" s="20"/>
      <c r="M9" s="20"/>
      <c r="S9" s="4"/>
      <c r="U9" s="16"/>
      <c r="V9" s="17"/>
      <c r="W9" s="7"/>
      <c r="X9" s="7"/>
      <c r="Y9" s="8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8"/>
      <c r="AN9" s="8"/>
      <c r="AO9" s="8"/>
    </row>
    <row r="10" spans="1:41" ht="48" customHeight="1">
      <c r="A10" s="1"/>
      <c r="B10" s="21"/>
      <c r="C10" s="21"/>
      <c r="D10" s="193" t="s">
        <v>0</v>
      </c>
      <c r="E10" s="193"/>
      <c r="F10" s="193"/>
      <c r="G10" s="22">
        <f ca="1">TODAY()</f>
        <v>45096</v>
      </c>
      <c r="H10" s="22"/>
      <c r="I10" s="23"/>
      <c r="J10" s="194" t="s">
        <v>1</v>
      </c>
      <c r="K10" s="194"/>
      <c r="L10" s="24" t="s">
        <v>2</v>
      </c>
      <c r="M10" s="23"/>
      <c r="N10" s="23"/>
      <c r="O10" s="23"/>
      <c r="P10" s="23"/>
      <c r="Q10" s="23"/>
      <c r="R10" s="23"/>
      <c r="S10" s="4"/>
      <c r="U10" s="16"/>
      <c r="V10" s="17"/>
      <c r="W10" s="7"/>
      <c r="X10" s="7"/>
      <c r="Y10" s="8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8"/>
      <c r="AN10" s="8"/>
      <c r="AO10" s="8"/>
    </row>
    <row r="11" spans="1:41" ht="11.25" customHeight="1">
      <c r="A11" s="1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4"/>
      <c r="U11" s="16"/>
      <c r="V11" s="17"/>
      <c r="W11" s="7"/>
      <c r="X11" s="7"/>
      <c r="Y11" s="8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8"/>
      <c r="AN11" s="8"/>
      <c r="AO11" s="8"/>
    </row>
    <row r="12" spans="1:41" ht="15" customHeight="1">
      <c r="A12" s="1"/>
      <c r="B12" s="187" t="s">
        <v>3</v>
      </c>
      <c r="C12" s="188" t="s">
        <v>4</v>
      </c>
      <c r="D12" s="188"/>
      <c r="E12" s="188"/>
      <c r="F12" s="188"/>
      <c r="G12" s="188"/>
      <c r="H12" s="188"/>
      <c r="I12" s="188"/>
      <c r="J12" s="188"/>
      <c r="K12" s="25"/>
      <c r="L12" s="25"/>
      <c r="M12" s="25"/>
      <c r="N12" s="25"/>
      <c r="O12" s="25"/>
      <c r="P12" s="25"/>
      <c r="Q12" s="25"/>
      <c r="R12" s="25"/>
      <c r="S12" s="4"/>
      <c r="U12" s="16"/>
      <c r="V12" s="17"/>
      <c r="W12" s="7"/>
      <c r="X12" s="7"/>
      <c r="Y12" s="8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8"/>
      <c r="AN12" s="8"/>
      <c r="AO12" s="8"/>
    </row>
    <row r="13" spans="1:41" ht="15" customHeight="1">
      <c r="A13" s="1"/>
      <c r="B13" s="187"/>
      <c r="C13" s="188"/>
      <c r="D13" s="188"/>
      <c r="E13" s="188"/>
      <c r="F13" s="188"/>
      <c r="G13" s="188"/>
      <c r="H13" s="188"/>
      <c r="I13" s="188"/>
      <c r="J13" s="188"/>
      <c r="K13" s="25"/>
      <c r="L13" s="25"/>
      <c r="M13" s="25"/>
      <c r="N13" s="25"/>
      <c r="O13" s="25"/>
      <c r="P13" s="25"/>
      <c r="Q13" s="25"/>
      <c r="R13" s="25"/>
      <c r="S13" s="4"/>
      <c r="U13" s="16"/>
      <c r="V13" s="17"/>
      <c r="W13" s="7"/>
      <c r="X13" s="7"/>
      <c r="Y13" s="8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8"/>
      <c r="AN13" s="8"/>
      <c r="AO13" s="8"/>
    </row>
    <row r="14" spans="1:41" ht="11.25" customHeight="1">
      <c r="A14" s="1"/>
      <c r="B14" s="187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4"/>
      <c r="U14" s="16"/>
      <c r="V14" s="17"/>
      <c r="W14" s="7"/>
      <c r="X14" s="7"/>
      <c r="Y14" s="8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8"/>
      <c r="AN14" s="8"/>
      <c r="AO14" s="8"/>
    </row>
    <row r="15" spans="1:41" ht="29.25" customHeight="1">
      <c r="A15" s="1"/>
      <c r="B15" s="187"/>
      <c r="C15" s="25"/>
      <c r="D15" s="189" t="s">
        <v>5</v>
      </c>
      <c r="E15" s="189"/>
      <c r="F15" s="189"/>
      <c r="G15" s="189"/>
      <c r="H15" s="190" t="s">
        <v>6</v>
      </c>
      <c r="I15" s="190"/>
      <c r="J15" s="27" t="s">
        <v>7</v>
      </c>
      <c r="K15" s="25"/>
      <c r="L15" s="25"/>
      <c r="M15" s="25"/>
      <c r="N15" s="25"/>
      <c r="O15" s="25"/>
      <c r="P15" s="25"/>
      <c r="Q15" s="25"/>
      <c r="R15" s="25"/>
      <c r="S15" s="4"/>
      <c r="U15" s="16"/>
      <c r="V15" s="17"/>
      <c r="W15" s="7"/>
      <c r="X15" s="7"/>
      <c r="Y15" s="8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8"/>
      <c r="AN15" s="8"/>
      <c r="AO15" s="8"/>
    </row>
    <row r="16" spans="1:41" ht="15.75" customHeight="1">
      <c r="B16" s="187"/>
      <c r="C16" s="28"/>
      <c r="D16" s="28"/>
      <c r="E16" s="28"/>
      <c r="F16" s="28"/>
      <c r="G16" s="28"/>
      <c r="H16" s="29"/>
      <c r="I16" s="30"/>
      <c r="J16" s="25"/>
      <c r="K16" s="25"/>
      <c r="L16" s="31"/>
      <c r="M16" s="31"/>
      <c r="N16" s="31"/>
      <c r="O16" s="31"/>
      <c r="P16" s="31"/>
      <c r="Q16" s="31"/>
      <c r="R16" s="31"/>
    </row>
    <row r="17" spans="2:18" ht="15" customHeight="1">
      <c r="B17" s="25"/>
      <c r="C17" s="25"/>
      <c r="D17" s="195" t="s">
        <v>8</v>
      </c>
      <c r="E17" s="195"/>
      <c r="F17" s="195"/>
      <c r="G17" s="195"/>
      <c r="H17" s="28"/>
      <c r="I17" s="196">
        <v>80</v>
      </c>
      <c r="J17" s="197" t="s">
        <v>9</v>
      </c>
      <c r="K17" s="25"/>
      <c r="L17" s="32"/>
      <c r="M17" s="33"/>
      <c r="N17" s="25"/>
      <c r="O17" s="25"/>
      <c r="P17" s="33"/>
      <c r="Q17" s="33"/>
      <c r="R17" s="33"/>
    </row>
    <row r="18" spans="2:18" ht="15.75" customHeight="1">
      <c r="B18" s="25"/>
      <c r="C18" s="25"/>
      <c r="D18" s="195"/>
      <c r="E18" s="195"/>
      <c r="F18" s="195"/>
      <c r="G18" s="195"/>
      <c r="H18" s="28"/>
      <c r="I18" s="196"/>
      <c r="J18" s="197"/>
      <c r="K18" s="34"/>
      <c r="L18" s="32"/>
      <c r="M18" s="33"/>
      <c r="N18" s="25"/>
      <c r="O18" s="25"/>
      <c r="P18" s="33"/>
      <c r="Q18" s="33"/>
      <c r="R18" s="33"/>
    </row>
    <row r="19" spans="2:18" ht="15.75" customHeight="1">
      <c r="B19" s="25"/>
      <c r="C19" s="25"/>
      <c r="D19" s="35"/>
      <c r="E19" s="35"/>
      <c r="F19" s="35"/>
      <c r="G19" s="35"/>
      <c r="H19" s="28"/>
      <c r="I19" s="36"/>
      <c r="J19" s="37"/>
      <c r="K19" s="34"/>
      <c r="L19" s="32"/>
      <c r="M19" s="33"/>
      <c r="N19" s="25"/>
      <c r="O19" s="25"/>
      <c r="P19" s="33"/>
      <c r="Q19" s="33"/>
      <c r="R19" s="33"/>
    </row>
    <row r="20" spans="2:18" ht="12" hidden="1" customHeight="1">
      <c r="B20" s="25"/>
      <c r="C20" s="25"/>
      <c r="D20" s="35"/>
      <c r="E20" s="35"/>
      <c r="F20" s="35"/>
      <c r="G20" s="35"/>
      <c r="H20" s="28"/>
      <c r="I20" s="36"/>
      <c r="J20" s="37"/>
      <c r="K20" s="34"/>
      <c r="L20" s="32"/>
      <c r="M20" s="33"/>
      <c r="N20" s="25"/>
      <c r="O20" s="25"/>
      <c r="P20" s="33"/>
      <c r="Q20" s="33"/>
      <c r="R20" s="33"/>
    </row>
    <row r="21" spans="2:18" ht="15" customHeight="1">
      <c r="B21" s="25"/>
      <c r="C21" s="25"/>
      <c r="D21" s="38"/>
      <c r="E21" s="39"/>
      <c r="F21" s="39"/>
      <c r="G21" s="38"/>
      <c r="H21" s="28"/>
      <c r="I21" s="25"/>
      <c r="J21" s="25"/>
      <c r="K21" s="34"/>
      <c r="L21" s="32"/>
      <c r="M21" s="33"/>
      <c r="N21" s="25"/>
      <c r="O21" s="25"/>
      <c r="P21" s="33"/>
      <c r="Q21" s="33"/>
      <c r="R21" s="33"/>
    </row>
    <row r="22" spans="2:18" ht="15" customHeight="1">
      <c r="B22" s="25"/>
      <c r="C22" s="25"/>
      <c r="D22" s="40" t="s">
        <v>10</v>
      </c>
      <c r="E22" s="39"/>
      <c r="F22" s="39"/>
      <c r="G22" s="40" t="s">
        <v>11</v>
      </c>
      <c r="H22" s="28"/>
      <c r="I22" s="25"/>
      <c r="J22" s="25"/>
      <c r="K22" s="34"/>
      <c r="L22" s="32"/>
      <c r="M22" s="33"/>
      <c r="N22" s="25"/>
      <c r="O22" s="25"/>
      <c r="P22" s="33"/>
      <c r="Q22" s="33"/>
      <c r="R22" s="33"/>
    </row>
    <row r="23" spans="2:18" ht="15" customHeight="1">
      <c r="B23" s="25"/>
      <c r="C23" s="25"/>
      <c r="D23" s="38"/>
      <c r="E23" s="39"/>
      <c r="F23" s="39"/>
      <c r="G23" s="38"/>
      <c r="H23" s="28"/>
      <c r="I23" s="25"/>
      <c r="J23" s="25"/>
      <c r="K23" s="34"/>
      <c r="L23" s="32"/>
      <c r="M23" s="33"/>
      <c r="N23" s="25"/>
      <c r="O23" s="25"/>
      <c r="P23" s="33"/>
      <c r="Q23" s="33"/>
      <c r="R23" s="33"/>
    </row>
    <row r="24" spans="2:18" ht="15" customHeight="1">
      <c r="B24" s="25"/>
      <c r="C24" s="28"/>
      <c r="D24" s="189">
        <v>1</v>
      </c>
      <c r="E24" s="189"/>
      <c r="F24" s="41"/>
      <c r="G24" s="42">
        <v>6</v>
      </c>
      <c r="H24" s="29" t="s">
        <v>12</v>
      </c>
      <c r="I24" s="29"/>
      <c r="J24" s="43"/>
      <c r="K24" s="43"/>
      <c r="L24" s="32"/>
      <c r="M24" s="33"/>
      <c r="N24" s="25"/>
      <c r="O24" s="25"/>
      <c r="P24" s="33"/>
      <c r="Q24" s="33"/>
      <c r="R24" s="33"/>
    </row>
    <row r="25" spans="2:18" ht="15" customHeight="1">
      <c r="B25" s="25"/>
      <c r="C25" s="28"/>
      <c r="D25" s="189">
        <v>2</v>
      </c>
      <c r="E25" s="189"/>
      <c r="F25" s="41"/>
      <c r="G25" s="42">
        <v>6</v>
      </c>
      <c r="H25" s="29" t="s">
        <v>12</v>
      </c>
      <c r="I25" s="29"/>
      <c r="J25" s="43"/>
      <c r="K25" s="43"/>
      <c r="L25" s="32"/>
      <c r="M25" s="33"/>
      <c r="N25" s="25"/>
      <c r="O25" s="25"/>
      <c r="P25" s="33"/>
      <c r="Q25" s="33"/>
      <c r="R25" s="33"/>
    </row>
    <row r="26" spans="2:18" ht="15" customHeight="1">
      <c r="B26" s="25"/>
      <c r="C26" s="28"/>
      <c r="D26" s="189">
        <v>3</v>
      </c>
      <c r="E26" s="189"/>
      <c r="F26" s="28"/>
      <c r="G26" s="42">
        <v>0</v>
      </c>
      <c r="H26" s="29" t="s">
        <v>12</v>
      </c>
      <c r="I26" s="30"/>
      <c r="J26" s="25"/>
      <c r="K26" s="25"/>
      <c r="L26" s="25"/>
      <c r="M26" s="25"/>
      <c r="N26" s="25"/>
      <c r="O26" s="25"/>
      <c r="P26" s="25"/>
      <c r="Q26" s="25"/>
      <c r="R26" s="25"/>
    </row>
    <row r="27" spans="2:18" ht="15" customHeight="1">
      <c r="B27" s="25"/>
      <c r="C27" s="28"/>
      <c r="D27" s="189">
        <v>4</v>
      </c>
      <c r="E27" s="189"/>
      <c r="F27" s="41"/>
      <c r="G27" s="42">
        <v>0</v>
      </c>
      <c r="H27" s="29" t="s">
        <v>12</v>
      </c>
      <c r="I27" s="30"/>
      <c r="J27" s="25"/>
      <c r="K27" s="25"/>
      <c r="L27" s="31"/>
      <c r="M27" s="31"/>
      <c r="N27" s="31"/>
      <c r="O27" s="31"/>
      <c r="P27" s="31"/>
      <c r="Q27" s="31"/>
      <c r="R27" s="31"/>
    </row>
    <row r="28" spans="2:18" ht="15" customHeight="1">
      <c r="B28" s="25"/>
      <c r="C28" s="28"/>
      <c r="D28" s="189">
        <v>5</v>
      </c>
      <c r="E28" s="189"/>
      <c r="F28" s="41"/>
      <c r="G28" s="42">
        <v>0</v>
      </c>
      <c r="H28" s="29" t="s">
        <v>12</v>
      </c>
      <c r="I28" s="30"/>
      <c r="J28" s="25"/>
      <c r="K28" s="25"/>
      <c r="L28" s="25"/>
      <c r="M28" s="25"/>
      <c r="N28" s="25"/>
      <c r="O28" s="25"/>
      <c r="P28" s="25"/>
      <c r="Q28" s="25"/>
      <c r="R28" s="25"/>
    </row>
    <row r="29" spans="2:18" ht="15" customHeight="1">
      <c r="B29" s="25"/>
      <c r="C29" s="28"/>
      <c r="D29" s="189">
        <v>6</v>
      </c>
      <c r="E29" s="189"/>
      <c r="F29" s="28"/>
      <c r="G29" s="42">
        <v>0</v>
      </c>
      <c r="H29" s="29" t="s">
        <v>12</v>
      </c>
      <c r="I29" s="28"/>
      <c r="J29"/>
      <c r="K29" s="25"/>
      <c r="L29" s="25"/>
      <c r="M29" s="25"/>
      <c r="N29" s="25"/>
      <c r="O29" s="25"/>
      <c r="P29" s="25"/>
      <c r="Q29" s="25"/>
      <c r="R29" s="25"/>
    </row>
    <row r="30" spans="2:18">
      <c r="B30" s="25"/>
      <c r="C30" s="25"/>
      <c r="D30" s="189">
        <v>7</v>
      </c>
      <c r="E30" s="189"/>
      <c r="F30" s="41"/>
      <c r="G30" s="42">
        <v>0</v>
      </c>
      <c r="H30" s="29" t="s">
        <v>12</v>
      </c>
      <c r="I30" s="28"/>
      <c r="J30" s="25"/>
      <c r="K30" s="25"/>
      <c r="L30" s="25"/>
      <c r="M30" s="25"/>
      <c r="N30" s="25"/>
      <c r="O30" s="25"/>
      <c r="P30" s="25"/>
      <c r="Q30" s="25"/>
      <c r="R30" s="25"/>
    </row>
    <row r="31" spans="2:18">
      <c r="B31" s="25"/>
      <c r="C31" s="25"/>
      <c r="D31" s="189">
        <v>8</v>
      </c>
      <c r="E31" s="189"/>
      <c r="F31" s="41"/>
      <c r="G31" s="42">
        <v>0</v>
      </c>
      <c r="H31" s="29" t="s">
        <v>12</v>
      </c>
      <c r="I31" s="25"/>
      <c r="J31" s="25"/>
      <c r="K31" s="25"/>
      <c r="L31" s="25"/>
      <c r="M31" s="25"/>
      <c r="N31" s="25"/>
      <c r="O31" s="25"/>
      <c r="P31" s="25"/>
      <c r="Q31" s="25"/>
      <c r="R31" s="25"/>
    </row>
    <row r="32" spans="2:18" ht="15" customHeight="1">
      <c r="B32" s="25"/>
      <c r="C32" s="44"/>
      <c r="D32" s="189">
        <v>9</v>
      </c>
      <c r="E32" s="189"/>
      <c r="F32" s="44"/>
      <c r="G32" s="42">
        <v>0</v>
      </c>
      <c r="H32" s="29" t="s">
        <v>12</v>
      </c>
      <c r="I32" s="25"/>
      <c r="J32" s="25"/>
      <c r="K32" s="44"/>
      <c r="L32" s="44"/>
      <c r="M32" s="44"/>
      <c r="N32" s="44"/>
      <c r="O32" s="44"/>
      <c r="P32" s="44"/>
      <c r="Q32" s="44"/>
      <c r="R32" s="44"/>
    </row>
    <row r="33" spans="2:18" ht="15" customHeight="1">
      <c r="B33" s="25"/>
      <c r="C33" s="44"/>
      <c r="D33" s="189">
        <v>10</v>
      </c>
      <c r="E33" s="189"/>
      <c r="F33" s="44"/>
      <c r="G33" s="42">
        <v>0</v>
      </c>
      <c r="H33" s="29" t="s">
        <v>12</v>
      </c>
      <c r="I33" s="25"/>
      <c r="J33" s="25"/>
      <c r="K33" s="44"/>
      <c r="L33" s="44"/>
      <c r="M33" s="44"/>
      <c r="N33" s="44"/>
      <c r="O33" s="44"/>
      <c r="P33" s="44"/>
      <c r="Q33" s="44"/>
      <c r="R33" s="44"/>
    </row>
    <row r="34" spans="2:18">
      <c r="B34" s="25"/>
      <c r="C34" s="25"/>
      <c r="D34" s="189">
        <v>11</v>
      </c>
      <c r="E34" s="189"/>
      <c r="F34" s="25"/>
      <c r="G34" s="42">
        <v>0</v>
      </c>
      <c r="H34" s="29" t="s">
        <v>12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</row>
    <row r="35" spans="2:18">
      <c r="B35" s="25"/>
      <c r="C35" s="45"/>
      <c r="D35" s="189">
        <v>12</v>
      </c>
      <c r="E35" s="189"/>
      <c r="F35" s="46"/>
      <c r="G35" s="42">
        <v>0</v>
      </c>
      <c r="H35" s="29" t="s">
        <v>12</v>
      </c>
      <c r="I35" s="25"/>
      <c r="J35" s="25"/>
      <c r="K35" s="45"/>
      <c r="L35" s="45"/>
      <c r="M35" s="46"/>
      <c r="N35" s="46"/>
      <c r="O35" s="46"/>
      <c r="P35" s="46"/>
      <c r="Q35" s="46"/>
      <c r="R35" s="46"/>
    </row>
    <row r="36" spans="2:18" ht="6.75" customHeight="1">
      <c r="B36" s="25"/>
      <c r="C36" s="47"/>
      <c r="D36" s="200"/>
      <c r="E36" s="200"/>
      <c r="F36" s="48"/>
      <c r="G36" s="48"/>
      <c r="H36" s="48"/>
      <c r="I36" s="25"/>
      <c r="J36" s="25"/>
      <c r="K36" s="47"/>
      <c r="L36" s="47"/>
      <c r="M36" s="48"/>
      <c r="N36" s="48"/>
      <c r="O36" s="48"/>
      <c r="P36" s="48"/>
      <c r="Q36" s="48"/>
      <c r="R36" s="48"/>
    </row>
    <row r="37" spans="2:18">
      <c r="B37" s="25"/>
      <c r="C37" s="45"/>
      <c r="D37" s="201"/>
      <c r="E37" s="201"/>
      <c r="F37" s="46"/>
      <c r="G37" s="46"/>
      <c r="H37" s="46"/>
      <c r="I37" s="25"/>
      <c r="J37" s="25"/>
      <c r="K37" s="45"/>
      <c r="L37" s="45"/>
      <c r="M37" s="46"/>
      <c r="N37" s="46"/>
      <c r="O37" s="46"/>
      <c r="P37" s="46"/>
      <c r="Q37" s="46"/>
      <c r="R37" s="46"/>
    </row>
    <row r="38" spans="2:18" hidden="1">
      <c r="B38" s="25"/>
      <c r="C38" s="25"/>
      <c r="D38" s="201"/>
      <c r="E38" s="201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</row>
    <row r="39" spans="2:18" ht="7.5" hidden="1" customHeight="1">
      <c r="B39" s="25"/>
      <c r="C39" s="49"/>
      <c r="D39" s="49"/>
      <c r="E39" s="49"/>
      <c r="F39" s="49"/>
      <c r="G39" s="49"/>
      <c r="H39" s="49"/>
      <c r="I39" s="50"/>
      <c r="J39" s="25"/>
      <c r="K39" s="25"/>
      <c r="L39" s="25"/>
      <c r="M39" s="25"/>
      <c r="N39" s="25"/>
      <c r="O39" s="25"/>
      <c r="P39" s="25"/>
      <c r="Q39" s="25"/>
      <c r="R39" s="25"/>
    </row>
    <row r="40" spans="2:18" ht="15" hidden="1" customHeight="1">
      <c r="B40" s="25"/>
      <c r="C40" s="49"/>
      <c r="D40" s="49"/>
      <c r="E40" s="49"/>
      <c r="F40" s="49"/>
      <c r="G40" s="49"/>
      <c r="H40" s="49"/>
      <c r="I40" s="25"/>
      <c r="J40" s="25"/>
      <c r="K40" s="25"/>
      <c r="L40" s="25"/>
      <c r="M40" s="25"/>
      <c r="N40" s="25"/>
      <c r="O40" s="25"/>
      <c r="P40" s="25"/>
      <c r="Q40" s="25"/>
      <c r="R40" s="25"/>
    </row>
    <row r="41" spans="2:18">
      <c r="B41" s="25"/>
      <c r="C41" s="49"/>
      <c r="D41" s="49"/>
      <c r="E41" s="49"/>
      <c r="F41" s="49"/>
      <c r="G41" s="49"/>
      <c r="H41" s="49"/>
      <c r="I41" s="25"/>
      <c r="J41" s="25"/>
      <c r="K41" s="25"/>
      <c r="L41" s="25"/>
      <c r="M41" s="25"/>
      <c r="N41" s="25"/>
      <c r="O41" s="25"/>
      <c r="P41" s="25"/>
      <c r="Q41" s="25"/>
      <c r="R41" s="25"/>
    </row>
    <row r="42" spans="2:18">
      <c r="B42" s="25"/>
      <c r="C42" s="25"/>
      <c r="D42" s="25" t="str">
        <f>Dachówka!D4</f>
        <v xml:space="preserve">Klemy środkowe </v>
      </c>
      <c r="E42" s="25"/>
      <c r="F42" s="25"/>
      <c r="G42" s="25"/>
      <c r="H42" s="25"/>
      <c r="I42" s="51">
        <f>Dachówka!D23</f>
        <v>48</v>
      </c>
      <c r="J42" s="29" t="s">
        <v>12</v>
      </c>
      <c r="K42" s="25"/>
      <c r="L42" s="25"/>
      <c r="M42" s="25"/>
      <c r="N42" s="25"/>
      <c r="O42" s="25"/>
      <c r="P42" s="25"/>
      <c r="Q42" s="48"/>
      <c r="R42" s="25"/>
    </row>
    <row r="43" spans="2:18" ht="12" customHeight="1">
      <c r="B43" s="25"/>
      <c r="C43" s="44"/>
      <c r="D43" s="44"/>
      <c r="E43" s="44"/>
      <c r="F43" s="25"/>
      <c r="G43" s="44"/>
      <c r="H43" s="44"/>
      <c r="I43" s="52"/>
      <c r="J43" s="25"/>
      <c r="K43" s="44"/>
      <c r="L43" s="44"/>
      <c r="M43" s="44"/>
      <c r="N43" s="44"/>
      <c r="O43" s="25"/>
      <c r="P43" s="44"/>
      <c r="Q43" s="44"/>
      <c r="R43" s="44"/>
    </row>
    <row r="44" spans="2:18" ht="12" customHeight="1">
      <c r="B44" s="25"/>
      <c r="C44" s="44"/>
      <c r="D44" s="44"/>
      <c r="E44" s="44"/>
      <c r="F44" s="25"/>
      <c r="G44" s="44"/>
      <c r="H44" s="44"/>
      <c r="I44" s="52"/>
      <c r="J44" s="25"/>
      <c r="K44" s="44"/>
      <c r="L44" s="44"/>
      <c r="M44" s="44"/>
      <c r="N44" s="53" t="str">
        <f>(VLOOKUP($D$75,Cennik!F4:K8,5,FALSE))*1000 &amp; " mm"</f>
        <v>1068 mm</v>
      </c>
      <c r="O44" s="44"/>
      <c r="P44" s="44"/>
      <c r="Q44" s="44"/>
      <c r="R44" s="44"/>
    </row>
    <row r="45" spans="2:18">
      <c r="B45" s="25"/>
      <c r="C45" s="25"/>
      <c r="D45" s="25" t="str">
        <f>Dachówka!E4</f>
        <v>Klemy końcowe</v>
      </c>
      <c r="E45" s="25"/>
      <c r="F45" s="25"/>
      <c r="G45" s="25"/>
      <c r="H45" s="25"/>
      <c r="I45" s="51">
        <f>Dachówka!E23</f>
        <v>20</v>
      </c>
      <c r="J45" s="29" t="s">
        <v>12</v>
      </c>
      <c r="K45" s="25"/>
      <c r="L45" s="25"/>
      <c r="M45" s="25"/>
      <c r="N45" s="25"/>
      <c r="O45" s="25"/>
      <c r="P45" s="25"/>
      <c r="Q45" s="48"/>
      <c r="R45" s="25"/>
    </row>
    <row r="46" spans="2:18" ht="12" customHeight="1">
      <c r="B46" s="25"/>
      <c r="C46" s="54"/>
      <c r="D46" s="25"/>
      <c r="E46" s="25"/>
      <c r="F46" s="25"/>
      <c r="G46" s="25"/>
      <c r="H46" s="55"/>
      <c r="I46" s="56"/>
      <c r="J46" s="25"/>
      <c r="K46" s="25"/>
      <c r="L46" s="25"/>
      <c r="M46" s="25"/>
      <c r="N46" s="25"/>
      <c r="O46" s="25"/>
      <c r="P46" s="25"/>
      <c r="Q46" s="25"/>
      <c r="R46" s="25"/>
    </row>
    <row r="47" spans="2:18" ht="12" customHeight="1">
      <c r="B47" s="25"/>
      <c r="C47" s="54"/>
      <c r="D47" s="25"/>
      <c r="E47" s="25"/>
      <c r="F47" s="25"/>
      <c r="G47" s="25"/>
      <c r="H47" s="55"/>
      <c r="I47" s="56"/>
      <c r="J47" s="25"/>
      <c r="K47" s="25"/>
      <c r="L47" s="25"/>
      <c r="M47" s="25"/>
      <c r="N47" s="25"/>
      <c r="O47" s="25"/>
      <c r="P47" s="25"/>
      <c r="Q47" s="25"/>
      <c r="R47" s="25"/>
    </row>
    <row r="48" spans="2:18">
      <c r="B48" s="25"/>
      <c r="C48" s="54"/>
      <c r="D48" s="25" t="str">
        <f>Dachówka!F4</f>
        <v>Profil nośny modułu Solo light 4,4m</v>
      </c>
      <c r="E48" s="25"/>
      <c r="F48" s="25"/>
      <c r="G48" s="25"/>
      <c r="H48" s="55"/>
      <c r="I48" s="51">
        <f>Dachówka!F23</f>
        <v>22</v>
      </c>
      <c r="J48" s="29" t="s">
        <v>12</v>
      </c>
      <c r="K48" s="25"/>
      <c r="L48" s="25"/>
      <c r="M48" s="25"/>
      <c r="N48" s="25"/>
      <c r="O48" s="25"/>
      <c r="P48" s="25"/>
      <c r="Q48" s="25"/>
      <c r="R48" s="25"/>
    </row>
    <row r="49" spans="2:18" ht="12" customHeight="1">
      <c r="B49" s="25"/>
      <c r="C49" s="25"/>
      <c r="D49" s="25"/>
      <c r="E49" s="57"/>
      <c r="F49" s="25"/>
      <c r="G49" s="25"/>
      <c r="H49" s="25"/>
      <c r="I49" s="56"/>
      <c r="J49" s="25"/>
      <c r="K49" s="25"/>
      <c r="L49" s="25"/>
      <c r="M49" s="25"/>
      <c r="N49" s="25"/>
      <c r="O49" s="25"/>
      <c r="P49" s="25"/>
      <c r="Q49"/>
      <c r="R49" s="25"/>
    </row>
    <row r="50" spans="2:18" ht="12" customHeight="1">
      <c r="B50" s="25"/>
      <c r="C50" s="58"/>
      <c r="D50" s="25"/>
      <c r="E50" s="58"/>
      <c r="F50" s="25"/>
      <c r="G50" s="25"/>
      <c r="H50" s="59"/>
      <c r="I50" s="56"/>
      <c r="J50" s="25"/>
      <c r="K50" s="60"/>
      <c r="L50" s="61"/>
      <c r="M50" s="25"/>
      <c r="N50" s="25"/>
      <c r="O50" s="25"/>
      <c r="P50" s="25"/>
      <c r="Q50" s="25"/>
      <c r="R50" s="25"/>
    </row>
    <row r="51" spans="2:18" ht="15" customHeight="1">
      <c r="B51" s="25"/>
      <c r="C51" s="25"/>
      <c r="D51" s="25" t="str">
        <f>Dachówka!G4</f>
        <v xml:space="preserve">Łącznik profili Solo5 </v>
      </c>
      <c r="E51" s="60"/>
      <c r="F51" s="25"/>
      <c r="G51" s="62"/>
      <c r="H51" s="63"/>
      <c r="I51" s="51">
        <f>Dachówka!G23</f>
        <v>12</v>
      </c>
      <c r="J51" s="29" t="s">
        <v>12</v>
      </c>
      <c r="K51" s="60"/>
      <c r="L51" s="61"/>
      <c r="M51" s="25"/>
      <c r="N51" s="25"/>
      <c r="O51" s="25"/>
      <c r="P51" s="25"/>
      <c r="Q51" s="25"/>
      <c r="R51" s="25"/>
    </row>
    <row r="52" spans="2:18" ht="12" customHeight="1">
      <c r="B52" s="25"/>
      <c r="C52" s="25"/>
      <c r="D52" s="25"/>
      <c r="E52" s="60"/>
      <c r="F52" s="25"/>
      <c r="G52" s="62"/>
      <c r="H52" s="63"/>
      <c r="I52" s="56"/>
      <c r="J52" s="25"/>
      <c r="K52" s="60"/>
      <c r="L52" s="61"/>
      <c r="M52" s="25"/>
      <c r="N52" s="25"/>
      <c r="O52" s="25"/>
      <c r="P52" s="25"/>
      <c r="Q52" s="25"/>
      <c r="R52" s="25"/>
    </row>
    <row r="53" spans="2:18" ht="12" customHeight="1">
      <c r="B53" s="25"/>
      <c r="C53" s="60"/>
      <c r="D53" s="25"/>
      <c r="E53" s="60"/>
      <c r="F53" s="25"/>
      <c r="G53" s="64"/>
      <c r="H53" s="64"/>
      <c r="I53" s="56"/>
      <c r="J53" s="25"/>
      <c r="K53" s="60"/>
      <c r="L53" s="61"/>
      <c r="M53" s="25"/>
      <c r="N53" s="25"/>
      <c r="O53" s="25"/>
      <c r="P53" s="25"/>
      <c r="Q53" s="202" t="str">
        <f>"L= " &amp;(VLOOKUP($D$75,Cennik!F4:K8,6,FALSE))*1000 &amp; " mm"</f>
        <v>L= 1622 mm</v>
      </c>
      <c r="R53" s="25"/>
    </row>
    <row r="54" spans="2:18" ht="15" customHeight="1">
      <c r="B54" s="25"/>
      <c r="C54" s="65"/>
      <c r="D54" s="25" t="str">
        <f>Dachówka!H4</f>
        <v>Hak dachowy Rapid2+ Max</v>
      </c>
      <c r="E54" s="65"/>
      <c r="F54" s="25"/>
      <c r="G54" s="25"/>
      <c r="H54" s="66"/>
      <c r="I54" s="51">
        <f>IF(H15="dachówka",Dachówka!H23,"n/d")</f>
        <v>20</v>
      </c>
      <c r="J54" s="29" t="s">
        <v>12</v>
      </c>
      <c r="K54" s="60"/>
      <c r="L54" s="60"/>
      <c r="M54" s="60"/>
      <c r="N54" s="60"/>
      <c r="O54" s="60"/>
      <c r="P54" s="60"/>
      <c r="Q54" s="202"/>
      <c r="R54" s="60"/>
    </row>
    <row r="55" spans="2:18" ht="12" customHeight="1">
      <c r="B55" s="25"/>
      <c r="C55" s="25"/>
      <c r="D55" s="25"/>
      <c r="E55" s="60"/>
      <c r="F55" s="25"/>
      <c r="G55" s="62"/>
      <c r="H55" s="67"/>
      <c r="I55" s="56"/>
      <c r="J55" s="25"/>
      <c r="K55" s="60"/>
      <c r="L55" s="60"/>
      <c r="M55" s="60"/>
      <c r="N55" s="60"/>
      <c r="O55" s="60"/>
      <c r="P55" s="60"/>
      <c r="Q55" s="202"/>
      <c r="R55" s="60"/>
    </row>
    <row r="56" spans="2:18" ht="12" customHeight="1">
      <c r="B56" s="25"/>
      <c r="C56" s="25"/>
      <c r="D56" s="25"/>
      <c r="E56" s="60"/>
      <c r="F56" s="25"/>
      <c r="G56" s="62"/>
      <c r="H56" s="67"/>
      <c r="I56" s="56"/>
      <c r="J56" s="25"/>
      <c r="K56" s="60"/>
      <c r="L56" s="60"/>
      <c r="M56" s="60"/>
      <c r="N56" s="60"/>
      <c r="O56" s="60"/>
      <c r="P56" s="60"/>
      <c r="Q56" s="202"/>
      <c r="R56" s="60"/>
    </row>
    <row r="57" spans="2:18">
      <c r="B57" s="25"/>
      <c r="C57" s="25"/>
      <c r="D57" s="25" t="str">
        <f>Dachówka!J4</f>
        <v>Wkręty do drewna VA8x120mm 50St</v>
      </c>
      <c r="E57" s="25"/>
      <c r="F57" s="25"/>
      <c r="G57" s="25"/>
      <c r="H57" s="25"/>
      <c r="I57" s="51">
        <f>IF(H15="dachówka",Dachówka!J23,"n/d")</f>
        <v>40</v>
      </c>
      <c r="J57" s="29" t="s">
        <v>12</v>
      </c>
      <c r="K57" s="60"/>
      <c r="L57" s="60"/>
      <c r="M57" s="60"/>
      <c r="N57" s="60"/>
      <c r="O57" s="60"/>
      <c r="P57" s="60"/>
      <c r="Q57" s="202"/>
      <c r="R57" s="60"/>
    </row>
    <row r="58" spans="2:18" ht="12" customHeight="1">
      <c r="B58" s="25"/>
      <c r="C58" s="25"/>
      <c r="D58" s="25"/>
      <c r="E58" s="25"/>
      <c r="F58" s="25"/>
      <c r="G58" s="25"/>
      <c r="H58" s="25"/>
      <c r="I58" s="56"/>
      <c r="J58" s="25"/>
      <c r="K58" s="60"/>
      <c r="L58" s="60"/>
      <c r="M58" s="60"/>
      <c r="N58" s="60"/>
      <c r="O58" s="60"/>
      <c r="P58" s="60"/>
      <c r="Q58" s="68"/>
      <c r="R58" s="60"/>
    </row>
    <row r="59" spans="2:18" ht="12" customHeight="1">
      <c r="B59" s="25"/>
      <c r="C59" s="69"/>
      <c r="D59" s="69"/>
      <c r="E59" s="69"/>
      <c r="F59" s="25"/>
      <c r="G59" s="69"/>
      <c r="H59" s="69"/>
      <c r="I59" s="56"/>
      <c r="J59" s="25"/>
      <c r="K59" s="60"/>
      <c r="L59" s="60"/>
      <c r="M59" s="60"/>
      <c r="N59" s="60"/>
      <c r="O59" s="60"/>
      <c r="P59" s="60"/>
      <c r="Q59" s="60"/>
      <c r="R59" s="60"/>
    </row>
    <row r="60" spans="2:18">
      <c r="B60" s="25"/>
      <c r="C60" s="25"/>
      <c r="D60" s="25" t="str">
        <f>Dachówka!K4</f>
        <v>Zaślepka plastikowa Profi05 20St.</v>
      </c>
      <c r="E60" s="25"/>
      <c r="F60" s="25"/>
      <c r="G60" s="25"/>
      <c r="H60" s="25"/>
      <c r="I60" s="51">
        <f>Dachówka!K23</f>
        <v>20</v>
      </c>
      <c r="J60" s="29" t="s">
        <v>12</v>
      </c>
      <c r="K60" s="60"/>
      <c r="L60" s="60"/>
      <c r="M60" s="60"/>
      <c r="N60" s="60"/>
      <c r="O60" s="60"/>
      <c r="P60" s="60"/>
      <c r="Q60" s="60"/>
      <c r="R60" s="60"/>
    </row>
    <row r="61" spans="2:18" ht="12" customHeight="1">
      <c r="B61" s="25"/>
      <c r="C61" s="25"/>
      <c r="D61" s="25"/>
      <c r="E61" s="25"/>
      <c r="F61" s="25"/>
      <c r="G61" s="25"/>
      <c r="H61" s="25"/>
      <c r="I61" s="56"/>
      <c r="J61" s="25"/>
      <c r="K61" s="60"/>
      <c r="L61" s="60"/>
      <c r="M61" s="60"/>
      <c r="N61" s="60"/>
      <c r="O61" s="60"/>
      <c r="P61" s="60"/>
      <c r="Q61" s="60"/>
      <c r="R61" s="60"/>
    </row>
    <row r="62" spans="2:18" ht="12" customHeight="1">
      <c r="B62" s="25"/>
      <c r="C62" s="25"/>
      <c r="D62" s="25"/>
      <c r="E62" s="25"/>
      <c r="F62" s="25"/>
      <c r="G62" s="25"/>
      <c r="H62" s="25"/>
      <c r="I62" s="56"/>
      <c r="J62" s="25"/>
      <c r="K62" s="60"/>
      <c r="L62" s="60"/>
      <c r="M62" s="60"/>
      <c r="N62" s="60"/>
      <c r="O62" s="60"/>
      <c r="P62" s="60"/>
      <c r="Q62" s="60"/>
      <c r="R62" s="60"/>
    </row>
    <row r="63" spans="2:18">
      <c r="B63" s="25"/>
      <c r="C63" s="25"/>
      <c r="D63" s="25" t="str">
        <f>Dachówka!L4</f>
        <v>Zacisk odgromowy  8 i 10mm</v>
      </c>
      <c r="E63" s="25"/>
      <c r="F63" s="25"/>
      <c r="G63" s="25"/>
      <c r="H63" s="25"/>
      <c r="I63" s="51">
        <f>Dachówka!L23</f>
        <v>10</v>
      </c>
      <c r="J63" s="29" t="s">
        <v>12</v>
      </c>
      <c r="K63" s="60"/>
      <c r="L63" s="60"/>
      <c r="M63" s="60"/>
      <c r="N63" s="60"/>
      <c r="O63" s="60"/>
      <c r="P63" s="60"/>
      <c r="Q63" s="60"/>
      <c r="R63" s="60"/>
    </row>
    <row r="64" spans="2:18">
      <c r="B64" s="25"/>
      <c r="C64" s="25"/>
      <c r="D64" s="25"/>
      <c r="E64" s="25"/>
      <c r="F64" s="25"/>
      <c r="G64" s="25"/>
      <c r="H64" s="25"/>
      <c r="I64" s="25"/>
      <c r="J64" s="25"/>
      <c r="K64" s="60"/>
      <c r="L64" s="60"/>
      <c r="M64" s="60"/>
      <c r="N64" s="60"/>
      <c r="O64" s="60"/>
      <c r="P64" s="60"/>
      <c r="Q64" s="60"/>
      <c r="R64" s="60"/>
    </row>
    <row r="65" spans="2:18">
      <c r="B65" s="25"/>
      <c r="C65" s="25"/>
      <c r="D65" s="25"/>
      <c r="E65" s="25"/>
      <c r="F65" s="25"/>
      <c r="G65" s="25"/>
      <c r="H65" s="25"/>
      <c r="I65" s="25"/>
      <c r="J65" s="25"/>
      <c r="K65" s="60"/>
      <c r="L65" s="60"/>
      <c r="M65" s="70" t="s">
        <v>20</v>
      </c>
      <c r="N65" s="60"/>
      <c r="O65" s="60"/>
      <c r="P65" s="60"/>
      <c r="Q65" s="60"/>
      <c r="R65" s="60"/>
    </row>
    <row r="66" spans="2:18" ht="15" customHeight="1">
      <c r="B66" s="25"/>
      <c r="C66" s="25"/>
      <c r="D66" s="203" t="str">
        <f>Blachodachowka!L4</f>
        <v>Zestaw mocujący do pokryć falistych 10 x 200</v>
      </c>
      <c r="E66" s="203"/>
      <c r="F66" s="203"/>
      <c r="G66" s="25"/>
      <c r="H66" s="25"/>
      <c r="I66" s="26" t="str">
        <f>IF(H15="blachodachówka",Blachodachowka!L23,"n/d")</f>
        <v>n/d</v>
      </c>
      <c r="J66" s="36" t="s">
        <v>22</v>
      </c>
      <c r="K66" s="60"/>
      <c r="L66" s="60"/>
      <c r="M66" s="60"/>
      <c r="N66" s="60"/>
      <c r="O66" s="60"/>
      <c r="P66" s="60"/>
      <c r="Q66" s="60"/>
      <c r="R66" s="60"/>
    </row>
    <row r="67" spans="2:18">
      <c r="B67" s="25"/>
      <c r="C67" s="25"/>
      <c r="D67" s="203"/>
      <c r="E67" s="203"/>
      <c r="F67" s="203"/>
      <c r="G67" s="25"/>
      <c r="H67" s="25"/>
      <c r="I67" s="25"/>
      <c r="J67" s="25"/>
      <c r="K67" s="60"/>
      <c r="L67" s="60"/>
      <c r="M67" s="60"/>
      <c r="N67" s="60"/>
      <c r="O67" s="60"/>
      <c r="P67" s="60"/>
      <c r="Q67" s="60"/>
      <c r="R67" s="60"/>
    </row>
    <row r="68" spans="2:18">
      <c r="B68" s="25"/>
      <c r="C68" s="25"/>
      <c r="D68" s="60"/>
      <c r="E68" s="61"/>
      <c r="F68" s="25"/>
      <c r="G68" s="25"/>
      <c r="H68" s="25"/>
      <c r="I68" s="25"/>
      <c r="J68" s="25"/>
      <c r="K68" s="60"/>
      <c r="L68" s="60"/>
      <c r="M68" s="60"/>
      <c r="N68" s="60"/>
      <c r="O68" s="60"/>
      <c r="P68" s="60"/>
      <c r="Q68" s="60"/>
      <c r="R68" s="60"/>
    </row>
    <row r="69" spans="2:18">
      <c r="B69" s="25"/>
      <c r="C69" s="25"/>
      <c r="D69" s="25" t="str">
        <f>Blachodachowka!M4</f>
        <v>Nasadka KlickTop</v>
      </c>
      <c r="E69" s="25"/>
      <c r="F69" s="25"/>
      <c r="G69" s="25"/>
      <c r="H69" s="25"/>
      <c r="I69" s="26" t="str">
        <f>IF(H15="blachodachówka",Blachodachowka!M23,"n/d")</f>
        <v>n/d</v>
      </c>
      <c r="J69" s="36" t="s">
        <v>22</v>
      </c>
      <c r="K69" s="60"/>
      <c r="L69" s="60"/>
      <c r="M69" s="60"/>
      <c r="N69" s="60"/>
      <c r="O69" s="60"/>
      <c r="P69" s="60"/>
      <c r="Q69" s="60"/>
      <c r="R69" s="60"/>
    </row>
    <row r="70" spans="2:18">
      <c r="B70" s="25"/>
      <c r="C70" s="25"/>
      <c r="D70" s="25"/>
      <c r="E70" s="25"/>
      <c r="F70" s="25"/>
      <c r="G70" s="25"/>
      <c r="H70" s="25"/>
      <c r="I70" s="25"/>
      <c r="J70" s="25"/>
      <c r="K70" s="60"/>
      <c r="L70" s="60"/>
      <c r="M70" s="60"/>
      <c r="N70" s="60"/>
      <c r="O70" s="60"/>
      <c r="P70" s="60"/>
      <c r="Q70" s="60"/>
      <c r="R70" s="60"/>
    </row>
    <row r="71" spans="2:18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</row>
    <row r="72" spans="2:18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</row>
    <row r="73" spans="2:18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</row>
    <row r="74" spans="2:18">
      <c r="B74" s="25"/>
      <c r="C74" s="25"/>
      <c r="D74" s="71" t="s">
        <v>24</v>
      </c>
      <c r="E74" s="72"/>
      <c r="F74" s="72"/>
      <c r="G74" s="71" t="s">
        <v>25</v>
      </c>
      <c r="H74" s="72"/>
      <c r="I74" s="71" t="s">
        <v>26</v>
      </c>
      <c r="J74" s="73"/>
      <c r="K74" s="71" t="s">
        <v>27</v>
      </c>
      <c r="L74" s="73"/>
      <c r="M74" s="71"/>
      <c r="N74" s="73"/>
      <c r="O74" s="71" t="s">
        <v>28</v>
      </c>
      <c r="P74" s="73"/>
      <c r="Q74" s="25"/>
      <c r="R74" s="25"/>
    </row>
    <row r="75" spans="2:18">
      <c r="B75" s="25"/>
      <c r="C75" s="74"/>
      <c r="D75" s="198" t="s">
        <v>81</v>
      </c>
      <c r="E75" s="198"/>
      <c r="F75" s="198"/>
      <c r="G75" s="29">
        <f>Dachówka!C26</f>
        <v>29</v>
      </c>
      <c r="H75" s="29"/>
      <c r="I75" s="29">
        <f>Dachówka!D26</f>
        <v>7959744</v>
      </c>
      <c r="J75" s="204">
        <f>Dachówka!E26</f>
        <v>700</v>
      </c>
      <c r="K75" s="204"/>
      <c r="L75" s="29"/>
      <c r="M75" s="25"/>
      <c r="N75" s="29"/>
      <c r="O75" s="199">
        <f>Dachówka!G26</f>
        <v>20300</v>
      </c>
      <c r="P75" s="199"/>
      <c r="Q75" s="25"/>
      <c r="R75" s="25"/>
    </row>
    <row r="76" spans="2:18">
      <c r="B76" s="25"/>
      <c r="C76" s="74"/>
      <c r="D76" s="198" t="s">
        <v>88</v>
      </c>
      <c r="E76" s="198"/>
      <c r="F76" s="198"/>
      <c r="G76" s="29">
        <f>Dachówka!C27</f>
        <v>1</v>
      </c>
      <c r="H76" s="29"/>
      <c r="I76" s="29" t="e">
        <f>Dachówka!D27</f>
        <v>#N/A</v>
      </c>
      <c r="J76" s="199" t="e">
        <f>Dachówka!E27</f>
        <v>#N/A</v>
      </c>
      <c r="K76" s="199"/>
      <c r="L76" s="29"/>
      <c r="M76" s="25"/>
      <c r="N76" s="29"/>
      <c r="O76" s="199" t="e">
        <f>Dachówka!G27</f>
        <v>#N/A</v>
      </c>
      <c r="P76" s="199"/>
      <c r="Q76" s="25"/>
      <c r="R76" s="25"/>
    </row>
    <row r="77" spans="2:18">
      <c r="B77" s="25"/>
      <c r="C77" s="74"/>
      <c r="D77" s="198" t="s">
        <v>109</v>
      </c>
      <c r="E77" s="198"/>
      <c r="F77" s="198"/>
      <c r="G77" s="29">
        <f>Dachówka!C28</f>
        <v>48</v>
      </c>
      <c r="H77" s="29"/>
      <c r="I77" s="29">
        <f>Dachówka!D28</f>
        <v>7783978</v>
      </c>
      <c r="J77" s="199">
        <f>Dachówka!E28</f>
        <v>11.4</v>
      </c>
      <c r="K77" s="199"/>
      <c r="L77" s="29"/>
      <c r="M77" s="25"/>
      <c r="N77" s="29"/>
      <c r="O77" s="199">
        <f>Dachówka!G28</f>
        <v>547.20000000000005</v>
      </c>
      <c r="P77" s="199"/>
      <c r="Q77" s="25"/>
      <c r="R77" s="25"/>
    </row>
    <row r="78" spans="2:18">
      <c r="B78" s="25"/>
      <c r="C78" s="74"/>
      <c r="D78" s="198" t="s">
        <v>30</v>
      </c>
      <c r="E78" s="198"/>
      <c r="F78" s="198"/>
      <c r="G78" s="29">
        <f>Dachówka!C29</f>
        <v>20</v>
      </c>
      <c r="H78" s="29"/>
      <c r="I78" s="29">
        <f>Dachówka!D29</f>
        <v>7783973</v>
      </c>
      <c r="J78" s="199">
        <f>Dachówka!E29</f>
        <v>11.5</v>
      </c>
      <c r="K78" s="199"/>
      <c r="L78" s="29"/>
      <c r="M78" s="25"/>
      <c r="N78" s="29"/>
      <c r="O78" s="199">
        <f>Dachówka!G29</f>
        <v>230</v>
      </c>
      <c r="P78" s="199"/>
      <c r="Q78" s="25"/>
      <c r="R78" s="25"/>
    </row>
    <row r="79" spans="2:18">
      <c r="B79" s="25"/>
      <c r="C79" s="25"/>
      <c r="D79" s="54" t="str">
        <f>Dachówka!B30</f>
        <v>Profil nośny modułu Solo light 4,4m</v>
      </c>
      <c r="E79" s="54"/>
      <c r="F79" s="54"/>
      <c r="G79" s="29">
        <f>Dachówka!C30</f>
        <v>22</v>
      </c>
      <c r="H79" s="29"/>
      <c r="I79" s="29">
        <f>Dachówka!D30</f>
        <v>7955972</v>
      </c>
      <c r="J79" s="199">
        <f>Dachówka!E30</f>
        <v>189</v>
      </c>
      <c r="K79" s="199"/>
      <c r="L79" s="29"/>
      <c r="M79" s="25"/>
      <c r="N79" s="29"/>
      <c r="O79" s="199">
        <f>Dachówka!G30</f>
        <v>4158</v>
      </c>
      <c r="P79" s="199"/>
      <c r="Q79" s="25"/>
      <c r="R79" s="25"/>
    </row>
    <row r="80" spans="2:18">
      <c r="B80" s="25"/>
      <c r="C80" s="25"/>
      <c r="D80" s="54" t="str">
        <f>Dachówka!B31</f>
        <v xml:space="preserve">Łącznik profili Solo5 </v>
      </c>
      <c r="E80" s="54"/>
      <c r="F80" s="54"/>
      <c r="G80" s="29">
        <f>Dachówka!C31</f>
        <v>12</v>
      </c>
      <c r="H80" s="75"/>
      <c r="I80" s="29">
        <f>Dachówka!D31</f>
        <v>7561087</v>
      </c>
      <c r="J80" s="199">
        <f>Dachówka!E31</f>
        <v>17</v>
      </c>
      <c r="K80" s="199"/>
      <c r="L80" s="29"/>
      <c r="M80" s="25"/>
      <c r="N80" s="29"/>
      <c r="O80" s="199">
        <f>Dachówka!G31</f>
        <v>204</v>
      </c>
      <c r="P80" s="199"/>
      <c r="Q80" s="76"/>
      <c r="R80" s="76"/>
    </row>
    <row r="81" spans="2:29">
      <c r="B81" s="25"/>
      <c r="C81" s="25"/>
      <c r="D81" s="54" t="str">
        <f>IF(H15="dachówka",Dachówka!H4,Blachodachowka!L4)</f>
        <v>Hak dachowy Rapid2+ Max</v>
      </c>
      <c r="E81" s="54"/>
      <c r="F81" s="54"/>
      <c r="G81" s="29">
        <f>IF(D81="Hak dachowy Rapid 2+ 45",Dachówka!C32,Blachodachowka!C32)</f>
        <v>20</v>
      </c>
      <c r="H81" s="75"/>
      <c r="I81" s="29">
        <f>IF(D81="Haki dachowe Rapid2+ 45",Dachówka!D32,Blachodachowka!D32)</f>
        <v>7736574</v>
      </c>
      <c r="J81" s="199">
        <f>IF(D81="Haki dachowe Rapid2+ 45",Dachówka!E32,Blachodachowka!E32)</f>
        <v>11.5</v>
      </c>
      <c r="K81" s="199"/>
      <c r="L81" s="29"/>
      <c r="M81" s="25"/>
      <c r="N81" s="29"/>
      <c r="O81" s="199">
        <f>IF(D81="Haki dachowe Rapid2+ 45",Dachówka!G32,Blachodachowka!G32)</f>
        <v>230</v>
      </c>
      <c r="P81" s="199"/>
      <c r="Q81" s="76"/>
      <c r="R81" s="76"/>
    </row>
    <row r="82" spans="2:29">
      <c r="B82" s="25"/>
      <c r="C82" s="25"/>
      <c r="D82" s="54" t="str">
        <f>IF(H15="dachówka",Dachówka!J4,Blachodachowka!M4)</f>
        <v>Wkręty do drewna VA8x120mm 50St</v>
      </c>
      <c r="E82" s="54"/>
      <c r="F82" s="54"/>
      <c r="G82" s="29">
        <f>IF(D82="Wkręty do drewna VA8x120mm 50St",Dachówka!C34,Blachodachowka!C33)</f>
        <v>1</v>
      </c>
      <c r="H82" s="29"/>
      <c r="I82" s="29">
        <f>IF(D82="Wkręty do drewna VA8x120mm 50St",Dachówka!D34,Blachodachowka!D33)</f>
        <v>7457992</v>
      </c>
      <c r="J82" s="199">
        <f>IF(D82="Wkręty do drewna VA8x120mm 50St",Dachówka!E34,Blachodachowka!E33)</f>
        <v>177</v>
      </c>
      <c r="K82" s="199"/>
      <c r="L82" s="29"/>
      <c r="M82" s="25"/>
      <c r="N82" s="29"/>
      <c r="O82" s="199">
        <f>IF(D82="Wkręty do drewna VA8x120mm 50St",Dachówka!G34,Blachodachowka!G33)</f>
        <v>177</v>
      </c>
      <c r="P82" s="199"/>
      <c r="Q82" s="25"/>
      <c r="R82" s="25"/>
    </row>
    <row r="83" spans="2:29">
      <c r="B83" s="25"/>
      <c r="C83" s="25"/>
      <c r="D83" s="54" t="str">
        <f>Dachówka!B35</f>
        <v>Zaślepka plastikowa Profi05 20St.</v>
      </c>
      <c r="E83" s="54"/>
      <c r="F83" s="54"/>
      <c r="G83" s="29">
        <f>Dachówka!C35</f>
        <v>1</v>
      </c>
      <c r="H83" s="29"/>
      <c r="I83" s="29">
        <f>Dachówka!D35</f>
        <v>7497891</v>
      </c>
      <c r="J83" s="199">
        <f>Dachówka!E35</f>
        <v>35</v>
      </c>
      <c r="K83" s="199"/>
      <c r="L83" s="29"/>
      <c r="M83" s="25"/>
      <c r="N83" s="29"/>
      <c r="O83" s="199">
        <f>Dachówka!G35</f>
        <v>35</v>
      </c>
      <c r="P83" s="199"/>
      <c r="Q83" s="25"/>
      <c r="R83" s="25"/>
    </row>
    <row r="84" spans="2:29">
      <c r="B84" s="25"/>
      <c r="C84" s="77"/>
      <c r="D84" s="54" t="str">
        <f>Dachówka!B36</f>
        <v>Gniazda MC4 EVO2 4,0-6,0 mm2 (20 sztuk)</v>
      </c>
      <c r="E84" s="77"/>
      <c r="F84" s="77"/>
      <c r="G84" s="29">
        <f>Dachówka!C36</f>
        <v>1</v>
      </c>
      <c r="H84" s="77"/>
      <c r="I84" s="29">
        <f>Dachówka!D36</f>
        <v>7998634</v>
      </c>
      <c r="J84" s="199">
        <f>Dachówka!E36</f>
        <v>127</v>
      </c>
      <c r="K84" s="199"/>
      <c r="L84" s="77"/>
      <c r="M84" s="25"/>
      <c r="N84" s="77"/>
      <c r="O84" s="199">
        <f>Dachówka!G36</f>
        <v>127</v>
      </c>
      <c r="P84" s="199"/>
      <c r="Q84" s="77"/>
      <c r="R84" s="77"/>
    </row>
    <row r="85" spans="2:29">
      <c r="B85" s="25"/>
      <c r="C85" s="25"/>
      <c r="D85" s="54" t="str">
        <f>Dachówka!B37</f>
        <v>Wtyczki MC4 EVO2 4,0-6,0 mm2 (20 sztuk)</v>
      </c>
      <c r="E85" s="54"/>
      <c r="F85" s="54"/>
      <c r="G85" s="29">
        <f>Dachówka!C37</f>
        <v>1</v>
      </c>
      <c r="H85" s="29"/>
      <c r="I85" s="29">
        <f>Dachówka!D37</f>
        <v>7998635</v>
      </c>
      <c r="J85" s="199">
        <f>Dachówka!E37</f>
        <v>101</v>
      </c>
      <c r="K85" s="199"/>
      <c r="L85" s="29"/>
      <c r="M85" s="25"/>
      <c r="N85" s="29"/>
      <c r="O85" s="199">
        <f>Dachówka!G37</f>
        <v>101</v>
      </c>
      <c r="P85" s="199"/>
      <c r="Q85" s="25"/>
      <c r="R85" s="25"/>
    </row>
    <row r="86" spans="2:29">
      <c r="B86" s="25"/>
      <c r="C86" s="25"/>
      <c r="D86" s="54" t="str">
        <f>Dachówka!B38</f>
        <v>Zacisk odgromowy  8 i 10mm</v>
      </c>
      <c r="E86" s="54"/>
      <c r="F86" s="54"/>
      <c r="G86" s="29">
        <f>Dachówka!C38</f>
        <v>10</v>
      </c>
      <c r="H86" s="29"/>
      <c r="I86" s="29">
        <f>Dachówka!D38</f>
        <v>7457988</v>
      </c>
      <c r="J86" s="199">
        <f>Dachówka!E38</f>
        <v>13</v>
      </c>
      <c r="K86" s="199"/>
      <c r="L86" s="29"/>
      <c r="M86" s="25"/>
      <c r="N86" s="78"/>
      <c r="O86" s="199">
        <f>Dachówka!G38</f>
        <v>130</v>
      </c>
      <c r="P86" s="199"/>
      <c r="Q86" s="79"/>
      <c r="R86" s="79"/>
      <c r="S86" s="12">
        <f>_xlfn.NUMBERVALUE(INT(Q86))</f>
        <v>0</v>
      </c>
      <c r="T86" s="80"/>
      <c r="U86" s="80"/>
      <c r="V86" s="80"/>
      <c r="W86" s="80"/>
      <c r="X86" s="80"/>
      <c r="Y86" s="80"/>
    </row>
    <row r="87" spans="2:29">
      <c r="B87" s="25"/>
      <c r="C87" s="74" t="s">
        <v>7</v>
      </c>
      <c r="D87" s="198" t="s">
        <v>33</v>
      </c>
      <c r="E87" s="198"/>
      <c r="F87" s="198"/>
      <c r="G87" s="81">
        <v>1</v>
      </c>
      <c r="H87" s="29"/>
      <c r="I87" s="29">
        <f>Dachówka!D39</f>
        <v>7374380</v>
      </c>
      <c r="J87" s="199">
        <f>Dachówka!E39</f>
        <v>549</v>
      </c>
      <c r="K87" s="199"/>
      <c r="L87" s="29"/>
      <c r="M87" s="25"/>
      <c r="N87" s="29"/>
      <c r="O87" s="199">
        <f>Dachówka!G39</f>
        <v>549</v>
      </c>
      <c r="P87" s="199"/>
      <c r="Q87" s="79"/>
      <c r="R87" s="79"/>
      <c r="S87" s="12">
        <f>_xlfn.NUMBERVALUE(INT(Q87))</f>
        <v>0</v>
      </c>
      <c r="T87" s="80"/>
      <c r="U87" s="80"/>
      <c r="V87" s="80"/>
      <c r="W87" s="80"/>
      <c r="X87" s="80"/>
      <c r="Y87" s="80"/>
    </row>
    <row r="88" spans="2:29">
      <c r="B88" s="25"/>
      <c r="C88" s="25"/>
      <c r="D88" s="54" t="str">
        <f>Dachówka!B41</f>
        <v>Osprzęt elektryczny</v>
      </c>
      <c r="E88" s="54"/>
      <c r="F88" s="54"/>
      <c r="G88" s="29">
        <f>Dachówka!C41</f>
        <v>1</v>
      </c>
      <c r="H88" s="29"/>
      <c r="I88" s="29"/>
      <c r="J88" s="206">
        <v>0</v>
      </c>
      <c r="K88" s="206"/>
      <c r="L88" s="29"/>
      <c r="M88" s="25"/>
      <c r="N88" s="78"/>
      <c r="O88" s="199">
        <f>Dachówka!G41</f>
        <v>0</v>
      </c>
      <c r="P88" s="199"/>
      <c r="Q88" s="79"/>
      <c r="R88" s="79"/>
      <c r="S88" s="12">
        <f>_xlfn.NUMBERVALUE(INT(Q88))</f>
        <v>0</v>
      </c>
      <c r="T88" s="80"/>
      <c r="U88" s="80"/>
      <c r="V88" s="80"/>
      <c r="W88" s="80"/>
      <c r="X88" s="80"/>
      <c r="Y88" s="80"/>
    </row>
    <row r="89" spans="2:29">
      <c r="B89" s="25"/>
      <c r="C89" s="25"/>
      <c r="D89" s="54" t="str">
        <f>Dachówka!B43</f>
        <v>Montaż</v>
      </c>
      <c r="E89" s="54"/>
      <c r="F89" s="54"/>
      <c r="G89" s="29">
        <f>Dachówka!C43</f>
        <v>1</v>
      </c>
      <c r="H89" s="29"/>
      <c r="I89" s="29"/>
      <c r="J89" s="206">
        <v>0</v>
      </c>
      <c r="K89" s="206"/>
      <c r="L89" s="29"/>
      <c r="M89" s="25"/>
      <c r="N89" s="29"/>
      <c r="O89" s="199">
        <f>Dachówka!G43</f>
        <v>0</v>
      </c>
      <c r="P89" s="199"/>
      <c r="Q89" s="25"/>
      <c r="R89" s="25"/>
      <c r="T89" s="80"/>
      <c r="U89" s="80"/>
      <c r="V89" s="80"/>
      <c r="W89" s="80"/>
      <c r="X89" s="80"/>
      <c r="Y89" s="80"/>
    </row>
    <row r="90" spans="2:29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76"/>
      <c r="O90" s="76"/>
      <c r="P90" s="25"/>
      <c r="Q90" s="25"/>
      <c r="R90" s="25"/>
      <c r="T90" s="80"/>
      <c r="U90" s="80"/>
      <c r="V90" s="80"/>
      <c r="W90" s="80"/>
      <c r="X90" s="80"/>
      <c r="Y90" s="80"/>
    </row>
    <row r="91" spans="2:29">
      <c r="B91" s="25"/>
      <c r="C91" s="25"/>
      <c r="D91" s="25"/>
      <c r="E91" s="25"/>
      <c r="F91" s="25"/>
      <c r="G91" s="25"/>
      <c r="H91" s="25"/>
      <c r="I91" s="25"/>
      <c r="J91" s="25"/>
      <c r="K91" s="82" t="s">
        <v>36</v>
      </c>
      <c r="L91" s="82"/>
      <c r="M91" s="25"/>
      <c r="N91" s="207" t="e">
        <f>SUM(O75:P90)</f>
        <v>#N/A</v>
      </c>
      <c r="O91" s="207"/>
      <c r="P91" s="207"/>
      <c r="Q91" s="25"/>
      <c r="R91" s="25"/>
      <c r="T91" s="80"/>
      <c r="U91" s="80"/>
      <c r="V91" s="80"/>
      <c r="W91" s="80"/>
      <c r="X91" s="80"/>
      <c r="Y91" s="80"/>
    </row>
    <row r="92" spans="2:29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T92" s="80"/>
      <c r="U92" s="80"/>
      <c r="V92" s="80"/>
      <c r="W92" s="80"/>
      <c r="X92" s="80"/>
      <c r="Y92" s="80"/>
    </row>
    <row r="93" spans="2:29" ht="15" customHeight="1">
      <c r="B93" s="25"/>
      <c r="C93" s="25"/>
      <c r="D93" s="83" t="s">
        <v>37</v>
      </c>
      <c r="E93" s="25"/>
      <c r="F93" s="25"/>
      <c r="G93" s="84">
        <f>(G75*((VLOOKUP(D75,Cennik!F5:I8,4,FALSE))/1000))</f>
        <v>9.8600000000000012</v>
      </c>
      <c r="H93" s="85" t="s">
        <v>38</v>
      </c>
      <c r="I93" s="25"/>
      <c r="J93" s="25"/>
      <c r="K93" s="25" t="s">
        <v>39</v>
      </c>
      <c r="L93" s="82"/>
      <c r="M93" s="25"/>
      <c r="N93" s="205" t="e">
        <f>+N91/G93</f>
        <v>#N/A</v>
      </c>
      <c r="O93" s="205"/>
      <c r="P93" s="205"/>
      <c r="Q93" s="77"/>
      <c r="R93" s="77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2:29">
      <c r="B94" s="25"/>
      <c r="C94" s="25"/>
      <c r="D94" s="25"/>
      <c r="E94" s="25"/>
      <c r="F94" s="25"/>
      <c r="G94" s="25"/>
      <c r="H94" s="25"/>
      <c r="I94" s="25"/>
      <c r="J94" s="25"/>
      <c r="K94" s="25" t="s">
        <v>40</v>
      </c>
      <c r="L94" s="82"/>
      <c r="M94" s="25"/>
      <c r="N94" s="205">
        <f>SUM(O77:P88)</f>
        <v>6488.2</v>
      </c>
      <c r="O94" s="205"/>
      <c r="P94" s="205"/>
      <c r="Q94" s="25"/>
      <c r="R94" s="25"/>
      <c r="T94" s="12"/>
      <c r="U94" s="12"/>
      <c r="V94" s="12"/>
      <c r="W94" s="12"/>
      <c r="X94" s="12" t="s">
        <v>41</v>
      </c>
      <c r="Y94" s="86">
        <v>1</v>
      </c>
      <c r="Z94" s="12"/>
      <c r="AA94" s="8"/>
      <c r="AB94" s="8"/>
      <c r="AC94" s="8"/>
    </row>
    <row r="95" spans="2:29">
      <c r="B95" s="25"/>
      <c r="C95" s="25"/>
      <c r="D95" s="25"/>
      <c r="E95" s="25"/>
      <c r="F95" s="25"/>
      <c r="G95" s="25"/>
      <c r="H95" s="25"/>
      <c r="I95" s="25"/>
      <c r="J95" s="25"/>
      <c r="K95" s="25" t="s">
        <v>42</v>
      </c>
      <c r="L95" s="82"/>
      <c r="M95" s="25"/>
      <c r="N95" s="205">
        <f>N94/G93</f>
        <v>658.03245436105465</v>
      </c>
      <c r="O95" s="205"/>
      <c r="P95" s="205"/>
      <c r="Q95" s="25"/>
      <c r="R95" s="25"/>
      <c r="T95" s="87"/>
      <c r="U95" s="12"/>
      <c r="V95" s="12"/>
      <c r="W95" s="12"/>
      <c r="X95" s="12" t="s">
        <v>41</v>
      </c>
      <c r="Y95" s="88"/>
      <c r="Z95" s="12" t="s">
        <v>43</v>
      </c>
      <c r="AA95" s="8"/>
      <c r="AB95" s="8"/>
      <c r="AC95" s="8"/>
    </row>
    <row r="96" spans="2:29"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89"/>
      <c r="N96" s="90"/>
      <c r="O96" s="91"/>
      <c r="P96" s="92"/>
      <c r="Q96" s="92"/>
      <c r="R96" s="92"/>
      <c r="T96" s="88" t="b">
        <v>1</v>
      </c>
      <c r="U96" s="12"/>
      <c r="V96" s="12"/>
      <c r="W96" s="12"/>
      <c r="X96" s="12"/>
      <c r="Y96" s="12"/>
      <c r="Z96" s="12"/>
    </row>
    <row r="98" spans="2:27"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T98" s="6"/>
      <c r="U98" s="6"/>
    </row>
    <row r="99" spans="2:27"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T99" s="6"/>
      <c r="U99" s="6"/>
    </row>
    <row r="100" spans="2:27"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T100" s="6"/>
      <c r="U100" s="6"/>
    </row>
    <row r="101" spans="2:27">
      <c r="T101" s="6"/>
      <c r="U101" s="6"/>
    </row>
    <row r="102" spans="2:27">
      <c r="T102" s="6"/>
      <c r="U102" s="6"/>
    </row>
    <row r="103" spans="2:27">
      <c r="B103" s="94"/>
      <c r="T103" s="6"/>
      <c r="U103" s="6"/>
    </row>
    <row r="104" spans="2:27">
      <c r="T104" s="16"/>
      <c r="U104" s="17"/>
    </row>
    <row r="109" spans="2:27" ht="122.25" customHeight="1">
      <c r="W109" s="12"/>
      <c r="AA109" s="12">
        <v>1</v>
      </c>
    </row>
    <row r="110" spans="2:27" ht="129" customHeight="1">
      <c r="W110" s="12"/>
      <c r="AA110" s="12">
        <v>0</v>
      </c>
    </row>
  </sheetData>
  <mergeCells count="68">
    <mergeCell ref="N94:P94"/>
    <mergeCell ref="N95:P95"/>
    <mergeCell ref="J88:K88"/>
    <mergeCell ref="O88:P88"/>
    <mergeCell ref="J89:K89"/>
    <mergeCell ref="O89:P89"/>
    <mergeCell ref="N91:P91"/>
    <mergeCell ref="N93:P93"/>
    <mergeCell ref="J85:K85"/>
    <mergeCell ref="O85:P85"/>
    <mergeCell ref="J86:K86"/>
    <mergeCell ref="O86:P86"/>
    <mergeCell ref="D87:F87"/>
    <mergeCell ref="J87:K87"/>
    <mergeCell ref="O87:P87"/>
    <mergeCell ref="J82:K82"/>
    <mergeCell ref="O82:P82"/>
    <mergeCell ref="J83:K83"/>
    <mergeCell ref="O83:P83"/>
    <mergeCell ref="J84:K84"/>
    <mergeCell ref="O84:P84"/>
    <mergeCell ref="J79:K79"/>
    <mergeCell ref="O79:P79"/>
    <mergeCell ref="J80:K80"/>
    <mergeCell ref="O80:P80"/>
    <mergeCell ref="J81:K81"/>
    <mergeCell ref="O81:P81"/>
    <mergeCell ref="D77:F77"/>
    <mergeCell ref="J77:K77"/>
    <mergeCell ref="O77:P77"/>
    <mergeCell ref="D78:F78"/>
    <mergeCell ref="J78:K78"/>
    <mergeCell ref="O78:P78"/>
    <mergeCell ref="Q53:Q57"/>
    <mergeCell ref="D66:F67"/>
    <mergeCell ref="D75:F75"/>
    <mergeCell ref="J75:K75"/>
    <mergeCell ref="O75:P75"/>
    <mergeCell ref="D76:F76"/>
    <mergeCell ref="J76:K76"/>
    <mergeCell ref="O76:P76"/>
    <mergeCell ref="D33:E33"/>
    <mergeCell ref="D34:E34"/>
    <mergeCell ref="D35:E35"/>
    <mergeCell ref="D36:E36"/>
    <mergeCell ref="D37:E37"/>
    <mergeCell ref="D38:E38"/>
    <mergeCell ref="D32:E32"/>
    <mergeCell ref="D17:G18"/>
    <mergeCell ref="I17:I18"/>
    <mergeCell ref="J17:J18"/>
    <mergeCell ref="D24:E24"/>
    <mergeCell ref="D25:E25"/>
    <mergeCell ref="D26:E26"/>
    <mergeCell ref="D27:E27"/>
    <mergeCell ref="D28:E28"/>
    <mergeCell ref="D29:E29"/>
    <mergeCell ref="D30:E30"/>
    <mergeCell ref="D31:E31"/>
    <mergeCell ref="B12:B16"/>
    <mergeCell ref="C12:J13"/>
    <mergeCell ref="D15:G15"/>
    <mergeCell ref="H15:I15"/>
    <mergeCell ref="F1:H1"/>
    <mergeCell ref="J1:M1"/>
    <mergeCell ref="H5:R8"/>
    <mergeCell ref="D10:F10"/>
    <mergeCell ref="J10:K10"/>
  </mergeCells>
  <dataValidations count="4">
    <dataValidation type="list" allowBlank="1" showInputMessage="1" showErrorMessage="1" sqref="I28" xr:uid="{00000000-0002-0000-0200-000000000000}">
      <formula1>miasta</formula1>
    </dataValidation>
    <dataValidation type="list" allowBlank="1" showInputMessage="1" showErrorMessage="1" sqref="M35" xr:uid="{00000000-0002-0000-0200-000001000000}">
      <formula1>pompy_ciepla_wybor</formula1>
    </dataValidation>
    <dataValidation type="list" allowBlank="1" showInputMessage="1" showErrorMessage="1" sqref="M37" xr:uid="{00000000-0002-0000-0200-000002000000}">
      <formula1>drugie_zr_c</formula1>
    </dataValidation>
    <dataValidation type="whole" allowBlank="1" showInputMessage="1" showErrorMessage="1" sqref="I16" xr:uid="{00000000-0002-0000-0200-000003000000}">
      <formula1>10</formula1>
      <formula2>600</formula2>
    </dataValidation>
  </dataValidations>
  <printOptions horizontalCentered="1"/>
  <pageMargins left="0" right="0" top="0.39370078740157505" bottom="0.39370078740157505" header="0" footer="0"/>
  <pageSetup paperSize="0" scale="57" fitToWidth="0" fitToHeight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7000000}">
          <x14:formula1>
            <xm:f>Cennik!$F$23:$F$26</xm:f>
          </x14:formula1>
          <xm:sqref>D87</xm:sqref>
        </x14:dataValidation>
        <x14:dataValidation type="list" allowBlank="1" showInputMessage="1" showErrorMessage="1" xr:uid="{00000000-0002-0000-0200-000008000000}">
          <x14:formula1>
            <xm:f>Dachówka!$B$52:$B$53</xm:f>
          </x14:formula1>
          <xm:sqref>H15</xm:sqref>
        </x14:dataValidation>
        <x14:dataValidation type="list" allowBlank="1" showInputMessage="1" showErrorMessage="1" xr:uid="{00000000-0002-0000-0200-000009000000}">
          <x14:formula1>
            <xm:f>Cennik!$F$31:$F$32</xm:f>
          </x14:formula1>
          <xm:sqref>D78</xm:sqref>
        </x14:dataValidation>
        <x14:dataValidation type="list" allowBlank="1" showInputMessage="1" showErrorMessage="1" xr:uid="{00000000-0002-0000-0200-000004000000}">
          <x14:formula1>
            <xm:f>Cennik!$F$29:$F$30</xm:f>
          </x14:formula1>
          <xm:sqref>D77</xm:sqref>
        </x14:dataValidation>
        <x14:dataValidation type="list" allowBlank="1" showInputMessage="1" showErrorMessage="1" xr:uid="{00000000-0002-0000-0200-000005000000}">
          <x14:formula1>
            <xm:f>Cennik!$F$5:$F$8</xm:f>
          </x14:formula1>
          <xm:sqref>D75</xm:sqref>
        </x14:dataValidation>
        <x14:dataValidation type="list" allowBlank="1" showInputMessage="1" showErrorMessage="1" xr:uid="{00000000-0002-0000-0200-000006000000}">
          <x14:formula1>
            <xm:f>Cennik!$F$11:$F$21</xm:f>
          </x14:formula1>
          <xm:sqref>D76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4C75E-0118-4376-915B-E1C6A234C995}">
  <sheetPr codeName="Arkusz2"/>
  <dimension ref="B2:N52"/>
  <sheetViews>
    <sheetView topLeftCell="A4" workbookViewId="0">
      <selection activeCell="D7" sqref="D7"/>
    </sheetView>
  </sheetViews>
  <sheetFormatPr defaultColWidth="9.109375" defaultRowHeight="14.4"/>
  <cols>
    <col min="1" max="1" width="9.109375" customWidth="1"/>
    <col min="2" max="2" width="34.5546875" bestFit="1" customWidth="1"/>
    <col min="3" max="4" width="16.88671875" customWidth="1"/>
    <col min="5" max="5" width="15.6640625" customWidth="1"/>
    <col min="6" max="6" width="13.109375" customWidth="1"/>
    <col min="7" max="7" width="14.44140625" bestFit="1" customWidth="1"/>
    <col min="8" max="8" width="24.5546875" bestFit="1" customWidth="1"/>
    <col min="9" max="9" width="24.5546875" customWidth="1"/>
    <col min="10" max="10" width="27.33203125" bestFit="1" customWidth="1"/>
    <col min="11" max="11" width="24.88671875" bestFit="1" customWidth="1"/>
    <col min="12" max="12" width="19.88671875" bestFit="1" customWidth="1"/>
    <col min="13" max="13" width="43" bestFit="1" customWidth="1"/>
    <col min="14" max="14" width="17.109375" bestFit="1" customWidth="1"/>
    <col min="15" max="15" width="9.109375" customWidth="1"/>
  </cols>
  <sheetData>
    <row r="2" spans="2:14">
      <c r="B2" t="s">
        <v>44</v>
      </c>
      <c r="C2">
        <f>Dachówka_blachodachówka!I17</f>
        <v>805</v>
      </c>
      <c r="D2" t="s">
        <v>45</v>
      </c>
      <c r="E2" t="s">
        <v>46</v>
      </c>
      <c r="F2" s="95">
        <f>VLOOKUP($B$26,Cennik!F5:J8,5,FALSE)+0.02</f>
        <v>1.153</v>
      </c>
      <c r="G2" t="s">
        <v>47</v>
      </c>
    </row>
    <row r="4" spans="2:14">
      <c r="B4" s="96" t="s">
        <v>48</v>
      </c>
      <c r="C4" s="96" t="s">
        <v>49</v>
      </c>
      <c r="D4" s="96" t="s">
        <v>13</v>
      </c>
      <c r="E4" s="96" t="s">
        <v>14</v>
      </c>
      <c r="F4" s="96" t="str">
        <f>Cennik!F59</f>
        <v>Profil nośny modułu Solo light 4,4m</v>
      </c>
      <c r="G4" s="96" t="str">
        <f>Cennik!F52</f>
        <v xml:space="preserve">Łącznik profili Solo5 </v>
      </c>
      <c r="H4" s="96" t="str">
        <f>B32</f>
        <v>Hak dachowy Rapid2+ Max</v>
      </c>
      <c r="I4" s="96" t="str">
        <f>B33</f>
        <v>Podkładka uniwesalna 2,5/5 mm pod haki dachowe (100 szt)</v>
      </c>
      <c r="J4" s="96" t="str">
        <f>B34</f>
        <v>Wkręty do drewna VA8x120mm 50St</v>
      </c>
      <c r="K4" s="96" t="str">
        <f>B35</f>
        <v>Zaślepka plastikowa Profi05 20St.</v>
      </c>
      <c r="L4" s="96" t="str">
        <f>B38</f>
        <v>Zacisk odgromowy  8 i 10mm</v>
      </c>
      <c r="M4" s="97" t="s">
        <v>21</v>
      </c>
      <c r="N4" s="97" t="s">
        <v>23</v>
      </c>
    </row>
    <row r="5" spans="2:14">
      <c r="B5" s="98" t="s">
        <v>50</v>
      </c>
      <c r="C5" s="98">
        <f>KalZip_Rąbek!G27</f>
        <v>1</v>
      </c>
      <c r="D5" s="98">
        <f>IF(Rąbek_kalzip!$C5&gt;0,((C5-1)*2),0)</f>
        <v>0</v>
      </c>
      <c r="E5" s="98">
        <f>IF(Rąbek_kalzip!$C5&gt;0,4,0)</f>
        <v>4</v>
      </c>
      <c r="F5" s="98">
        <f>(CEILING(((Rąbek_kalzip!$C5*$F$2)/4.3),1))*2</f>
        <v>2</v>
      </c>
      <c r="G5" s="98">
        <f>(IF((Rąbek_kalzip!$F5&gt;2),((CEILING((Rąbek_kalzip!$C5*$F$2/4.2),1))-1),0))*2</f>
        <v>0</v>
      </c>
      <c r="H5" s="98">
        <f t="shared" ref="H5:H22" si="0">IF(C5=0,0,ROUNDUP(C5/($C$2/100),0)*2)</f>
        <v>2</v>
      </c>
      <c r="I5" s="98">
        <f>+H5*4</f>
        <v>8</v>
      </c>
      <c r="J5" s="98">
        <f t="shared" ref="J5:J22" si="1">+H5*2</f>
        <v>4</v>
      </c>
      <c r="K5" s="98">
        <f t="shared" ref="K5:K22" si="2">+E5</f>
        <v>4</v>
      </c>
      <c r="L5" s="98">
        <f>IF(Rąbek_kalzip!$C5&gt;0,2,0)</f>
        <v>2</v>
      </c>
      <c r="M5" s="99">
        <f t="shared" ref="M5:M22" si="3">IF(C5=0,0,ROUNDUP(C5/($C$2/100),0)*2)</f>
        <v>2</v>
      </c>
      <c r="N5" s="99">
        <f t="shared" ref="N5:N22" si="4">M5</f>
        <v>2</v>
      </c>
    </row>
    <row r="6" spans="2:14">
      <c r="B6" s="98" t="s">
        <v>51</v>
      </c>
      <c r="C6" s="98">
        <f>KalZip_Rąbek!G28</f>
        <v>2</v>
      </c>
      <c r="D6" s="98">
        <f>IF(Rąbek_kalzip!$C6&gt;0,((C6-1)*2),0)</f>
        <v>2</v>
      </c>
      <c r="E6" s="98">
        <f>IF(Rąbek_kalzip!$C6&gt;0,4,0)</f>
        <v>4</v>
      </c>
      <c r="F6" s="98">
        <f>(CEILING(((Rąbek_kalzip!$C6*$F$2)/4.3),1))*2</f>
        <v>2</v>
      </c>
      <c r="G6" s="98">
        <f>(IF((Rąbek_kalzip!$F6&gt;2),((CEILING((Rąbek_kalzip!$C6*$F$2/4.2),1))-1),0))*2</f>
        <v>0</v>
      </c>
      <c r="H6" s="98">
        <f t="shared" si="0"/>
        <v>2</v>
      </c>
      <c r="I6" s="98">
        <f t="shared" ref="I6:I22" si="5">+H6*4</f>
        <v>8</v>
      </c>
      <c r="J6" s="98">
        <f t="shared" si="1"/>
        <v>4</v>
      </c>
      <c r="K6" s="98">
        <f t="shared" si="2"/>
        <v>4</v>
      </c>
      <c r="L6" s="98">
        <f>IF(Rąbek_kalzip!$C6&gt;0,2,0)</f>
        <v>2</v>
      </c>
      <c r="M6" s="99">
        <f t="shared" si="3"/>
        <v>2</v>
      </c>
      <c r="N6" s="99">
        <f t="shared" si="4"/>
        <v>2</v>
      </c>
    </row>
    <row r="7" spans="2:14">
      <c r="B7" s="98" t="s">
        <v>52</v>
      </c>
      <c r="C7" s="98">
        <f>KalZip_Rąbek!G29</f>
        <v>3</v>
      </c>
      <c r="D7" s="98">
        <f>IF(Rąbek_kalzip!$C7&gt;0,((C7-1)*2),0)</f>
        <v>4</v>
      </c>
      <c r="E7" s="98">
        <f>IF(Rąbek_kalzip!$C7&gt;0,4,0)</f>
        <v>4</v>
      </c>
      <c r="F7" s="98">
        <f>(CEILING(((Rąbek_kalzip!$C7*$F$2)/4.3),1))*2</f>
        <v>2</v>
      </c>
      <c r="G7" s="98">
        <f>(IF((Rąbek_kalzip!$F7&gt;2),((CEILING((Rąbek_kalzip!$C7*$F$2/4.2),1))-1),0))*2</f>
        <v>0</v>
      </c>
      <c r="H7" s="98">
        <f t="shared" si="0"/>
        <v>2</v>
      </c>
      <c r="I7" s="98">
        <f t="shared" si="5"/>
        <v>8</v>
      </c>
      <c r="J7" s="98">
        <f t="shared" si="1"/>
        <v>4</v>
      </c>
      <c r="K7" s="98">
        <f t="shared" si="2"/>
        <v>4</v>
      </c>
      <c r="L7" s="98">
        <f>IF(Rąbek_kalzip!$C7&gt;0,2,0)</f>
        <v>2</v>
      </c>
      <c r="M7" s="99">
        <f t="shared" si="3"/>
        <v>2</v>
      </c>
      <c r="N7" s="99">
        <f t="shared" si="4"/>
        <v>2</v>
      </c>
    </row>
    <row r="8" spans="2:14">
      <c r="B8" s="98" t="s">
        <v>53</v>
      </c>
      <c r="C8" s="98">
        <f>KalZip_Rąbek!G30</f>
        <v>4</v>
      </c>
      <c r="D8" s="98">
        <f>IF(Rąbek_kalzip!$C8&gt;0,((C8-1)*2),0)</f>
        <v>6</v>
      </c>
      <c r="E8" s="98">
        <f>IF(Rąbek_kalzip!$C8&gt;0,4,0)</f>
        <v>4</v>
      </c>
      <c r="F8" s="98">
        <f>(CEILING(((Rąbek_kalzip!$C8*$F$2)/4.3),1))*2</f>
        <v>4</v>
      </c>
      <c r="G8" s="98">
        <f>(IF((Rąbek_kalzip!$F8&gt;2),((CEILING((Rąbek_kalzip!$C8*$F$2/4.2),1))-1),0))*2</f>
        <v>2</v>
      </c>
      <c r="H8" s="98">
        <f t="shared" si="0"/>
        <v>2</v>
      </c>
      <c r="I8" s="98">
        <f t="shared" si="5"/>
        <v>8</v>
      </c>
      <c r="J8" s="98">
        <f t="shared" si="1"/>
        <v>4</v>
      </c>
      <c r="K8" s="98">
        <f t="shared" si="2"/>
        <v>4</v>
      </c>
      <c r="L8" s="98">
        <f>IF(Rąbek_kalzip!$C8&gt;0,2,0)</f>
        <v>2</v>
      </c>
      <c r="M8" s="99">
        <f t="shared" si="3"/>
        <v>2</v>
      </c>
      <c r="N8" s="99">
        <f t="shared" si="4"/>
        <v>2</v>
      </c>
    </row>
    <row r="9" spans="2:14">
      <c r="B9" s="98" t="s">
        <v>54</v>
      </c>
      <c r="C9" s="98">
        <f>KalZip_Rąbek!G31</f>
        <v>5</v>
      </c>
      <c r="D9" s="98">
        <f>IF(Rąbek_kalzip!$C9&gt;0,((C9-1)*2),0)</f>
        <v>8</v>
      </c>
      <c r="E9" s="98">
        <f>IF(Rąbek_kalzip!$C9&gt;0,4,0)</f>
        <v>4</v>
      </c>
      <c r="F9" s="98">
        <f>(CEILING(((Rąbek_kalzip!$C9*$F$2)/4.3),1))*2</f>
        <v>4</v>
      </c>
      <c r="G9" s="98">
        <f>(IF((Rąbek_kalzip!$F9&gt;2),((CEILING((Rąbek_kalzip!$C9*$F$2/4.2),1))-1),0))*2</f>
        <v>2</v>
      </c>
      <c r="H9" s="98">
        <f t="shared" si="0"/>
        <v>2</v>
      </c>
      <c r="I9" s="98">
        <f t="shared" si="5"/>
        <v>8</v>
      </c>
      <c r="J9" s="98">
        <f t="shared" si="1"/>
        <v>4</v>
      </c>
      <c r="K9" s="98">
        <f t="shared" si="2"/>
        <v>4</v>
      </c>
      <c r="L9" s="98">
        <f>IF(Rąbek_kalzip!$C9&gt;0,2,0)</f>
        <v>2</v>
      </c>
      <c r="M9" s="99">
        <f t="shared" si="3"/>
        <v>2</v>
      </c>
      <c r="N9" s="99">
        <f t="shared" si="4"/>
        <v>2</v>
      </c>
    </row>
    <row r="10" spans="2:14">
      <c r="B10" s="98" t="s">
        <v>55</v>
      </c>
      <c r="C10" s="98">
        <f>KalZip_Rąbek!G32</f>
        <v>0</v>
      </c>
      <c r="D10" s="98">
        <f>IF(Rąbek_kalzip!$C10&gt;0,((C10-1)*2),0)</f>
        <v>0</v>
      </c>
      <c r="E10" s="98">
        <f>IF(Rąbek_kalzip!$C10&gt;0,4,0)</f>
        <v>0</v>
      </c>
      <c r="F10" s="98">
        <f>(CEILING(((Rąbek_kalzip!$C10*$F$2)/4.3),1))*2</f>
        <v>0</v>
      </c>
      <c r="G10" s="98">
        <f>(IF((Rąbek_kalzip!$F10&gt;2),((CEILING((Rąbek_kalzip!$C10*$F$2/4.2),1))-1),0))*2</f>
        <v>0</v>
      </c>
      <c r="H10" s="98">
        <f t="shared" si="0"/>
        <v>0</v>
      </c>
      <c r="I10" s="98">
        <f t="shared" si="5"/>
        <v>0</v>
      </c>
      <c r="J10" s="98">
        <f t="shared" si="1"/>
        <v>0</v>
      </c>
      <c r="K10" s="98">
        <f t="shared" si="2"/>
        <v>0</v>
      </c>
      <c r="L10" s="98">
        <f>IF(Rąbek_kalzip!$C10&gt;0,2,0)</f>
        <v>0</v>
      </c>
      <c r="M10" s="99">
        <f t="shared" si="3"/>
        <v>0</v>
      </c>
      <c r="N10" s="99">
        <f t="shared" si="4"/>
        <v>0</v>
      </c>
    </row>
    <row r="11" spans="2:14">
      <c r="B11" s="98" t="s">
        <v>56</v>
      </c>
      <c r="C11" s="98">
        <f>KalZip_Rąbek!G33</f>
        <v>0</v>
      </c>
      <c r="D11" s="98">
        <f>IF(Rąbek_kalzip!$C11&gt;0,((C11-1)*2),0)</f>
        <v>0</v>
      </c>
      <c r="E11" s="98">
        <f>IF(Rąbek_kalzip!$C11&gt;0,4,0)</f>
        <v>0</v>
      </c>
      <c r="F11" s="98">
        <f>(CEILING(((Rąbek_kalzip!$C11*$F$2)/4.3),1))*2</f>
        <v>0</v>
      </c>
      <c r="G11" s="98">
        <f>(IF((Rąbek_kalzip!$F11&gt;2),((CEILING((Rąbek_kalzip!$C11*$F$2/4.2),1))-1),0))*2</f>
        <v>0</v>
      </c>
      <c r="H11" s="98">
        <f t="shared" si="0"/>
        <v>0</v>
      </c>
      <c r="I11" s="98">
        <f t="shared" si="5"/>
        <v>0</v>
      </c>
      <c r="J11" s="98">
        <f t="shared" si="1"/>
        <v>0</v>
      </c>
      <c r="K11" s="98">
        <f t="shared" si="2"/>
        <v>0</v>
      </c>
      <c r="L11" s="98">
        <f>IF(Rąbek_kalzip!$C11&gt;0,2,0)</f>
        <v>0</v>
      </c>
      <c r="M11" s="99">
        <f t="shared" si="3"/>
        <v>0</v>
      </c>
      <c r="N11" s="99">
        <f t="shared" si="4"/>
        <v>0</v>
      </c>
    </row>
    <row r="12" spans="2:14">
      <c r="B12" s="98" t="s">
        <v>57</v>
      </c>
      <c r="C12" s="98">
        <f>KalZip_Rąbek!G34</f>
        <v>0</v>
      </c>
      <c r="D12" s="98">
        <f>IF(Rąbek_kalzip!$C12&gt;0,((C12-1)*2),0)</f>
        <v>0</v>
      </c>
      <c r="E12" s="98">
        <f>IF(Rąbek_kalzip!$C12&gt;0,4,0)</f>
        <v>0</v>
      </c>
      <c r="F12" s="98">
        <f>(CEILING(((Rąbek_kalzip!$C12*$F$2)/4.3),1))*2</f>
        <v>0</v>
      </c>
      <c r="G12" s="98">
        <f>(IF((Rąbek_kalzip!$F12&gt;2),((CEILING((Rąbek_kalzip!$C12*$F$2/4.2),1))-1),0))*2</f>
        <v>0</v>
      </c>
      <c r="H12" s="98">
        <f t="shared" si="0"/>
        <v>0</v>
      </c>
      <c r="I12" s="98">
        <f t="shared" si="5"/>
        <v>0</v>
      </c>
      <c r="J12" s="98">
        <f t="shared" si="1"/>
        <v>0</v>
      </c>
      <c r="K12" s="98">
        <f t="shared" si="2"/>
        <v>0</v>
      </c>
      <c r="L12" s="98">
        <f>IF(Rąbek_kalzip!$C12&gt;0,2,0)</f>
        <v>0</v>
      </c>
      <c r="M12" s="99">
        <f t="shared" si="3"/>
        <v>0</v>
      </c>
      <c r="N12" s="99">
        <f t="shared" si="4"/>
        <v>0</v>
      </c>
    </row>
    <row r="13" spans="2:14">
      <c r="B13" s="98" t="s">
        <v>58</v>
      </c>
      <c r="C13" s="98">
        <f>KalZip_Rąbek!G35</f>
        <v>0</v>
      </c>
      <c r="D13" s="98">
        <f>IF(Rąbek_kalzip!$C13&gt;0,((C13-1)*2),0)</f>
        <v>0</v>
      </c>
      <c r="E13" s="98">
        <f>IF(Rąbek_kalzip!$C13&gt;0,4,0)</f>
        <v>0</v>
      </c>
      <c r="F13" s="98">
        <f>(CEILING(((Rąbek_kalzip!$C13*$F$2)/4.3),1))*2</f>
        <v>0</v>
      </c>
      <c r="G13" s="98">
        <f>(IF((Rąbek_kalzip!$F13&gt;2),((CEILING((Rąbek_kalzip!$C13*$F$2/4.2),1))-1),0))*2</f>
        <v>0</v>
      </c>
      <c r="H13" s="98">
        <f t="shared" si="0"/>
        <v>0</v>
      </c>
      <c r="I13" s="98">
        <f t="shared" si="5"/>
        <v>0</v>
      </c>
      <c r="J13" s="98">
        <f t="shared" si="1"/>
        <v>0</v>
      </c>
      <c r="K13" s="98">
        <f t="shared" si="2"/>
        <v>0</v>
      </c>
      <c r="L13" s="98">
        <f>IF(Rąbek_kalzip!$C13&gt;0,2,0)</f>
        <v>0</v>
      </c>
      <c r="M13" s="99">
        <f t="shared" si="3"/>
        <v>0</v>
      </c>
      <c r="N13" s="99">
        <f t="shared" si="4"/>
        <v>0</v>
      </c>
    </row>
    <row r="14" spans="2:14">
      <c r="B14" s="98" t="s">
        <v>59</v>
      </c>
      <c r="C14" s="98">
        <f>KalZip_Rąbek!G36</f>
        <v>0</v>
      </c>
      <c r="D14" s="98">
        <f>IF(Rąbek_kalzip!$C14&gt;0,((C14-1)*2),0)</f>
        <v>0</v>
      </c>
      <c r="E14" s="98">
        <f>IF(Rąbek_kalzip!$C14&gt;0,4,0)</f>
        <v>0</v>
      </c>
      <c r="F14" s="98">
        <f>(CEILING(((Rąbek_kalzip!$C14*$F$2)/4.3),1))*2</f>
        <v>0</v>
      </c>
      <c r="G14" s="98">
        <f>(IF((Rąbek_kalzip!$F14&gt;2),((CEILING((Rąbek_kalzip!$C14*$F$2/4.2),1))-1),0))*2</f>
        <v>0</v>
      </c>
      <c r="H14" s="98">
        <f t="shared" si="0"/>
        <v>0</v>
      </c>
      <c r="I14" s="98">
        <f t="shared" si="5"/>
        <v>0</v>
      </c>
      <c r="J14" s="98">
        <f t="shared" si="1"/>
        <v>0</v>
      </c>
      <c r="K14" s="98">
        <f t="shared" si="2"/>
        <v>0</v>
      </c>
      <c r="L14" s="98">
        <f>IF(Rąbek_kalzip!$C14&gt;0,2,0)</f>
        <v>0</v>
      </c>
      <c r="M14" s="99">
        <f t="shared" si="3"/>
        <v>0</v>
      </c>
      <c r="N14" s="99">
        <f t="shared" si="4"/>
        <v>0</v>
      </c>
    </row>
    <row r="15" spans="2:14">
      <c r="B15" s="98" t="s">
        <v>60</v>
      </c>
      <c r="C15" s="98">
        <f>KalZip_Rąbek!G37</f>
        <v>0</v>
      </c>
      <c r="D15" s="98">
        <f>IF(Rąbek_kalzip!$C15&gt;0,((C15-1)*2),0)</f>
        <v>0</v>
      </c>
      <c r="E15" s="98">
        <f>IF(Rąbek_kalzip!$C15&gt;0,4,0)</f>
        <v>0</v>
      </c>
      <c r="F15" s="98">
        <f>(CEILING(((Rąbek_kalzip!$C15*$F$2)/4.3),1))*2</f>
        <v>0</v>
      </c>
      <c r="G15" s="98">
        <f>(IF((Rąbek_kalzip!$F15&gt;2),((CEILING((Rąbek_kalzip!$C15*$F$2/4.2),1))-1),0))*2</f>
        <v>0</v>
      </c>
      <c r="H15" s="98">
        <f t="shared" si="0"/>
        <v>0</v>
      </c>
      <c r="I15" s="98">
        <f t="shared" si="5"/>
        <v>0</v>
      </c>
      <c r="J15" s="98">
        <f t="shared" si="1"/>
        <v>0</v>
      </c>
      <c r="K15" s="98">
        <f t="shared" si="2"/>
        <v>0</v>
      </c>
      <c r="L15" s="98">
        <f>IF(Rąbek_kalzip!$C15&gt;0,2,0)</f>
        <v>0</v>
      </c>
      <c r="M15" s="99">
        <f t="shared" si="3"/>
        <v>0</v>
      </c>
      <c r="N15" s="99">
        <f t="shared" si="4"/>
        <v>0</v>
      </c>
    </row>
    <row r="16" spans="2:14">
      <c r="B16" s="98" t="s">
        <v>61</v>
      </c>
      <c r="C16" s="98">
        <f>KalZip_Rąbek!G38</f>
        <v>0</v>
      </c>
      <c r="D16" s="98">
        <f>IF(Rąbek_kalzip!$C16&gt;0,((C16-1)*2),0)</f>
        <v>0</v>
      </c>
      <c r="E16" s="98">
        <f>IF(Rąbek_kalzip!$C16&gt;0,4,0)</f>
        <v>0</v>
      </c>
      <c r="F16" s="98">
        <f>(CEILING(((Rąbek_kalzip!$C16*$F$2)/4.3),1))*2</f>
        <v>0</v>
      </c>
      <c r="G16" s="98">
        <f>(IF((Rąbek_kalzip!$F16&gt;2),((CEILING((Rąbek_kalzip!$C16*$F$2/4.2),1))-1),0))*2</f>
        <v>0</v>
      </c>
      <c r="H16" s="98">
        <f t="shared" si="0"/>
        <v>0</v>
      </c>
      <c r="I16" s="98">
        <f t="shared" si="5"/>
        <v>0</v>
      </c>
      <c r="J16" s="98">
        <f t="shared" si="1"/>
        <v>0</v>
      </c>
      <c r="K16" s="98">
        <f t="shared" si="2"/>
        <v>0</v>
      </c>
      <c r="L16" s="98">
        <f>IF(Rąbek_kalzip!$C16&gt;0,2,0)</f>
        <v>0</v>
      </c>
      <c r="M16" s="99">
        <f t="shared" si="3"/>
        <v>0</v>
      </c>
      <c r="N16" s="99">
        <f t="shared" si="4"/>
        <v>0</v>
      </c>
    </row>
    <row r="17" spans="2:14">
      <c r="B17" s="98" t="s">
        <v>62</v>
      </c>
      <c r="C17" s="98">
        <f>KalZip_Rąbek!G39</f>
        <v>0</v>
      </c>
      <c r="D17" s="98">
        <f>IF(Rąbek_kalzip!$C17&gt;0,((C17-1)*2),0)</f>
        <v>0</v>
      </c>
      <c r="E17" s="98">
        <f>IF(Rąbek_kalzip!$C17&gt;0,4,0)</f>
        <v>0</v>
      </c>
      <c r="F17" s="98">
        <f>(CEILING(((Rąbek_kalzip!$C17*$F$2)/4.3),1))*2</f>
        <v>0</v>
      </c>
      <c r="G17" s="98">
        <f>(IF((Rąbek_kalzip!$F17&gt;2),((CEILING((Rąbek_kalzip!$C17*$F$2/4.2),1))-1),0))*2</f>
        <v>0</v>
      </c>
      <c r="H17" s="98">
        <f t="shared" si="0"/>
        <v>0</v>
      </c>
      <c r="I17" s="98">
        <f t="shared" si="5"/>
        <v>0</v>
      </c>
      <c r="J17" s="98">
        <f t="shared" si="1"/>
        <v>0</v>
      </c>
      <c r="K17" s="98">
        <f t="shared" si="2"/>
        <v>0</v>
      </c>
      <c r="L17" s="98">
        <f>IF(Rąbek_kalzip!$C17&gt;0,2,0)</f>
        <v>0</v>
      </c>
      <c r="M17" s="99">
        <f t="shared" si="3"/>
        <v>0</v>
      </c>
      <c r="N17" s="99">
        <f t="shared" si="4"/>
        <v>0</v>
      </c>
    </row>
    <row r="18" spans="2:14">
      <c r="B18" s="98" t="s">
        <v>63</v>
      </c>
      <c r="C18" s="98">
        <f>KalZip_Rąbek!G40</f>
        <v>0</v>
      </c>
      <c r="D18" s="98">
        <f>IF(Rąbek_kalzip!$C18&gt;0,((C18-1)*2),0)</f>
        <v>0</v>
      </c>
      <c r="E18" s="98">
        <f>IF(Rąbek_kalzip!$C18&gt;0,4,0)</f>
        <v>0</v>
      </c>
      <c r="F18" s="98">
        <f>(CEILING(((Rąbek_kalzip!$C18*$F$2)/4.3),1))*2</f>
        <v>0</v>
      </c>
      <c r="G18" s="98">
        <f>(IF((Rąbek_kalzip!$F18&gt;2),((CEILING((Rąbek_kalzip!$C18*$F$2/4.2),1))-1),0))*2</f>
        <v>0</v>
      </c>
      <c r="H18" s="98">
        <f t="shared" si="0"/>
        <v>0</v>
      </c>
      <c r="I18" s="98">
        <f t="shared" si="5"/>
        <v>0</v>
      </c>
      <c r="J18" s="98">
        <f t="shared" si="1"/>
        <v>0</v>
      </c>
      <c r="K18" s="98">
        <f t="shared" si="2"/>
        <v>0</v>
      </c>
      <c r="L18" s="98">
        <f>IF(Rąbek_kalzip!$C18&gt;0,2,0)</f>
        <v>0</v>
      </c>
      <c r="M18" s="99">
        <f t="shared" si="3"/>
        <v>0</v>
      </c>
      <c r="N18" s="99">
        <f t="shared" si="4"/>
        <v>0</v>
      </c>
    </row>
    <row r="19" spans="2:14">
      <c r="B19" s="98" t="s">
        <v>64</v>
      </c>
      <c r="C19" s="98">
        <f>KalZip_Rąbek!G41</f>
        <v>0</v>
      </c>
      <c r="D19" s="98">
        <f>IF(Rąbek_kalzip!$C19&gt;0,((C19-1)*2),0)</f>
        <v>0</v>
      </c>
      <c r="E19" s="98">
        <f>IF(Rąbek_kalzip!$C19&gt;0,4,0)</f>
        <v>0</v>
      </c>
      <c r="F19" s="98">
        <f>(CEILING(((Rąbek_kalzip!$C19*$F$2)/4.3),1))*2</f>
        <v>0</v>
      </c>
      <c r="G19" s="98">
        <f>(IF((Rąbek_kalzip!$F19&gt;2),((CEILING((Rąbek_kalzip!$C19*$F$2/4.2),1))-1),0))*2</f>
        <v>0</v>
      </c>
      <c r="H19" s="98">
        <f t="shared" si="0"/>
        <v>0</v>
      </c>
      <c r="I19" s="98">
        <f t="shared" si="5"/>
        <v>0</v>
      </c>
      <c r="J19" s="98">
        <f t="shared" si="1"/>
        <v>0</v>
      </c>
      <c r="K19" s="98">
        <f t="shared" si="2"/>
        <v>0</v>
      </c>
      <c r="L19" s="98">
        <f>IF(Rąbek_kalzip!$C19&gt;0,2,0)</f>
        <v>0</v>
      </c>
      <c r="M19" s="99">
        <f t="shared" si="3"/>
        <v>0</v>
      </c>
      <c r="N19" s="99">
        <f t="shared" si="4"/>
        <v>0</v>
      </c>
    </row>
    <row r="20" spans="2:14">
      <c r="B20" s="98" t="s">
        <v>65</v>
      </c>
      <c r="C20" s="98">
        <f>KalZip_Rąbek!G42</f>
        <v>0</v>
      </c>
      <c r="D20" s="98">
        <f>IF(Rąbek_kalzip!$C20&gt;0,((C20-1)*2),0)</f>
        <v>0</v>
      </c>
      <c r="E20" s="98">
        <f>IF(Rąbek_kalzip!$C20&gt;0,4,0)</f>
        <v>0</v>
      </c>
      <c r="F20" s="98">
        <f>(CEILING(((Rąbek_kalzip!$C20*$F$2)/4.3),1))*2</f>
        <v>0</v>
      </c>
      <c r="G20" s="98">
        <f>(IF((Rąbek_kalzip!$F20&gt;2),((CEILING((Rąbek_kalzip!$C20*$F$2/4.2),1))-1),0))*2</f>
        <v>0</v>
      </c>
      <c r="H20" s="98">
        <f t="shared" si="0"/>
        <v>0</v>
      </c>
      <c r="I20" s="98">
        <f t="shared" si="5"/>
        <v>0</v>
      </c>
      <c r="J20" s="98">
        <f t="shared" si="1"/>
        <v>0</v>
      </c>
      <c r="K20" s="98">
        <f t="shared" si="2"/>
        <v>0</v>
      </c>
      <c r="L20" s="98">
        <f>IF(Rąbek_kalzip!$C20&gt;0,2,0)</f>
        <v>0</v>
      </c>
      <c r="M20" s="99">
        <f t="shared" si="3"/>
        <v>0</v>
      </c>
      <c r="N20" s="99">
        <f t="shared" si="4"/>
        <v>0</v>
      </c>
    </row>
    <row r="21" spans="2:14">
      <c r="B21" s="98" t="s">
        <v>66</v>
      </c>
      <c r="C21" s="98">
        <f>KalZip_Rąbek!G43</f>
        <v>0</v>
      </c>
      <c r="D21" s="98">
        <f>IF(Rąbek_kalzip!$C21&gt;0,((C21-1)*2),0)</f>
        <v>0</v>
      </c>
      <c r="E21" s="98">
        <f>IF(Rąbek_kalzip!$C21&gt;0,4,0)</f>
        <v>0</v>
      </c>
      <c r="F21" s="98">
        <f>(CEILING(((Rąbek_kalzip!$C21*$F$2)/4.3),1))*2</f>
        <v>0</v>
      </c>
      <c r="G21" s="98">
        <f>(IF((Rąbek_kalzip!$F21&gt;2),((CEILING((Rąbek_kalzip!$C21*$F$2/4.2),1))-1),0))*2</f>
        <v>0</v>
      </c>
      <c r="H21" s="98">
        <f t="shared" si="0"/>
        <v>0</v>
      </c>
      <c r="I21" s="98">
        <f t="shared" si="5"/>
        <v>0</v>
      </c>
      <c r="J21" s="98">
        <f t="shared" si="1"/>
        <v>0</v>
      </c>
      <c r="K21" s="98">
        <f t="shared" si="2"/>
        <v>0</v>
      </c>
      <c r="L21" s="98">
        <f>IF(Rąbek_kalzip!$C21&gt;0,2,0)</f>
        <v>0</v>
      </c>
      <c r="M21" s="99">
        <f t="shared" si="3"/>
        <v>0</v>
      </c>
      <c r="N21" s="99">
        <f t="shared" si="4"/>
        <v>0</v>
      </c>
    </row>
    <row r="22" spans="2:14">
      <c r="B22" s="98" t="s">
        <v>67</v>
      </c>
      <c r="C22" s="98">
        <f>KalZip_Rąbek!G44</f>
        <v>0</v>
      </c>
      <c r="D22" s="98">
        <f>IF(Rąbek_kalzip!$C22&gt;0,((C22-1)*2),0)</f>
        <v>0</v>
      </c>
      <c r="E22" s="98">
        <f>IF(Rąbek_kalzip!$C22&gt;0,4,0)</f>
        <v>0</v>
      </c>
      <c r="F22" s="98">
        <f>(CEILING(((Rąbek_kalzip!$C22*$F$2)/4.3),1))*2</f>
        <v>0</v>
      </c>
      <c r="G22" s="98">
        <f>(IF((Rąbek_kalzip!$F22&gt;2),((CEILING((Rąbek_kalzip!$C22*$F$2/4.2),1))-1),0))*2</f>
        <v>0</v>
      </c>
      <c r="H22" s="98">
        <f t="shared" si="0"/>
        <v>0</v>
      </c>
      <c r="I22" s="98">
        <f t="shared" si="5"/>
        <v>0</v>
      </c>
      <c r="J22" s="98">
        <f t="shared" si="1"/>
        <v>0</v>
      </c>
      <c r="K22" s="98">
        <f t="shared" si="2"/>
        <v>0</v>
      </c>
      <c r="L22" s="98">
        <f>IF(Rąbek_kalzip!$C22&gt;0,2,0)</f>
        <v>0</v>
      </c>
      <c r="M22" s="99">
        <f t="shared" si="3"/>
        <v>0</v>
      </c>
      <c r="N22" s="99">
        <f t="shared" si="4"/>
        <v>0</v>
      </c>
    </row>
    <row r="23" spans="2:14">
      <c r="B23" s="100" t="s">
        <v>68</v>
      </c>
      <c r="C23" s="100">
        <f t="shared" ref="C23:N23" si="6">SUM(C5:C22)</f>
        <v>15</v>
      </c>
      <c r="D23" s="100">
        <f t="shared" si="6"/>
        <v>20</v>
      </c>
      <c r="E23" s="100">
        <f t="shared" si="6"/>
        <v>20</v>
      </c>
      <c r="F23" s="100">
        <f t="shared" si="6"/>
        <v>14</v>
      </c>
      <c r="G23" s="100">
        <f t="shared" si="6"/>
        <v>4</v>
      </c>
      <c r="H23" s="100">
        <f t="shared" si="6"/>
        <v>10</v>
      </c>
      <c r="I23" s="100">
        <f t="shared" si="6"/>
        <v>40</v>
      </c>
      <c r="J23" s="100">
        <f t="shared" si="6"/>
        <v>20</v>
      </c>
      <c r="K23" s="100">
        <f t="shared" si="6"/>
        <v>20</v>
      </c>
      <c r="L23" s="100">
        <f t="shared" si="6"/>
        <v>10</v>
      </c>
      <c r="M23" s="99">
        <f t="shared" si="6"/>
        <v>10</v>
      </c>
      <c r="N23" s="99">
        <f t="shared" si="6"/>
        <v>10</v>
      </c>
    </row>
    <row r="25" spans="2:14">
      <c r="B25" s="96" t="s">
        <v>24</v>
      </c>
      <c r="C25" s="96" t="s">
        <v>25</v>
      </c>
      <c r="D25" s="96" t="s">
        <v>26</v>
      </c>
      <c r="E25" s="96" t="s">
        <v>27</v>
      </c>
      <c r="F25" s="96" t="s">
        <v>69</v>
      </c>
      <c r="G25" s="96" t="s">
        <v>28</v>
      </c>
    </row>
    <row r="26" spans="2:14">
      <c r="B26" t="str">
        <f>Dachówka_blachodachówka!D91</f>
        <v>Vitovolt 300 M405 AK Standard</v>
      </c>
      <c r="C26">
        <f>+C23</f>
        <v>15</v>
      </c>
      <c r="D26">
        <f>VLOOKUP($B$26,PV,2,FALSE)</f>
        <v>7959744</v>
      </c>
      <c r="E26" s="101">
        <f>VLOOKUP($B$26,PV,3,FALSE)</f>
        <v>700</v>
      </c>
      <c r="F26" s="102">
        <f>Dachówka_blachodachówka!M91</f>
        <v>0</v>
      </c>
      <c r="G26" s="101">
        <f t="shared" ref="G26:G42" si="7">(E26*C26)*(1-F26)</f>
        <v>10500</v>
      </c>
    </row>
    <row r="27" spans="2:14">
      <c r="B27" t="str">
        <f>Dachówka_blachodachówka!D92</f>
        <v>***FRONIUS***</v>
      </c>
      <c r="C27">
        <v>1</v>
      </c>
      <c r="D27" t="e">
        <f>VLOOKUP($B$27,Cennik!F12:H21,2,FALSE)</f>
        <v>#N/A</v>
      </c>
      <c r="E27" s="101" t="e">
        <f>VLOOKUP($B$27,Cennik!F12:H21,3,FALSE)</f>
        <v>#N/A</v>
      </c>
      <c r="F27" s="102">
        <f>Dachówka_blachodachówka!M92</f>
        <v>0</v>
      </c>
      <c r="G27" s="101" t="e">
        <f t="shared" si="7"/>
        <v>#N/A</v>
      </c>
    </row>
    <row r="28" spans="2:14">
      <c r="B28" t="str">
        <f>Dachówka_blachodachówka!D93</f>
        <v>Klemy środkowe czarne</v>
      </c>
      <c r="C28">
        <f>D23</f>
        <v>20</v>
      </c>
      <c r="D28">
        <f>VLOOKUP($B$28,Cennik!F29:H30,2,FALSE)</f>
        <v>7783978</v>
      </c>
      <c r="E28" s="101">
        <f>VLOOKUP($B$28,Cennik!F29:H30,3,FALSE)</f>
        <v>11.4</v>
      </c>
      <c r="F28" s="102">
        <f t="shared" ref="F28:F38" si="8">$G$45</f>
        <v>0</v>
      </c>
      <c r="G28" s="101">
        <f t="shared" si="7"/>
        <v>228</v>
      </c>
    </row>
    <row r="29" spans="2:14">
      <c r="B29" t="str">
        <f>Dachówka_blachodachówka!D94</f>
        <v>Klemy końcowe czarne</v>
      </c>
      <c r="C29">
        <f>E23</f>
        <v>20</v>
      </c>
      <c r="D29">
        <f>VLOOKUP($B$29,Cennik!F31:H32,2,FALSE)</f>
        <v>7783973</v>
      </c>
      <c r="E29" s="101">
        <f>VLOOKUP($B$29,Cennik!F31:H32,3,FALSE)</f>
        <v>11.5</v>
      </c>
      <c r="F29" s="102">
        <f t="shared" si="8"/>
        <v>0</v>
      </c>
      <c r="G29" s="101">
        <f t="shared" si="7"/>
        <v>230</v>
      </c>
    </row>
    <row r="30" spans="2:14">
      <c r="B30" t="str">
        <f>+F4</f>
        <v>Profil nośny modułu Solo light 4,4m</v>
      </c>
      <c r="C30">
        <f>F23</f>
        <v>14</v>
      </c>
      <c r="D30">
        <f>VLOOKUP($B30,Cennik,2,FALSE)</f>
        <v>7955972</v>
      </c>
      <c r="E30" s="101">
        <f>VLOOKUP($B30,Cennik,3,FALSE)</f>
        <v>189</v>
      </c>
      <c r="F30" s="102">
        <f t="shared" si="8"/>
        <v>0</v>
      </c>
      <c r="G30" s="101">
        <f t="shared" si="7"/>
        <v>2646</v>
      </c>
    </row>
    <row r="31" spans="2:14">
      <c r="B31" t="str">
        <f>G4</f>
        <v xml:space="preserve">Łącznik profili Solo5 </v>
      </c>
      <c r="C31">
        <f>G23</f>
        <v>4</v>
      </c>
      <c r="D31">
        <f>VLOOKUP(B31,Cennik,2,FALSE)</f>
        <v>7561087</v>
      </c>
      <c r="E31" s="101">
        <f>VLOOKUP($B31,Cennik,3,FALSE)</f>
        <v>17</v>
      </c>
      <c r="F31" s="102">
        <f t="shared" si="8"/>
        <v>0</v>
      </c>
      <c r="G31" s="101">
        <f t="shared" si="7"/>
        <v>68</v>
      </c>
    </row>
    <row r="32" spans="2:14">
      <c r="B32" t="str">
        <f>Dachówka_blachodachówka!D60</f>
        <v>Hak dachowy Rapid2+ Max</v>
      </c>
      <c r="C32">
        <f>H23</f>
        <v>10</v>
      </c>
      <c r="D32">
        <f>VLOOKUP($B$32,Cennik,2,FALSE)</f>
        <v>7457973</v>
      </c>
      <c r="E32" s="101">
        <f>VLOOKUP($B$32,Cennik,3,FALSE)</f>
        <v>97</v>
      </c>
      <c r="F32" s="102">
        <f t="shared" si="8"/>
        <v>0</v>
      </c>
      <c r="G32" s="101">
        <f t="shared" si="7"/>
        <v>970</v>
      </c>
    </row>
    <row r="33" spans="2:8">
      <c r="B33" t="str">
        <f>Dachówka_blachodachówka!D77</f>
        <v>Podkładka uniwesalna 2,5/5 mm pod haki dachowe (100 szt)</v>
      </c>
      <c r="C33">
        <f>IF(B33="Podkładka VAMax Rapid Max 25 szt.",ROUNDUP(I23/25,0),ROUNDUP((I23/50),0))</f>
        <v>1</v>
      </c>
      <c r="E33" s="101"/>
      <c r="F33" s="102"/>
      <c r="G33" s="101"/>
    </row>
    <row r="34" spans="2:8">
      <c r="B34" t="str">
        <f>Cennik!F42</f>
        <v>Wkręty do drewna VA8x120mm 50St</v>
      </c>
      <c r="C34">
        <f>ROUNDUP((J23/50),0)</f>
        <v>1</v>
      </c>
      <c r="D34">
        <f>VLOOKUP($B$34,Cennik,2,FALSE)</f>
        <v>7457992</v>
      </c>
      <c r="E34" s="101">
        <f>VLOOKUP($B$34,Cennik,3,FALSE)</f>
        <v>177</v>
      </c>
      <c r="F34" s="102">
        <f t="shared" si="8"/>
        <v>0</v>
      </c>
      <c r="G34" s="101">
        <f t="shared" si="7"/>
        <v>177</v>
      </c>
    </row>
    <row r="35" spans="2:8">
      <c r="B35" t="str">
        <f>Cennik!F45</f>
        <v>Zaślepka plastikowa Profi05 20St.</v>
      </c>
      <c r="C35">
        <f>ROUNDUP((K23/20),0)</f>
        <v>1</v>
      </c>
      <c r="D35">
        <f>VLOOKUP(B35,Cennik,2,FALSE)</f>
        <v>7497891</v>
      </c>
      <c r="E35" s="101">
        <f>VLOOKUP(B35,Cennik,3,FALSE)</f>
        <v>35</v>
      </c>
      <c r="F35" s="102">
        <f t="shared" si="8"/>
        <v>0</v>
      </c>
      <c r="G35" s="101">
        <f t="shared" si="7"/>
        <v>35</v>
      </c>
    </row>
    <row r="36" spans="2:8">
      <c r="B36" t="str">
        <f>Cennik!F49</f>
        <v>Gniazda MC4 EVO2 4,0-6,0 mm2 (20 sztuk)</v>
      </c>
      <c r="C36">
        <v>1</v>
      </c>
      <c r="D36">
        <f>VLOOKUP(B36,Cennik,2,FALSE)</f>
        <v>7998634</v>
      </c>
      <c r="E36" s="101">
        <f>VLOOKUP(B36,Cennik,3,FALSE)</f>
        <v>127</v>
      </c>
      <c r="F36" s="102">
        <f t="shared" si="8"/>
        <v>0</v>
      </c>
      <c r="G36" s="101">
        <f t="shared" si="7"/>
        <v>127</v>
      </c>
    </row>
    <row r="37" spans="2:8">
      <c r="B37" t="str">
        <f>Cennik!F51</f>
        <v>Wtyczki MC4 EVO2 4,0-6,0 mm2 (20 sztuk)</v>
      </c>
      <c r="C37">
        <v>1</v>
      </c>
      <c r="D37">
        <f>VLOOKUP(B37,Cennik,2,FALSE)</f>
        <v>7998635</v>
      </c>
      <c r="E37" s="101">
        <f>VLOOKUP(B37,Cennik,3,FALSE)</f>
        <v>101</v>
      </c>
      <c r="F37" s="102">
        <f t="shared" si="8"/>
        <v>0</v>
      </c>
      <c r="G37" s="101">
        <f t="shared" si="7"/>
        <v>101</v>
      </c>
    </row>
    <row r="38" spans="2:8">
      <c r="B38" t="str">
        <f>Cennik!F40</f>
        <v>Zacisk odgromowy  8 i 10mm</v>
      </c>
      <c r="C38">
        <f>L23</f>
        <v>10</v>
      </c>
      <c r="D38">
        <f>VLOOKUP(B38,Cennik,2,FALSE)</f>
        <v>7457988</v>
      </c>
      <c r="E38" s="101">
        <f>VLOOKUP(B38,Cennik,3,FALSE)</f>
        <v>13</v>
      </c>
      <c r="F38" s="102">
        <f t="shared" si="8"/>
        <v>0</v>
      </c>
      <c r="G38" s="101">
        <f t="shared" si="7"/>
        <v>130</v>
      </c>
    </row>
    <row r="39" spans="2:8">
      <c r="B39" t="str">
        <f>Dachówka_blachodachówka!D105</f>
        <v>Kabel solarny 100 m 6mm2</v>
      </c>
      <c r="C39">
        <f>Dachówka_blachodachówka!G105</f>
        <v>1</v>
      </c>
      <c r="D39">
        <f>VLOOKUP($B$39,Cennik!F23:H26,2,FALSE)</f>
        <v>7374380</v>
      </c>
      <c r="E39" s="101">
        <f>VLOOKUP($B$39,Cennik!F23:H26,3,FALSE)</f>
        <v>549</v>
      </c>
      <c r="F39" s="102">
        <f>Dachówka_blachodachówka!M105</f>
        <v>0</v>
      </c>
      <c r="G39" s="101">
        <f t="shared" si="7"/>
        <v>549</v>
      </c>
    </row>
    <row r="40" spans="2:8">
      <c r="B40" t="e">
        <f>Dachówka_blachodachówka!#REF!</f>
        <v>#REF!</v>
      </c>
      <c r="C40" t="e">
        <f>Dachówka_blachodachówka!#REF!</f>
        <v>#REF!</v>
      </c>
      <c r="D40" t="e">
        <f>_xlfn.IFNA(VLOOKUP($B$40,Cennik!$F$10:$H$59,2,FALSE),"")</f>
        <v>#REF!</v>
      </c>
      <c r="E40" s="118" t="e">
        <f>_xlfn.IFNA(VLOOKUP($B$40,Cennik!$F$10:$H$59,3,FALSE),"")</f>
        <v>#REF!</v>
      </c>
      <c r="F40" s="102" t="e">
        <f>Dachówka_blachodachówka!#REF!</f>
        <v>#REF!</v>
      </c>
      <c r="G40" s="101" t="e">
        <f>IF(E40="","",((E40*C40)*(1-F40)))</f>
        <v>#REF!</v>
      </c>
    </row>
    <row r="41" spans="2:8">
      <c r="B41" t="s">
        <v>34</v>
      </c>
      <c r="C41">
        <v>1</v>
      </c>
      <c r="E41" s="101">
        <f>Dachówka_blachodachówka!J108</f>
        <v>0</v>
      </c>
      <c r="F41" s="102">
        <f>Dachówka_blachodachówka!M108</f>
        <v>0</v>
      </c>
      <c r="G41" s="101">
        <f t="shared" si="7"/>
        <v>0</v>
      </c>
    </row>
    <row r="42" spans="2:8">
      <c r="B42" t="s">
        <v>35</v>
      </c>
      <c r="C42">
        <v>1</v>
      </c>
      <c r="E42" s="101">
        <f>Dachówka_blachodachówka!J110</f>
        <v>0</v>
      </c>
      <c r="F42" s="102">
        <f>Dachówka_blachodachówka!M110</f>
        <v>0</v>
      </c>
      <c r="G42" s="101">
        <f t="shared" si="7"/>
        <v>0</v>
      </c>
    </row>
    <row r="43" spans="2:8">
      <c r="E43" s="101"/>
      <c r="G43" s="103"/>
    </row>
    <row r="44" spans="2:8">
      <c r="E44" s="95" t="s">
        <v>68</v>
      </c>
      <c r="F44" s="95"/>
      <c r="G44" s="103" t="e">
        <f>SUM(G26:G42)</f>
        <v>#N/A</v>
      </c>
    </row>
    <row r="45" spans="2:8" ht="18">
      <c r="B45" s="104" t="s">
        <v>37</v>
      </c>
      <c r="C45" s="105">
        <f>(C26*((VLOOKUP(B26,Cennik!F5:I8,4,FALSE))/1000))</f>
        <v>6.0750000000000002</v>
      </c>
      <c r="D45" s="104" t="s">
        <v>38</v>
      </c>
      <c r="E45" s="95" t="s">
        <v>69</v>
      </c>
      <c r="F45" s="95"/>
      <c r="G45" s="106">
        <f>Dachówka_blachodachówka!P115</f>
        <v>0</v>
      </c>
    </row>
    <row r="46" spans="2:8">
      <c r="E46" s="95" t="s">
        <v>39</v>
      </c>
      <c r="F46" s="95"/>
      <c r="G46" s="103" t="e">
        <f>+G44/C45</f>
        <v>#N/A</v>
      </c>
      <c r="H46" t="e">
        <f>+G46*1.23</f>
        <v>#N/A</v>
      </c>
    </row>
    <row r="47" spans="2:8">
      <c r="E47" s="95" t="s">
        <v>40</v>
      </c>
      <c r="F47" s="95"/>
      <c r="G47" s="103" t="e">
        <f>SUM(G28:G41)</f>
        <v>#REF!</v>
      </c>
    </row>
    <row r="48" spans="2:8">
      <c r="E48" s="95" t="s">
        <v>42</v>
      </c>
      <c r="F48" s="95"/>
      <c r="G48" s="103" t="e">
        <f>G47/C45</f>
        <v>#REF!</v>
      </c>
    </row>
    <row r="49" spans="2:4">
      <c r="B49" s="107"/>
      <c r="C49" s="107"/>
      <c r="D49" s="107"/>
    </row>
    <row r="51" spans="2:4">
      <c r="B51" t="s">
        <v>6</v>
      </c>
    </row>
    <row r="52" spans="2:4">
      <c r="B52" t="s">
        <v>70</v>
      </c>
    </row>
  </sheetData>
  <pageMargins left="0.70000000000000007" right="0.70000000000000007" top="0.75" bottom="0.75" header="0.30000000000000004" footer="0.30000000000000004"/>
  <pageSetup paperSize="9" fitToWidth="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E1FD11-BB13-4890-8F05-08784040667C}">
          <x14:formula1>
            <xm:f>Cennik!$F$23:$F$26</xm:f>
          </x14:formula1>
          <xm:sqref>B39</xm:sqref>
        </x14:dataValidation>
        <x14:dataValidation type="list" allowBlank="1" showInputMessage="1" showErrorMessage="1" xr:uid="{2AE5B142-906C-4CC9-A3A0-1D18B4687847}">
          <x14:formula1>
            <xm:f>Cennik!$F$5:$F$8</xm:f>
          </x14:formula1>
          <xm:sqref>B26</xm:sqref>
        </x14:dataValidation>
        <x14:dataValidation type="list" allowBlank="1" showInputMessage="1" showErrorMessage="1" xr:uid="{BCFD1977-33C6-421F-9363-04F5ADEA6797}">
          <x14:formula1>
            <xm:f>Cennik!$F$12:$F$21</xm:f>
          </x14:formula1>
          <xm:sqref>B27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0EC2B-A3E7-4D57-8142-A9007B72E4DD}">
  <sheetPr codeName="Arkusz3">
    <tabColor rgb="FFC00000"/>
    <pageSetUpPr fitToPage="1"/>
  </sheetPr>
  <dimension ref="A1:AO142"/>
  <sheetViews>
    <sheetView topLeftCell="A36" zoomScale="130" zoomScaleNormal="130" workbookViewId="0">
      <selection activeCell="O41" sqref="O41"/>
    </sheetView>
  </sheetViews>
  <sheetFormatPr defaultColWidth="9.109375" defaultRowHeight="14.4"/>
  <cols>
    <col min="1" max="1" width="3.109375" style="5" customWidth="1"/>
    <col min="2" max="2" width="3.44140625" style="5" customWidth="1"/>
    <col min="3" max="3" width="8.44140625" style="5" customWidth="1"/>
    <col min="4" max="5" width="11.33203125" style="5" customWidth="1"/>
    <col min="6" max="6" width="10.44140625" style="5" customWidth="1"/>
    <col min="7" max="7" width="12.33203125" style="5" customWidth="1"/>
    <col min="8" max="8" width="17" style="5" customWidth="1"/>
    <col min="9" max="9" width="13.44140625" style="5" customWidth="1"/>
    <col min="10" max="10" width="9.44140625" style="5" customWidth="1"/>
    <col min="11" max="11" width="9.5546875" style="5" customWidth="1"/>
    <col min="12" max="12" width="10.33203125" style="5" customWidth="1"/>
    <col min="13" max="13" width="6.5546875" style="5" bestFit="1" customWidth="1"/>
    <col min="14" max="14" width="6.109375" style="5" customWidth="1"/>
    <col min="15" max="15" width="7" style="5" customWidth="1"/>
    <col min="16" max="16" width="4.88671875" style="5" customWidth="1"/>
    <col min="17" max="17" width="13" style="5" customWidth="1"/>
    <col min="18" max="18" width="5.6640625" style="5" customWidth="1"/>
    <col min="19" max="19" width="9.109375" style="12" customWidth="1"/>
    <col min="20" max="22" width="9.109375" style="5" customWidth="1"/>
    <col min="23" max="23" width="26.44140625" style="5" customWidth="1"/>
    <col min="24" max="27" width="9.109375" style="5" customWidth="1"/>
    <col min="28" max="28" width="25" style="5" customWidth="1"/>
    <col min="29" max="29" width="9.109375" style="5" customWidth="1"/>
    <col min="30" max="16384" width="9.109375" style="5"/>
  </cols>
  <sheetData>
    <row r="1" spans="1:41" ht="33.75" customHeight="1">
      <c r="A1" s="1"/>
      <c r="B1" s="2"/>
      <c r="C1" s="2"/>
      <c r="D1" s="2"/>
      <c r="E1" s="2"/>
      <c r="F1" s="191" t="e">
        <f>"Moc generatora PV : "&amp;G118&amp;" kWp"</f>
        <v>#N/A</v>
      </c>
      <c r="G1" s="191"/>
      <c r="H1" s="191"/>
      <c r="I1" s="3"/>
      <c r="J1" s="191" t="str">
        <f>"Dane klienta : " &amp;L10</f>
        <v>Dane klienta : Imie i Nazwisko</v>
      </c>
      <c r="K1" s="191"/>
      <c r="L1" s="191"/>
      <c r="M1" s="191"/>
      <c r="N1" s="3"/>
      <c r="O1" s="3"/>
      <c r="P1" s="3"/>
      <c r="Q1" s="144">
        <f ca="1">TODAY()</f>
        <v>45096</v>
      </c>
      <c r="R1" s="3"/>
      <c r="S1" s="4"/>
      <c r="U1" s="6"/>
      <c r="V1" s="6"/>
      <c r="W1" s="7"/>
      <c r="X1" s="7"/>
      <c r="Y1" s="8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ht="15" customHeight="1">
      <c r="A2" s="1"/>
      <c r="B2" s="9"/>
      <c r="S2" s="4"/>
      <c r="U2" s="6"/>
      <c r="V2" s="6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ht="15" customHeight="1">
      <c r="A3" s="1"/>
      <c r="B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6"/>
      <c r="W3" s="7"/>
      <c r="X3" s="7"/>
      <c r="Y3" s="8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ht="15" customHeight="1">
      <c r="A4" s="1"/>
      <c r="B4" s="9"/>
      <c r="D4" s="10"/>
      <c r="E4" s="10"/>
      <c r="F4" s="10"/>
      <c r="G4" s="10"/>
      <c r="I4" s="11"/>
      <c r="J4" s="11"/>
      <c r="K4" s="11"/>
      <c r="L4" s="11"/>
      <c r="M4" s="11"/>
      <c r="N4" s="11"/>
      <c r="O4" s="11"/>
      <c r="P4" s="11"/>
      <c r="Q4" s="11"/>
      <c r="R4" s="11"/>
      <c r="T4" s="10"/>
      <c r="U4" s="10"/>
      <c r="V4" s="6"/>
      <c r="W4" s="7"/>
      <c r="X4" s="7"/>
      <c r="Y4" s="8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8"/>
      <c r="AN4" s="8"/>
      <c r="AO4" s="8"/>
    </row>
    <row r="5" spans="1:41" ht="15" customHeight="1">
      <c r="A5" s="1"/>
      <c r="B5" s="9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3"/>
      <c r="U5" s="14"/>
      <c r="W5" s="7"/>
      <c r="X5" s="7"/>
      <c r="Y5" s="8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8"/>
      <c r="AN5" s="8"/>
      <c r="AO5" s="8"/>
    </row>
    <row r="6" spans="1:41" ht="15" customHeight="1">
      <c r="A6" s="1"/>
      <c r="B6" s="9"/>
      <c r="F6" s="15"/>
      <c r="G6" s="15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4"/>
      <c r="U6" s="16"/>
      <c r="V6" s="17"/>
      <c r="W6" s="7"/>
      <c r="X6" s="7"/>
      <c r="Y6" s="8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8"/>
      <c r="AN6" s="8"/>
      <c r="AO6" s="8"/>
    </row>
    <row r="7" spans="1:41" ht="15" customHeight="1">
      <c r="A7" s="1"/>
      <c r="B7" s="9"/>
      <c r="E7" s="18"/>
      <c r="F7" s="19"/>
      <c r="G7" s="19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4"/>
      <c r="U7" s="16"/>
      <c r="V7" s="17"/>
      <c r="W7" s="7"/>
      <c r="X7" s="7"/>
      <c r="Y7" s="8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8"/>
      <c r="AN7" s="8"/>
      <c r="AO7" s="8"/>
    </row>
    <row r="8" spans="1:41" ht="15" customHeight="1">
      <c r="A8" s="1"/>
      <c r="F8" s="15"/>
      <c r="G8" s="15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4"/>
      <c r="U8" s="16"/>
      <c r="V8" s="17"/>
      <c r="W8" s="7"/>
      <c r="X8" s="7"/>
      <c r="Y8" s="8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8"/>
      <c r="AN8" s="8"/>
      <c r="AO8" s="8"/>
    </row>
    <row r="9" spans="1:41" ht="41.25" customHeight="1">
      <c r="A9" s="1"/>
      <c r="H9" s="20"/>
      <c r="I9" s="20"/>
      <c r="J9" s="20"/>
      <c r="K9" s="20"/>
      <c r="L9" s="20"/>
      <c r="M9" s="20"/>
      <c r="S9" s="4"/>
      <c r="U9" s="16"/>
      <c r="V9" s="17"/>
      <c r="W9" s="7"/>
      <c r="X9" s="7"/>
      <c r="Y9" s="8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8"/>
      <c r="AN9" s="8"/>
      <c r="AO9" s="8"/>
    </row>
    <row r="10" spans="1:41" ht="48" customHeight="1">
      <c r="A10" s="1"/>
      <c r="B10" s="21"/>
      <c r="C10" s="21"/>
      <c r="D10" s="193" t="s">
        <v>0</v>
      </c>
      <c r="E10" s="193"/>
      <c r="F10" s="193"/>
      <c r="G10" s="22">
        <f ca="1">TODAY()</f>
        <v>45096</v>
      </c>
      <c r="H10" s="22"/>
      <c r="I10" s="23"/>
      <c r="J10" s="194" t="s">
        <v>1</v>
      </c>
      <c r="K10" s="194"/>
      <c r="L10" s="24" t="s">
        <v>2</v>
      </c>
      <c r="M10" s="23"/>
      <c r="N10" s="23"/>
      <c r="O10" s="23"/>
      <c r="P10" s="23"/>
      <c r="Q10" s="23"/>
      <c r="R10" s="23"/>
      <c r="S10" s="4"/>
      <c r="U10" s="16"/>
      <c r="V10" s="17"/>
      <c r="W10" s="7"/>
      <c r="X10" s="7"/>
      <c r="Y10" s="8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8"/>
      <c r="AN10" s="8"/>
      <c r="AO10" s="8"/>
    </row>
    <row r="11" spans="1:41" ht="11.25" customHeight="1">
      <c r="A11" s="1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4"/>
      <c r="U11" s="16"/>
      <c r="V11" s="17"/>
      <c r="W11" s="7"/>
      <c r="X11" s="7"/>
      <c r="Y11" s="8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8"/>
      <c r="AN11" s="8"/>
      <c r="AO11" s="8"/>
    </row>
    <row r="12" spans="1:41" ht="15" customHeight="1">
      <c r="A12" s="1"/>
      <c r="B12" s="187" t="s">
        <v>3</v>
      </c>
      <c r="C12" s="188" t="s">
        <v>4</v>
      </c>
      <c r="D12" s="188"/>
      <c r="E12" s="188"/>
      <c r="F12" s="188"/>
      <c r="G12" s="188"/>
      <c r="H12" s="188"/>
      <c r="I12" s="188"/>
      <c r="J12" s="188"/>
      <c r="K12" s="25"/>
      <c r="L12" s="25"/>
      <c r="M12" s="25"/>
      <c r="N12" s="25"/>
      <c r="O12" s="25"/>
      <c r="P12" s="25"/>
      <c r="Q12" s="25"/>
      <c r="R12" s="25"/>
      <c r="S12" s="4"/>
      <c r="U12" s="16"/>
      <c r="V12" s="17"/>
      <c r="W12" s="7"/>
      <c r="X12" s="7"/>
      <c r="Y12" s="8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8"/>
      <c r="AN12" s="8"/>
      <c r="AO12" s="8"/>
    </row>
    <row r="13" spans="1:41" ht="15" customHeight="1">
      <c r="A13" s="1"/>
      <c r="B13" s="187"/>
      <c r="C13" s="188"/>
      <c r="D13" s="188"/>
      <c r="E13" s="188"/>
      <c r="F13" s="188"/>
      <c r="G13" s="188"/>
      <c r="H13" s="188"/>
      <c r="I13" s="188"/>
      <c r="J13" s="188"/>
      <c r="K13" s="25"/>
      <c r="L13" s="25"/>
      <c r="M13" s="25"/>
      <c r="N13" s="25"/>
      <c r="O13" s="25"/>
      <c r="P13" s="25"/>
      <c r="Q13" s="25"/>
      <c r="R13" s="25"/>
      <c r="S13" s="4"/>
      <c r="U13" s="16"/>
      <c r="V13" s="17"/>
      <c r="W13" s="7"/>
      <c r="X13" s="7"/>
      <c r="Y13" s="8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8"/>
      <c r="AN13" s="8"/>
      <c r="AO13" s="8"/>
    </row>
    <row r="14" spans="1:41" ht="11.25" customHeight="1">
      <c r="A14" s="1"/>
      <c r="B14" s="187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4"/>
      <c r="T14" s="164" t="s">
        <v>149</v>
      </c>
      <c r="U14" s="16"/>
      <c r="V14" s="17"/>
      <c r="W14" s="7"/>
      <c r="X14" s="7"/>
      <c r="Y14" s="8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8"/>
      <c r="AN14" s="8"/>
      <c r="AO14" s="8"/>
    </row>
    <row r="15" spans="1:41" ht="29.25" customHeight="1">
      <c r="A15" s="1"/>
      <c r="B15" s="187"/>
      <c r="C15" s="25"/>
      <c r="D15" s="189" t="s">
        <v>5</v>
      </c>
      <c r="E15" s="189"/>
      <c r="F15" s="189"/>
      <c r="G15" s="189"/>
      <c r="H15" s="190" t="s">
        <v>150</v>
      </c>
      <c r="I15" s="190"/>
      <c r="J15" s="27" t="s">
        <v>7</v>
      </c>
      <c r="K15" s="25"/>
      <c r="L15" s="25"/>
      <c r="M15" s="25"/>
      <c r="N15" s="25"/>
      <c r="O15" s="25"/>
      <c r="P15" s="25"/>
      <c r="Q15" s="25"/>
      <c r="R15" s="25"/>
      <c r="S15" s="4"/>
      <c r="T15" s="164" t="s">
        <v>150</v>
      </c>
      <c r="U15" s="16"/>
      <c r="V15" s="17"/>
      <c r="W15" s="7"/>
      <c r="X15" s="7"/>
      <c r="Y15" s="8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8"/>
      <c r="AN15" s="8"/>
      <c r="AO15" s="8"/>
    </row>
    <row r="16" spans="1:41" ht="15.75" customHeight="1">
      <c r="B16" s="187"/>
      <c r="C16" s="28"/>
      <c r="D16" s="28"/>
      <c r="E16" s="28"/>
      <c r="F16" s="28"/>
      <c r="G16" s="28"/>
      <c r="H16" s="29"/>
      <c r="I16" s="30"/>
      <c r="J16" s="25"/>
      <c r="K16" s="25"/>
      <c r="L16" s="31"/>
      <c r="M16" s="31"/>
      <c r="N16" s="31"/>
      <c r="O16" s="31"/>
      <c r="P16" s="31"/>
      <c r="Q16" s="31"/>
      <c r="R16" s="31"/>
    </row>
    <row r="17" spans="1:41" ht="15" customHeight="1">
      <c r="B17" s="25"/>
      <c r="C17" s="25"/>
      <c r="D17" s="35"/>
      <c r="E17" s="35"/>
      <c r="F17" s="35"/>
      <c r="G17" s="35"/>
      <c r="H17" s="28"/>
      <c r="I17" s="36"/>
      <c r="J17" s="37"/>
      <c r="K17" s="25"/>
      <c r="L17" s="32"/>
      <c r="M17" s="33"/>
      <c r="N17" s="25"/>
      <c r="O17" s="25"/>
      <c r="P17" s="33"/>
      <c r="Q17" s="33"/>
      <c r="R17" s="33"/>
    </row>
    <row r="18" spans="1:41" s="12" customFormat="1" ht="15.75" customHeight="1">
      <c r="A18" s="5"/>
      <c r="B18" s="25"/>
      <c r="C18" s="25"/>
      <c r="D18" s="35"/>
      <c r="E18" s="35"/>
      <c r="F18" s="35"/>
      <c r="G18" s="35"/>
      <c r="H18" s="28"/>
      <c r="I18" s="36"/>
      <c r="J18" s="37"/>
      <c r="K18" s="34"/>
      <c r="L18" s="32"/>
      <c r="M18" s="33"/>
      <c r="N18" s="25"/>
      <c r="O18" s="25"/>
      <c r="P18" s="33"/>
      <c r="Q18" s="33"/>
      <c r="R18" s="33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</row>
    <row r="19" spans="1:41" s="12" customFormat="1" ht="15.75" customHeight="1">
      <c r="A19" s="5"/>
      <c r="B19" s="25"/>
      <c r="C19" s="25"/>
      <c r="D19" s="35"/>
      <c r="E19" s="35"/>
      <c r="F19" s="35"/>
      <c r="G19" s="35"/>
      <c r="H19" s="28"/>
      <c r="I19" s="36"/>
      <c r="J19" s="37"/>
      <c r="K19" s="34"/>
      <c r="L19" s="32"/>
      <c r="M19" s="33"/>
      <c r="N19" s="25"/>
      <c r="O19" s="25"/>
      <c r="P19" s="33"/>
      <c r="Q19" s="33"/>
      <c r="R19" s="33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</row>
    <row r="20" spans="1:41" s="12" customFormat="1" ht="15.75" customHeight="1">
      <c r="A20" s="5"/>
      <c r="B20" s="25"/>
      <c r="C20" s="25"/>
      <c r="D20" s="35"/>
      <c r="E20" s="35"/>
      <c r="F20" s="35"/>
      <c r="G20" s="35"/>
      <c r="H20"/>
      <c r="I20" s="36"/>
      <c r="J20" s="37"/>
      <c r="K20" s="34"/>
      <c r="L20" s="32"/>
      <c r="M20" s="33"/>
      <c r="N20" s="25"/>
      <c r="O20" s="25"/>
      <c r="P20" s="33"/>
      <c r="Q20" s="33"/>
      <c r="R20" s="33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</row>
    <row r="21" spans="1:41" s="12" customFormat="1" ht="15.75" customHeight="1">
      <c r="A21" s="5"/>
      <c r="B21" s="25"/>
      <c r="C21" s="25"/>
      <c r="D21" s="35"/>
      <c r="E21" s="35"/>
      <c r="F21" s="35"/>
      <c r="G21" s="35"/>
      <c r="H21" s="28"/>
      <c r="I21" s="36"/>
      <c r="J21" s="37"/>
      <c r="K21" s="34"/>
      <c r="L21" s="32"/>
      <c r="M21" s="33"/>
      <c r="N21" s="25"/>
      <c r="O21" s="25"/>
      <c r="P21" s="33"/>
      <c r="Q21" s="33"/>
      <c r="R21" s="33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</row>
    <row r="22" spans="1:41" s="12" customFormat="1" ht="15.75" customHeight="1">
      <c r="A22" s="5"/>
      <c r="B22" s="25"/>
      <c r="C22" s="25"/>
      <c r="D22" s="35"/>
      <c r="E22" s="35"/>
      <c r="F22" s="35"/>
      <c r="G22" s="35"/>
      <c r="H22" s="28"/>
      <c r="I22" s="36"/>
      <c r="J22" s="33"/>
      <c r="K22" s="33"/>
      <c r="L22" s="33"/>
      <c r="M22" s="33"/>
      <c r="N22" s="25"/>
      <c r="O22" s="25"/>
      <c r="P22" s="33"/>
      <c r="Q22" s="33"/>
      <c r="R22" s="33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</row>
    <row r="23" spans="1:41" s="12" customFormat="1" ht="15.75" customHeight="1">
      <c r="A23" s="5"/>
      <c r="B23" s="25"/>
      <c r="C23" s="25"/>
      <c r="D23" s="208" t="s">
        <v>149</v>
      </c>
      <c r="E23" s="208"/>
      <c r="F23"/>
      <c r="G23" s="35"/>
      <c r="H23" s="28"/>
      <c r="I23" s="36"/>
      <c r="J23" s="37"/>
      <c r="K23" s="208" t="s">
        <v>150</v>
      </c>
      <c r="L23" s="208"/>
      <c r="M23" s="33"/>
      <c r="N23" s="25"/>
      <c r="O23" s="25"/>
      <c r="P23" s="33"/>
      <c r="Q23" s="33"/>
      <c r="R23" s="33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</row>
    <row r="24" spans="1:41" s="12" customFormat="1" ht="15.75" customHeight="1">
      <c r="A24" s="5"/>
      <c r="B24" s="25"/>
      <c r="C24" s="25"/>
      <c r="D24" s="38"/>
      <c r="E24" s="39"/>
      <c r="F24" s="39"/>
      <c r="G24" s="38"/>
      <c r="H24" s="28"/>
      <c r="I24" s="25"/>
      <c r="J24" s="25"/>
      <c r="K24" s="34"/>
      <c r="L24" s="32"/>
      <c r="M24" s="33"/>
      <c r="N24" s="25"/>
      <c r="O24" s="25"/>
      <c r="P24" s="33"/>
      <c r="Q24" s="33"/>
      <c r="R24" s="33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</row>
    <row r="25" spans="1:41" s="12" customFormat="1" ht="12" hidden="1" customHeight="1">
      <c r="A25" s="5"/>
      <c r="B25" s="25"/>
      <c r="C25" s="25"/>
      <c r="D25" s="40" t="s">
        <v>10</v>
      </c>
      <c r="E25" s="39"/>
      <c r="F25" s="39"/>
      <c r="G25" s="40" t="s">
        <v>11</v>
      </c>
      <c r="H25" s="28"/>
      <c r="I25" s="25"/>
      <c r="J25" s="25"/>
      <c r="K25" s="34"/>
      <c r="L25" s="32"/>
      <c r="M25" s="33"/>
      <c r="N25" s="25"/>
      <c r="O25" s="25"/>
      <c r="P25" s="33"/>
      <c r="Q25" s="33"/>
      <c r="R25" s="33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</row>
    <row r="26" spans="1:41" s="12" customFormat="1" ht="15" customHeight="1">
      <c r="A26" s="5"/>
      <c r="B26" s="25"/>
      <c r="C26" s="25"/>
      <c r="D26" s="38"/>
      <c r="E26" s="39"/>
      <c r="F26" s="39"/>
      <c r="G26" s="38"/>
      <c r="H26" s="28"/>
      <c r="I26" s="25"/>
      <c r="J26" s="25"/>
      <c r="K26" s="34"/>
      <c r="L26" s="32"/>
      <c r="M26" s="33"/>
      <c r="N26" s="25"/>
      <c r="O26" s="25"/>
      <c r="P26" s="33"/>
      <c r="Q26" s="33"/>
      <c r="R26" s="33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</row>
    <row r="27" spans="1:41" s="12" customFormat="1" ht="15" customHeight="1">
      <c r="A27" s="5"/>
      <c r="B27" s="25"/>
      <c r="C27" s="25"/>
      <c r="D27" s="189">
        <v>1</v>
      </c>
      <c r="E27" s="189"/>
      <c r="F27" s="41"/>
      <c r="G27" s="42">
        <v>1</v>
      </c>
      <c r="H27" s="29" t="s">
        <v>12</v>
      </c>
      <c r="I27" s="29"/>
      <c r="J27" s="43"/>
      <c r="K27" s="34"/>
      <c r="L27" s="32"/>
      <c r="M27" s="33"/>
      <c r="N27" s="25"/>
      <c r="O27" s="25"/>
      <c r="P27" s="33"/>
      <c r="Q27" s="33"/>
      <c r="R27" s="33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</row>
    <row r="28" spans="1:41" s="12" customFormat="1" ht="15" customHeight="1">
      <c r="A28" s="5"/>
      <c r="B28" s="25"/>
      <c r="C28" s="25"/>
      <c r="D28" s="189">
        <v>2</v>
      </c>
      <c r="E28" s="189"/>
      <c r="F28" s="41"/>
      <c r="G28" s="42">
        <v>2</v>
      </c>
      <c r="H28" s="29" t="s">
        <v>12</v>
      </c>
      <c r="I28" s="29"/>
      <c r="J28" s="43"/>
      <c r="K28" s="34"/>
      <c r="L28" s="32"/>
      <c r="M28" s="33"/>
      <c r="N28" s="25"/>
      <c r="O28" s="25"/>
      <c r="P28" s="33"/>
      <c r="Q28" s="33"/>
      <c r="R28" s="33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</row>
    <row r="29" spans="1:41" s="12" customFormat="1" ht="15" customHeight="1">
      <c r="A29" s="5"/>
      <c r="B29" s="25"/>
      <c r="C29" s="28"/>
      <c r="D29" s="189">
        <v>3</v>
      </c>
      <c r="E29" s="189"/>
      <c r="F29" s="28"/>
      <c r="G29" s="42">
        <v>3</v>
      </c>
      <c r="H29" s="29" t="s">
        <v>12</v>
      </c>
      <c r="I29" s="30"/>
      <c r="J29" s="25"/>
      <c r="K29" s="43"/>
      <c r="L29" s="32"/>
      <c r="M29" s="33"/>
      <c r="N29" s="25"/>
      <c r="O29" s="25"/>
      <c r="P29" s="33"/>
      <c r="Q29" s="33"/>
      <c r="R29" s="33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</row>
    <row r="30" spans="1:41" s="12" customFormat="1" ht="15" customHeight="1">
      <c r="A30" s="5"/>
      <c r="B30" s="25"/>
      <c r="C30" s="28"/>
      <c r="D30" s="189">
        <v>4</v>
      </c>
      <c r="E30" s="189"/>
      <c r="F30" s="41"/>
      <c r="G30" s="42">
        <v>4</v>
      </c>
      <c r="H30" s="29" t="s">
        <v>12</v>
      </c>
      <c r="I30" s="30"/>
      <c r="J30" s="25"/>
      <c r="K30" s="43"/>
      <c r="L30" s="32"/>
      <c r="M30" s="33"/>
      <c r="N30" s="25"/>
      <c r="O30" s="25"/>
      <c r="P30" s="33"/>
      <c r="Q30" s="33"/>
      <c r="R30" s="33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</row>
    <row r="31" spans="1:41" s="12" customFormat="1" ht="15" customHeight="1">
      <c r="A31" s="5"/>
      <c r="B31" s="25"/>
      <c r="C31" s="28"/>
      <c r="D31" s="189">
        <v>5</v>
      </c>
      <c r="E31" s="189"/>
      <c r="F31" s="41"/>
      <c r="G31" s="42">
        <v>5</v>
      </c>
      <c r="H31" s="29" t="s">
        <v>12</v>
      </c>
      <c r="I31" s="30"/>
      <c r="J31" s="25"/>
      <c r="K31" s="25"/>
      <c r="L31" s="25"/>
      <c r="M31" s="25"/>
      <c r="N31" s="25"/>
      <c r="O31" s="25"/>
      <c r="P31" s="25"/>
      <c r="Q31" s="25"/>
      <c r="R31" s="2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</row>
    <row r="32" spans="1:41" s="12" customFormat="1" ht="15" customHeight="1">
      <c r="A32" s="5"/>
      <c r="B32" s="25"/>
      <c r="C32" s="28"/>
      <c r="D32" s="189">
        <v>6</v>
      </c>
      <c r="E32" s="189"/>
      <c r="F32" s="28"/>
      <c r="G32" s="42">
        <v>0</v>
      </c>
      <c r="H32" s="29" t="s">
        <v>12</v>
      </c>
      <c r="I32" s="28"/>
      <c r="J32"/>
      <c r="K32" s="25"/>
      <c r="L32" s="31"/>
      <c r="M32" s="31"/>
      <c r="N32" s="31"/>
      <c r="O32" s="31"/>
      <c r="P32" s="31"/>
      <c r="Q32" s="31"/>
      <c r="R32" s="31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</row>
    <row r="33" spans="1:41" s="12" customFormat="1" ht="15" customHeight="1">
      <c r="A33" s="5"/>
      <c r="B33" s="25"/>
      <c r="C33" s="28"/>
      <c r="D33" s="189">
        <v>7</v>
      </c>
      <c r="E33" s="189"/>
      <c r="F33" s="41"/>
      <c r="G33" s="42">
        <v>0</v>
      </c>
      <c r="H33" s="29" t="s">
        <v>12</v>
      </c>
      <c r="I33" s="28"/>
      <c r="J33" s="25"/>
      <c r="K33" s="25"/>
      <c r="L33" s="25"/>
      <c r="M33" s="25"/>
      <c r="N33" s="25"/>
      <c r="O33" s="25"/>
      <c r="P33" s="25"/>
      <c r="Q33" s="25"/>
      <c r="R33" s="2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</row>
    <row r="34" spans="1:41" s="12" customFormat="1" ht="15" customHeight="1">
      <c r="A34" s="5"/>
      <c r="B34" s="25"/>
      <c r="C34" s="28"/>
      <c r="D34" s="189">
        <v>8</v>
      </c>
      <c r="E34" s="189"/>
      <c r="F34" s="41"/>
      <c r="G34" s="42">
        <v>0</v>
      </c>
      <c r="H34" s="29" t="s">
        <v>12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</row>
    <row r="35" spans="1:41" s="12" customFormat="1" ht="15.6">
      <c r="A35" s="5"/>
      <c r="B35" s="25"/>
      <c r="C35" s="25"/>
      <c r="D35" s="189">
        <v>9</v>
      </c>
      <c r="E35" s="189"/>
      <c r="F35" s="44"/>
      <c r="G35" s="42">
        <v>0</v>
      </c>
      <c r="H35" s="29" t="s">
        <v>12</v>
      </c>
      <c r="I35" s="25"/>
      <c r="J35" s="25"/>
      <c r="K35" s="25"/>
      <c r="L35" s="25"/>
      <c r="M35" s="25"/>
      <c r="N35" s="25"/>
      <c r="O35" s="25"/>
      <c r="P35" s="25"/>
      <c r="Q35" s="25"/>
      <c r="R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1" s="12" customFormat="1" ht="15.6">
      <c r="A36" s="5"/>
      <c r="B36" s="25"/>
      <c r="C36" s="25"/>
      <c r="D36" s="189">
        <v>10</v>
      </c>
      <c r="E36" s="189"/>
      <c r="F36" s="44"/>
      <c r="G36" s="42">
        <v>0</v>
      </c>
      <c r="H36" s="29" t="s">
        <v>12</v>
      </c>
      <c r="I36" s="25"/>
      <c r="J36" s="25"/>
      <c r="K36" s="25"/>
      <c r="L36" s="25"/>
      <c r="M36" s="25"/>
      <c r="N36" s="25"/>
      <c r="O36" s="25"/>
      <c r="P36" s="25"/>
      <c r="Q36" s="25"/>
      <c r="R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1" s="12" customFormat="1" ht="15" customHeight="1">
      <c r="A37" s="5"/>
      <c r="B37" s="25"/>
      <c r="C37" s="44"/>
      <c r="D37" s="189">
        <v>11</v>
      </c>
      <c r="E37" s="189"/>
      <c r="F37" s="25"/>
      <c r="G37" s="42">
        <v>0</v>
      </c>
      <c r="H37" s="29" t="s">
        <v>12</v>
      </c>
      <c r="I37" s="25"/>
      <c r="J37" s="25"/>
      <c r="K37" s="44"/>
      <c r="L37" s="44"/>
      <c r="M37" s="44"/>
      <c r="N37" s="44"/>
      <c r="O37" s="44"/>
      <c r="P37" s="44"/>
      <c r="Q37" s="44"/>
      <c r="R37" s="44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1" ht="15" customHeight="1">
      <c r="B38" s="25"/>
      <c r="C38" s="44"/>
      <c r="D38" s="189">
        <v>12</v>
      </c>
      <c r="E38" s="189"/>
      <c r="F38" s="25"/>
      <c r="G38" s="42">
        <v>0</v>
      </c>
      <c r="H38" s="29" t="s">
        <v>12</v>
      </c>
      <c r="I38" s="25"/>
      <c r="J38" s="25"/>
      <c r="K38" s="44"/>
      <c r="L38" s="44"/>
      <c r="M38" s="44"/>
      <c r="N38" s="44"/>
      <c r="O38" s="44"/>
      <c r="P38" s="44"/>
      <c r="Q38" s="44"/>
      <c r="R38" s="44"/>
    </row>
    <row r="39" spans="1:41">
      <c r="B39" s="25"/>
      <c r="C39" s="25"/>
      <c r="D39" s="189">
        <v>13</v>
      </c>
      <c r="E39" s="189"/>
      <c r="F39" s="25"/>
      <c r="G39" s="42">
        <v>0</v>
      </c>
      <c r="H39" s="29" t="s">
        <v>12</v>
      </c>
      <c r="I39" s="25"/>
      <c r="J39" s="25"/>
      <c r="K39" s="25"/>
      <c r="L39" s="25"/>
      <c r="M39" s="25"/>
      <c r="N39" s="25"/>
      <c r="O39" s="25"/>
      <c r="P39" s="25"/>
      <c r="Q39" s="25"/>
      <c r="R39" s="25"/>
    </row>
    <row r="40" spans="1:41">
      <c r="B40" s="25"/>
      <c r="C40" s="25"/>
      <c r="D40" s="189">
        <v>14</v>
      </c>
      <c r="E40" s="189"/>
      <c r="F40" s="25"/>
      <c r="G40" s="42">
        <v>0</v>
      </c>
      <c r="H40" s="29" t="s">
        <v>12</v>
      </c>
      <c r="I40" s="25"/>
      <c r="J40" s="25"/>
      <c r="K40" s="25"/>
      <c r="L40" s="25"/>
      <c r="M40" s="25"/>
      <c r="N40" s="25"/>
      <c r="O40" s="25"/>
      <c r="P40" s="25"/>
      <c r="Q40" s="25"/>
      <c r="R40" s="25"/>
    </row>
    <row r="41" spans="1:41">
      <c r="B41" s="25"/>
      <c r="C41" s="25"/>
      <c r="D41" s="189">
        <v>15</v>
      </c>
      <c r="E41" s="189"/>
      <c r="F41" s="25"/>
      <c r="G41" s="42">
        <v>0</v>
      </c>
      <c r="H41" s="29" t="s">
        <v>12</v>
      </c>
      <c r="I41" s="25"/>
      <c r="J41" s="25"/>
      <c r="K41" s="25"/>
      <c r="L41" s="25"/>
      <c r="M41" s="25"/>
      <c r="N41" s="25"/>
      <c r="O41" s="25"/>
      <c r="P41" s="25"/>
      <c r="Q41" s="25"/>
      <c r="R41" s="25"/>
    </row>
    <row r="42" spans="1:41">
      <c r="B42" s="25"/>
      <c r="C42" s="25"/>
      <c r="D42" s="189">
        <v>16</v>
      </c>
      <c r="E42" s="189"/>
      <c r="F42" s="25"/>
      <c r="G42" s="42">
        <v>0</v>
      </c>
      <c r="H42" s="29" t="s">
        <v>12</v>
      </c>
      <c r="I42" s="25"/>
      <c r="J42" s="25"/>
      <c r="K42" s="25"/>
      <c r="L42" s="25"/>
      <c r="M42" s="25"/>
      <c r="N42" s="25"/>
      <c r="O42" s="25"/>
      <c r="P42" s="25"/>
      <c r="Q42" s="25"/>
      <c r="R42" s="25"/>
    </row>
    <row r="43" spans="1:41">
      <c r="B43" s="25"/>
      <c r="C43" s="25"/>
      <c r="D43" s="189">
        <v>17</v>
      </c>
      <c r="E43" s="189"/>
      <c r="F43" s="25"/>
      <c r="G43" s="42">
        <v>0</v>
      </c>
      <c r="H43" s="29" t="s">
        <v>12</v>
      </c>
      <c r="I43" s="25"/>
      <c r="J43" s="25"/>
      <c r="K43" s="25"/>
      <c r="L43" s="25"/>
      <c r="M43" s="25"/>
      <c r="N43" s="25"/>
      <c r="O43" s="25"/>
      <c r="P43" s="25"/>
      <c r="Q43" s="25"/>
      <c r="R43" s="25"/>
    </row>
    <row r="44" spans="1:41">
      <c r="B44" s="25"/>
      <c r="C44" s="25"/>
      <c r="D44" s="189">
        <v>18</v>
      </c>
      <c r="E44" s="189"/>
      <c r="F44" s="46"/>
      <c r="G44" s="42">
        <v>0</v>
      </c>
      <c r="H44" s="29" t="s">
        <v>12</v>
      </c>
      <c r="I44" s="25"/>
      <c r="J44" s="25"/>
      <c r="K44" s="25"/>
      <c r="L44" s="25"/>
      <c r="M44" s="25"/>
      <c r="N44" s="25"/>
      <c r="O44" s="25"/>
      <c r="P44" s="25"/>
      <c r="Q44" s="25"/>
      <c r="R44" s="25"/>
    </row>
    <row r="45" spans="1:41">
      <c r="B45" s="25"/>
      <c r="C45" s="25"/>
      <c r="D45" s="200"/>
      <c r="E45" s="200"/>
      <c r="F45" s="48"/>
      <c r="G45" s="48"/>
      <c r="H45" s="48"/>
      <c r="I45" s="25"/>
      <c r="J45" s="25"/>
      <c r="K45" s="25"/>
      <c r="L45" s="25"/>
      <c r="M45" s="25"/>
      <c r="N45" s="25"/>
      <c r="O45" s="25"/>
      <c r="P45" s="25"/>
      <c r="Q45" s="25"/>
      <c r="R45" s="25"/>
    </row>
    <row r="46" spans="1:41">
      <c r="B46" s="25"/>
      <c r="C46" s="45"/>
      <c r="D46" s="201"/>
      <c r="E46" s="201"/>
      <c r="F46" s="46"/>
      <c r="G46" s="46"/>
      <c r="H46" s="46"/>
      <c r="I46" s="25"/>
      <c r="J46" s="25"/>
      <c r="K46" s="45"/>
      <c r="L46" s="45"/>
      <c r="M46" s="46"/>
      <c r="N46" s="46"/>
      <c r="O46" s="46"/>
      <c r="P46" s="46"/>
      <c r="Q46" s="46"/>
      <c r="R46" s="46"/>
    </row>
    <row r="47" spans="1:41" ht="6.75" customHeight="1">
      <c r="B47" s="25"/>
      <c r="C47" s="47"/>
      <c r="D47" s="201"/>
      <c r="E47" s="201"/>
      <c r="F47" s="25"/>
      <c r="G47" s="25"/>
      <c r="H47" s="25"/>
      <c r="I47" s="25"/>
      <c r="J47" s="25"/>
      <c r="K47" s="47"/>
      <c r="L47" s="47"/>
      <c r="M47" s="48"/>
      <c r="N47" s="48"/>
      <c r="O47" s="48"/>
      <c r="P47" s="48"/>
      <c r="Q47" s="48"/>
      <c r="R47" s="48"/>
    </row>
    <row r="48" spans="1:41">
      <c r="B48" s="25"/>
      <c r="C48" s="45"/>
      <c r="D48" s="49"/>
      <c r="E48" s="49"/>
      <c r="F48" s="49"/>
      <c r="G48" s="49"/>
      <c r="H48" s="49"/>
      <c r="I48" s="50"/>
      <c r="J48" s="25"/>
      <c r="K48" s="45"/>
      <c r="L48" s="45"/>
      <c r="M48" s="46"/>
      <c r="N48" s="46"/>
      <c r="O48" s="46"/>
      <c r="P48" s="46"/>
      <c r="Q48" s="46"/>
      <c r="R48" s="46"/>
    </row>
    <row r="49" spans="1:41" hidden="1">
      <c r="B49" s="25"/>
      <c r="C49" s="25"/>
      <c r="D49" s="49"/>
      <c r="E49" s="49"/>
      <c r="F49" s="49"/>
      <c r="G49" s="49"/>
      <c r="H49" s="49"/>
      <c r="I49" s="25"/>
      <c r="J49" s="25"/>
      <c r="K49" s="25"/>
      <c r="L49" s="25"/>
      <c r="M49" s="25"/>
      <c r="N49" s="25"/>
      <c r="O49" s="25"/>
      <c r="P49" s="25"/>
      <c r="Q49" s="25"/>
      <c r="R49" s="25"/>
    </row>
    <row r="50" spans="1:41" ht="7.5" hidden="1" customHeight="1">
      <c r="B50" s="25"/>
      <c r="C50" s="49"/>
      <c r="D50" s="49"/>
      <c r="E50" s="49"/>
      <c r="F50" s="49"/>
      <c r="G50" s="49"/>
      <c r="H50" s="49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spans="1:41">
      <c r="B51" s="25"/>
      <c r="C51" s="49"/>
      <c r="D51" s="226" t="s">
        <v>29</v>
      </c>
      <c r="E51" s="227"/>
      <c r="F51" s="228"/>
      <c r="G51" s="25"/>
      <c r="H51" s="25"/>
      <c r="I51" s="51">
        <f>Dachówka!D23</f>
        <v>48</v>
      </c>
      <c r="J51" s="29" t="s">
        <v>12</v>
      </c>
      <c r="K51" s="25"/>
      <c r="L51" s="25"/>
      <c r="M51" s="25"/>
      <c r="N51" s="25"/>
      <c r="O51" s="25"/>
      <c r="P51" s="25"/>
      <c r="Q51" s="25"/>
      <c r="R51" s="25"/>
    </row>
    <row r="52" spans="1:41" ht="15.6">
      <c r="B52" s="25"/>
      <c r="C52" s="49"/>
      <c r="D52" s="44"/>
      <c r="E52" s="44"/>
      <c r="F52" s="25"/>
      <c r="G52" s="44"/>
      <c r="H52" s="44"/>
      <c r="I52" s="52"/>
      <c r="J52" s="25"/>
      <c r="K52" s="25"/>
      <c r="L52" s="25"/>
      <c r="M52" s="25"/>
      <c r="N52" s="25"/>
      <c r="O52" s="25"/>
      <c r="P52" s="25"/>
      <c r="Q52" s="25"/>
      <c r="R52" s="25"/>
    </row>
    <row r="53" spans="1:41" ht="15.6">
      <c r="B53" s="25"/>
      <c r="C53" s="25"/>
      <c r="D53" s="44"/>
      <c r="E53" s="44"/>
      <c r="F53" s="25"/>
      <c r="G53" s="44"/>
      <c r="H53" s="44"/>
      <c r="I53" s="52"/>
      <c r="J53" s="25"/>
      <c r="K53" s="25"/>
      <c r="L53" s="25"/>
      <c r="M53" s="25"/>
      <c r="N53" s="25"/>
      <c r="O53" s="25"/>
      <c r="P53" s="25"/>
      <c r="Q53" s="48"/>
      <c r="R53" s="25"/>
    </row>
    <row r="54" spans="1:41" s="12" customFormat="1" ht="12" customHeight="1">
      <c r="A54" s="5"/>
      <c r="B54" s="25"/>
      <c r="C54" s="44"/>
      <c r="D54" s="226" t="s">
        <v>111</v>
      </c>
      <c r="E54" s="227"/>
      <c r="F54" s="228"/>
      <c r="G54" s="25"/>
      <c r="H54" s="25"/>
      <c r="I54" s="51">
        <f>Dachówka!E23</f>
        <v>20</v>
      </c>
      <c r="J54" s="29" t="s">
        <v>12</v>
      </c>
      <c r="K54" s="44"/>
      <c r="L54" s="44"/>
      <c r="M54" s="44"/>
      <c r="N54" s="44"/>
      <c r="O54" s="25"/>
      <c r="P54" s="44"/>
      <c r="Q54" s="44"/>
      <c r="R54" s="44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s="12" customFormat="1" ht="12" customHeight="1">
      <c r="A55" s="5"/>
      <c r="B55" s="25"/>
      <c r="C55" s="44"/>
      <c r="D55" s="25"/>
      <c r="E55" s="25"/>
      <c r="F55" s="25"/>
      <c r="G55" s="25"/>
      <c r="H55" s="55"/>
      <c r="I55" s="56"/>
      <c r="J55" s="25"/>
      <c r="K55" s="44"/>
      <c r="L55" s="44"/>
      <c r="M55" s="44"/>
      <c r="N55" s="53" t="e">
        <f>(VLOOKUP($D$94,Cennik!F4:K8,5,FALSE))*1000 &amp; " mm"</f>
        <v>#N/A</v>
      </c>
      <c r="O55" s="44"/>
      <c r="P55" s="44"/>
      <c r="Q55" s="44"/>
      <c r="R55" s="44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s="12" customFormat="1">
      <c r="A56" s="5"/>
      <c r="B56" s="25"/>
      <c r="C56" s="25"/>
      <c r="D56" s="25"/>
      <c r="E56" s="25"/>
      <c r="F56" s="25"/>
      <c r="G56" s="25"/>
      <c r="H56" s="55"/>
      <c r="I56" s="56"/>
      <c r="J56" s="25"/>
      <c r="K56" s="25"/>
      <c r="L56" s="25"/>
      <c r="M56" s="25"/>
      <c r="N56" s="25"/>
      <c r="O56" s="25"/>
      <c r="P56" s="25"/>
      <c r="Q56" s="48"/>
      <c r="R56" s="2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s="12" customFormat="1" ht="12" customHeight="1">
      <c r="A57" s="5"/>
      <c r="B57" s="25"/>
      <c r="C57" s="54"/>
      <c r="D57" s="25" t="str">
        <f>Dachówka!F4</f>
        <v>Profil nośny modułu Solo light 4,4m</v>
      </c>
      <c r="E57" s="25"/>
      <c r="F57" s="25"/>
      <c r="G57" s="25"/>
      <c r="H57" s="55"/>
      <c r="I57" s="51">
        <f>Dachówka!F23</f>
        <v>22</v>
      </c>
      <c r="J57" s="29" t="s">
        <v>12</v>
      </c>
      <c r="K57" s="25"/>
      <c r="L57" s="25"/>
      <c r="M57" s="25"/>
      <c r="N57" s="25"/>
      <c r="O57" s="25"/>
      <c r="P57" s="25"/>
      <c r="Q57" s="25"/>
      <c r="R57" s="2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s="12" customFormat="1" ht="12" customHeight="1">
      <c r="A58" s="5"/>
      <c r="B58" s="25"/>
      <c r="C58" s="54"/>
      <c r="D58" s="25"/>
      <c r="E58" s="57"/>
      <c r="F58" s="25"/>
      <c r="G58" s="25"/>
      <c r="H58" s="25"/>
      <c r="I58" s="56"/>
      <c r="J58" s="25"/>
      <c r="K58" s="25"/>
      <c r="L58" s="25"/>
      <c r="M58" s="25"/>
      <c r="N58" s="25"/>
      <c r="O58" s="25"/>
      <c r="P58" s="25"/>
      <c r="Q58" s="25"/>
      <c r="R58" s="2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s="12" customFormat="1">
      <c r="A59" s="5"/>
      <c r="B59" s="25"/>
      <c r="C59" s="54"/>
      <c r="D59" s="25"/>
      <c r="E59" s="58"/>
      <c r="F59" s="25"/>
      <c r="G59" s="25"/>
      <c r="H59" s="59"/>
      <c r="I59" s="56"/>
      <c r="J59" s="25"/>
      <c r="K59" s="25"/>
      <c r="L59" s="25"/>
      <c r="M59" s="25"/>
      <c r="N59" s="25"/>
      <c r="O59" s="25"/>
      <c r="P59" s="25"/>
      <c r="Q59" s="25"/>
      <c r="R59" s="2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s="12" customFormat="1" ht="12" customHeight="1">
      <c r="A60" s="5"/>
      <c r="B60" s="25"/>
      <c r="C60" s="25"/>
      <c r="D60" s="25" t="str">
        <f>Dachówka!G4</f>
        <v xml:space="preserve">Łącznik profili Solo5 </v>
      </c>
      <c r="E60" s="60"/>
      <c r="F60" s="25"/>
      <c r="G60" s="62"/>
      <c r="H60" s="63"/>
      <c r="I60" s="51">
        <f>Dachówka!G23</f>
        <v>12</v>
      </c>
      <c r="J60" s="29" t="s">
        <v>12</v>
      </c>
      <c r="K60" s="25"/>
      <c r="L60" s="25"/>
      <c r="M60" s="25"/>
      <c r="N60" s="25"/>
      <c r="O60" s="25"/>
      <c r="P60" s="25"/>
      <c r="Q60"/>
      <c r="R60" s="2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s="12" customFormat="1" ht="12" customHeight="1">
      <c r="A61" s="5"/>
      <c r="B61" s="25"/>
      <c r="C61" s="58"/>
      <c r="D61" s="25"/>
      <c r="E61" s="60"/>
      <c r="F61" s="25"/>
      <c r="G61" s="62"/>
      <c r="H61" s="63"/>
      <c r="I61" s="56"/>
      <c r="J61" s="25"/>
      <c r="K61" s="60"/>
      <c r="L61" s="61"/>
      <c r="M61" s="25"/>
      <c r="N61" s="25"/>
      <c r="O61" s="25"/>
      <c r="P61" s="25"/>
      <c r="Q61" s="25"/>
      <c r="R61" s="2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s="12" customFormat="1" ht="15" customHeight="1">
      <c r="A62" s="5"/>
      <c r="B62" s="25"/>
      <c r="C62" s="25"/>
      <c r="D62" s="25"/>
      <c r="E62" s="60"/>
      <c r="F62" s="25"/>
      <c r="G62" s="64"/>
      <c r="H62" s="64"/>
      <c r="I62" s="56"/>
      <c r="J62" s="25"/>
      <c r="K62" s="60"/>
      <c r="L62" s="61"/>
      <c r="M62" s="25"/>
      <c r="N62" s="25"/>
      <c r="O62" s="25"/>
      <c r="P62" s="25"/>
      <c r="Q62" s="25"/>
      <c r="R62" s="2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s="12" customFormat="1" ht="12" customHeight="1">
      <c r="A63" s="5"/>
      <c r="B63" s="25"/>
      <c r="C63" s="25"/>
      <c r="D63" s="226" t="s">
        <v>103</v>
      </c>
      <c r="E63" s="227"/>
      <c r="F63" s="228"/>
      <c r="G63" s="25"/>
      <c r="H63" s="66"/>
      <c r="I63" s="51" t="str">
        <f>IF(H15="dachówka",Dachówka!H23,"n/d")</f>
        <v>n/d</v>
      </c>
      <c r="J63" s="29" t="s">
        <v>12</v>
      </c>
      <c r="K63" s="60"/>
      <c r="L63" s="61"/>
      <c r="M63" s="25"/>
      <c r="N63" s="25"/>
      <c r="O63" s="25"/>
      <c r="P63" s="25"/>
      <c r="Q63" s="25"/>
      <c r="R63" s="2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s="12" customFormat="1" ht="12" customHeight="1">
      <c r="A64" s="5"/>
      <c r="B64" s="25"/>
      <c r="C64" s="60"/>
      <c r="D64" s="123" t="str">
        <f>IF(D63="Hak dachowy Rapid2+ Max","dla zwiększonego obciążenia śniegiem","")</f>
        <v>dla zwiększonego obciążenia śniegiem</v>
      </c>
      <c r="E64" s="60"/>
      <c r="F64" s="25"/>
      <c r="G64" s="62"/>
      <c r="H64" s="67"/>
      <c r="I64" s="56"/>
      <c r="J64" s="25"/>
      <c r="K64" s="60"/>
      <c r="L64" s="61"/>
      <c r="M64" s="25"/>
      <c r="N64" s="25"/>
      <c r="O64" s="25"/>
      <c r="P64" s="25"/>
      <c r="Q64" s="202" t="e">
        <f>"L= " &amp;(VLOOKUP($D$94,Cennik!F4:K8,6,FALSE))*1000 &amp; " mm"</f>
        <v>#N/A</v>
      </c>
      <c r="R64" s="2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s="12" customFormat="1" ht="15" customHeight="1">
      <c r="A65" s="5"/>
      <c r="B65" s="25"/>
      <c r="C65" s="65"/>
      <c r="D65" s="25"/>
      <c r="E65" s="60"/>
      <c r="F65" s="25"/>
      <c r="G65" s="62"/>
      <c r="H65" s="67"/>
      <c r="I65" s="56"/>
      <c r="J65" s="25"/>
      <c r="K65" s="60"/>
      <c r="L65" s="60"/>
      <c r="M65" s="60"/>
      <c r="N65" s="60"/>
      <c r="O65" s="60"/>
      <c r="P65" s="60"/>
      <c r="Q65" s="202"/>
      <c r="R65" s="60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s="12" customFormat="1" ht="12" customHeight="1">
      <c r="A66" s="5"/>
      <c r="B66" s="25"/>
      <c r="C66" s="25"/>
      <c r="D66" s="25" t="str">
        <f>Dachówka!J4</f>
        <v>Wkręty do drewna VA8x120mm 50St</v>
      </c>
      <c r="E66" s="25"/>
      <c r="F66" s="25"/>
      <c r="G66" s="25"/>
      <c r="H66" s="25"/>
      <c r="I66" s="51" t="str">
        <f>IF(H15="dachówka",Dachówka!J23,"n/d")</f>
        <v>n/d</v>
      </c>
      <c r="J66" s="29" t="s">
        <v>12</v>
      </c>
      <c r="K66" s="60"/>
      <c r="L66" s="60"/>
      <c r="M66" s="60"/>
      <c r="N66" s="60"/>
      <c r="O66" s="60"/>
      <c r="P66" s="60"/>
      <c r="Q66" s="202"/>
      <c r="R66" s="60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s="12" customFormat="1" ht="12" customHeight="1">
      <c r="A67" s="5"/>
      <c r="B67" s="25"/>
      <c r="C67" s="25"/>
      <c r="D67" s="25"/>
      <c r="E67" s="25"/>
      <c r="F67" s="25"/>
      <c r="G67" s="25"/>
      <c r="H67" s="25"/>
      <c r="I67" s="56"/>
      <c r="J67" s="25"/>
      <c r="K67" s="60"/>
      <c r="L67" s="60"/>
      <c r="M67" s="60"/>
      <c r="N67" s="60"/>
      <c r="O67" s="60"/>
      <c r="P67" s="60"/>
      <c r="Q67" s="202"/>
      <c r="R67" s="60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s="12" customFormat="1">
      <c r="A68" s="5"/>
      <c r="B68" s="25"/>
      <c r="C68" s="25"/>
      <c r="D68" s="69"/>
      <c r="E68" s="69"/>
      <c r="F68" s="25"/>
      <c r="G68" s="69"/>
      <c r="H68" s="69"/>
      <c r="I68" s="56"/>
      <c r="J68" s="25"/>
      <c r="K68" s="60"/>
      <c r="L68" s="60"/>
      <c r="M68" s="60"/>
      <c r="N68" s="60"/>
      <c r="O68" s="60"/>
      <c r="P68" s="60"/>
      <c r="Q68" s="202"/>
      <c r="R68" s="60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s="12" customFormat="1" ht="12" customHeight="1">
      <c r="A69" s="5"/>
      <c r="B69" s="25"/>
      <c r="C69" s="25"/>
      <c r="D69" s="25" t="str">
        <f>Dachówka!K4</f>
        <v>Zaślepka plastikowa Profi05 20St.</v>
      </c>
      <c r="E69" s="25"/>
      <c r="F69" s="25"/>
      <c r="G69" s="25"/>
      <c r="H69" s="25"/>
      <c r="I69" s="51">
        <f>Dachówka!K23</f>
        <v>20</v>
      </c>
      <c r="J69" s="29" t="s">
        <v>12</v>
      </c>
      <c r="K69" s="60"/>
      <c r="L69" s="60"/>
      <c r="M69" s="60"/>
      <c r="N69" s="60"/>
      <c r="O69" s="60"/>
      <c r="P69" s="60"/>
      <c r="Q69" s="68"/>
      <c r="R69" s="60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ht="12" customHeight="1">
      <c r="B70" s="25"/>
      <c r="C70" s="69"/>
      <c r="D70" s="25"/>
      <c r="E70" s="25"/>
      <c r="F70" s="25"/>
      <c r="G70" s="25"/>
      <c r="H70" s="25"/>
      <c r="I70" s="56"/>
      <c r="J70" s="25"/>
      <c r="K70" s="60"/>
      <c r="L70" s="60"/>
      <c r="M70" s="60"/>
      <c r="N70" s="60"/>
      <c r="O70" s="60"/>
      <c r="P70" s="60"/>
      <c r="Q70" s="60"/>
      <c r="R70" s="60"/>
    </row>
    <row r="71" spans="1:41">
      <c r="B71" s="25"/>
      <c r="C71" s="25"/>
      <c r="D71" s="25"/>
      <c r="E71" s="25"/>
      <c r="F71" s="25"/>
      <c r="G71" s="25"/>
      <c r="H71" s="25"/>
      <c r="I71" s="56"/>
      <c r="J71" s="25"/>
      <c r="K71" s="60"/>
      <c r="L71" s="60"/>
      <c r="M71" s="60"/>
      <c r="N71" s="60"/>
      <c r="O71" s="60"/>
      <c r="P71" s="60"/>
      <c r="Q71" s="60"/>
      <c r="R71" s="60"/>
    </row>
    <row r="72" spans="1:41" ht="12" customHeight="1">
      <c r="B72" s="25"/>
      <c r="C72" s="25"/>
      <c r="D72" s="25" t="str">
        <f>Dachówka!L4</f>
        <v>Zacisk odgromowy  8 i 10mm</v>
      </c>
      <c r="E72" s="25"/>
      <c r="F72" s="25"/>
      <c r="G72" s="25"/>
      <c r="H72" s="25"/>
      <c r="I72" s="51">
        <f>Dachówka!L23</f>
        <v>10</v>
      </c>
      <c r="J72" s="29" t="s">
        <v>12</v>
      </c>
      <c r="K72" s="60"/>
      <c r="L72" s="60"/>
      <c r="M72" s="60"/>
      <c r="N72" s="60"/>
      <c r="O72" s="60"/>
      <c r="P72" s="60"/>
      <c r="Q72" s="60"/>
      <c r="R72" s="60"/>
    </row>
    <row r="73" spans="1:41" ht="12" customHeight="1">
      <c r="B73" s="25"/>
      <c r="C73" s="25"/>
      <c r="D73" s="25"/>
      <c r="E73" s="25"/>
      <c r="F73" s="25"/>
      <c r="G73" s="25"/>
      <c r="H73" s="25"/>
      <c r="I73" s="25"/>
      <c r="J73" s="25"/>
      <c r="K73" s="60"/>
      <c r="L73" s="60"/>
      <c r="M73" s="60"/>
      <c r="N73" s="60"/>
      <c r="O73" s="60"/>
      <c r="P73" s="60"/>
      <c r="Q73" s="60"/>
      <c r="R73" s="60"/>
    </row>
    <row r="74" spans="1:41">
      <c r="B74" s="25"/>
      <c r="C74" s="25"/>
      <c r="D74" s="25"/>
      <c r="E74" s="25"/>
      <c r="F74" s="25"/>
      <c r="G74" s="25"/>
      <c r="H74" s="25"/>
      <c r="I74" s="25"/>
      <c r="J74" s="25"/>
      <c r="K74" s="60"/>
      <c r="L74" s="60"/>
      <c r="M74" s="60"/>
      <c r="N74" s="60"/>
      <c r="O74" s="60"/>
      <c r="P74" s="60"/>
      <c r="Q74" s="60"/>
      <c r="R74" s="60"/>
    </row>
    <row r="75" spans="1:41">
      <c r="B75" s="25"/>
      <c r="C75" s="25"/>
      <c r="D75" s="203" t="s">
        <v>74</v>
      </c>
      <c r="E75" s="203"/>
      <c r="F75" s="203"/>
      <c r="G75" s="25"/>
      <c r="H75" s="25"/>
      <c r="I75" s="26" t="str">
        <f>IF(H15="blachodachówka",Blachodachowka!L23,"n/d")</f>
        <v>n/d</v>
      </c>
      <c r="J75" s="36" t="s">
        <v>22</v>
      </c>
      <c r="K75" s="60"/>
      <c r="L75" s="60"/>
      <c r="M75" s="60"/>
      <c r="N75" s="60"/>
      <c r="O75" s="60"/>
      <c r="P75" s="60"/>
      <c r="Q75" s="60"/>
      <c r="R75" s="60"/>
    </row>
    <row r="76" spans="1:41">
      <c r="B76" s="25"/>
      <c r="C76" s="25"/>
      <c r="D76" s="203"/>
      <c r="E76" s="203"/>
      <c r="F76" s="203"/>
      <c r="G76" s="25"/>
      <c r="H76" s="25"/>
      <c r="I76" s="25"/>
      <c r="J76" s="25"/>
      <c r="K76" s="60"/>
      <c r="L76" s="60"/>
      <c r="M76" s="70" t="s">
        <v>20</v>
      </c>
      <c r="N76" s="60"/>
      <c r="O76" s="60"/>
      <c r="P76" s="60"/>
      <c r="Q76" s="60"/>
      <c r="R76" s="60"/>
    </row>
    <row r="77" spans="1:41" ht="15" customHeight="1">
      <c r="B77" s="25"/>
      <c r="C77" s="25"/>
      <c r="D77" s="60"/>
      <c r="E77" s="61"/>
      <c r="F77" s="25"/>
      <c r="G77" s="25"/>
      <c r="H77" s="25"/>
      <c r="I77" s="25"/>
      <c r="J77" s="25"/>
      <c r="K77" s="60"/>
      <c r="L77" s="60"/>
      <c r="M77" s="60"/>
      <c r="N77" s="60"/>
      <c r="O77" s="60"/>
      <c r="P77" s="60"/>
      <c r="Q77" s="60"/>
      <c r="R77" s="60"/>
    </row>
    <row r="78" spans="1:41">
      <c r="B78" s="25"/>
      <c r="C78" s="25"/>
      <c r="D78" s="25" t="str">
        <f>Blachodachowka!M4</f>
        <v>Nasadka KlickTop</v>
      </c>
      <c r="E78" s="25"/>
      <c r="F78" s="25"/>
      <c r="G78" s="25"/>
      <c r="H78" s="25"/>
      <c r="I78" s="26" t="str">
        <f>IF(H15="blachodachówka",Blachodachowka!M23,"n/d")</f>
        <v>n/d</v>
      </c>
      <c r="J78" s="36" t="s">
        <v>22</v>
      </c>
      <c r="K78" s="60"/>
      <c r="L78" s="60"/>
      <c r="M78" s="60"/>
      <c r="N78" s="60"/>
      <c r="O78" s="60"/>
      <c r="P78" s="60"/>
      <c r="Q78" s="60"/>
      <c r="R78" s="60"/>
    </row>
    <row r="79" spans="1:41">
      <c r="B79" s="25"/>
      <c r="C79" s="25"/>
      <c r="D79" s="25"/>
      <c r="E79" s="25"/>
      <c r="F79" s="25"/>
      <c r="G79" s="25"/>
      <c r="H79" s="25"/>
      <c r="I79" s="25"/>
      <c r="J79" s="25"/>
      <c r="K79" s="60"/>
      <c r="L79" s="60"/>
      <c r="M79" s="60"/>
      <c r="N79" s="60"/>
      <c r="O79" s="60"/>
      <c r="P79" s="60"/>
      <c r="Q79" s="60"/>
      <c r="R79" s="60"/>
    </row>
    <row r="80" spans="1:41">
      <c r="B80" s="25"/>
      <c r="C80" s="25"/>
      <c r="D80" s="25"/>
      <c r="E80" s="25"/>
      <c r="F80" s="25"/>
      <c r="G80" s="25"/>
      <c r="H80" s="25"/>
      <c r="I80" s="25"/>
      <c r="J80" s="25"/>
      <c r="K80" s="60"/>
      <c r="L80" s="60"/>
      <c r="M80" s="60"/>
      <c r="N80" s="60"/>
      <c r="O80" s="60"/>
      <c r="P80" s="60"/>
      <c r="Q80" s="60"/>
      <c r="R80" s="60"/>
    </row>
    <row r="81" spans="1:41">
      <c r="B81" s="25"/>
      <c r="C81" s="25"/>
      <c r="D81" s="223" t="s">
        <v>142</v>
      </c>
      <c r="E81" s="224"/>
      <c r="F81" s="225"/>
      <c r="G81" s="25"/>
      <c r="H81" s="25"/>
      <c r="I81" s="26" t="str">
        <f>IF(H15="dachówka",Dachówka!I23,"n/d")</f>
        <v>n/d</v>
      </c>
      <c r="J81" s="36" t="s">
        <v>22</v>
      </c>
      <c r="K81" s="60"/>
      <c r="L81" s="60"/>
      <c r="M81" s="60"/>
      <c r="N81" s="60"/>
      <c r="O81" s="60"/>
      <c r="P81" s="60"/>
      <c r="Q81" s="60"/>
      <c r="R81" s="60"/>
    </row>
    <row r="82" spans="1:41">
      <c r="B82" s="25"/>
      <c r="C82" s="25"/>
      <c r="D82" s="123" t="s">
        <v>140</v>
      </c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</row>
    <row r="83" spans="1:41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</row>
    <row r="84" spans="1:41">
      <c r="B84" s="25"/>
      <c r="C84" s="25"/>
      <c r="D84" s="223" t="s">
        <v>33</v>
      </c>
      <c r="E84" s="224"/>
      <c r="F84" s="225"/>
      <c r="G84" s="25"/>
      <c r="H84" s="25"/>
      <c r="I84" s="26">
        <f>G106</f>
        <v>1</v>
      </c>
      <c r="J84" s="36" t="s">
        <v>22</v>
      </c>
      <c r="K84" s="25"/>
      <c r="L84" s="25"/>
      <c r="M84" s="25"/>
      <c r="N84" s="25"/>
      <c r="O84" s="25"/>
      <c r="P84" s="25"/>
      <c r="Q84" s="25"/>
      <c r="R84" s="25"/>
    </row>
    <row r="85" spans="1:41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</row>
    <row r="86" spans="1:41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</row>
    <row r="87" spans="1:41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</row>
    <row r="88" spans="1:41" ht="36">
      <c r="B88" s="25"/>
      <c r="C88" s="25"/>
      <c r="D88" s="2"/>
      <c r="E88" s="2"/>
      <c r="F88" s="191" t="e">
        <f>"Moc generatora PV : "&amp;G118&amp;" kWp"</f>
        <v>#N/A</v>
      </c>
      <c r="G88" s="191"/>
      <c r="H88" s="191"/>
      <c r="I88" s="3"/>
      <c r="J88" s="111" t="str">
        <f>"Dane klienta : " &amp;L10</f>
        <v>Dane klienta : Imie i Nazwisko</v>
      </c>
      <c r="K88" s="25"/>
      <c r="L88" s="25"/>
      <c r="M88" s="25"/>
      <c r="N88" s="25"/>
      <c r="O88" s="25"/>
      <c r="P88" s="25"/>
      <c r="Q88" s="25"/>
      <c r="R88" s="25"/>
    </row>
    <row r="89" spans="1:41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</row>
    <row r="90" spans="1:41" ht="33.75" customHeight="1">
      <c r="A90" s="1"/>
      <c r="B90" s="2"/>
      <c r="C90" s="2"/>
      <c r="D90" s="165"/>
      <c r="E90" s="165"/>
      <c r="F90" s="165"/>
      <c r="G90" s="165"/>
      <c r="H90" s="165"/>
      <c r="I90" s="165"/>
      <c r="J90" s="165"/>
      <c r="K90" s="111"/>
      <c r="L90" s="111"/>
      <c r="M90" s="111"/>
      <c r="N90" s="3"/>
      <c r="O90" s="3"/>
      <c r="P90" s="3"/>
      <c r="Q90" s="144">
        <f ca="1">TODAY()</f>
        <v>45096</v>
      </c>
      <c r="R90" s="3"/>
      <c r="S90" s="4"/>
      <c r="U90" s="6"/>
      <c r="V90" s="6"/>
      <c r="W90" s="7"/>
      <c r="X90" s="7"/>
      <c r="Y90" s="8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8"/>
      <c r="AN90" s="8"/>
      <c r="AO90" s="8"/>
    </row>
    <row r="91" spans="1:41" ht="15.6">
      <c r="B91" s="25"/>
      <c r="C91" s="25"/>
      <c r="D91" s="165"/>
      <c r="E91" s="165"/>
      <c r="F91" s="165"/>
      <c r="G91" s="165"/>
      <c r="H91" s="165"/>
      <c r="I91" s="165"/>
      <c r="J91" s="165"/>
      <c r="K91" s="25"/>
      <c r="L91" s="25"/>
      <c r="M91" s="25"/>
      <c r="N91" s="25"/>
      <c r="O91" s="25"/>
      <c r="P91" s="25"/>
      <c r="Q91" s="25"/>
      <c r="R91" s="25"/>
    </row>
    <row r="92" spans="1:41" ht="15" customHeight="1">
      <c r="B92" s="187" t="s">
        <v>146</v>
      </c>
      <c r="C92" s="165" t="s">
        <v>145</v>
      </c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</row>
    <row r="93" spans="1:41" ht="15" customHeight="1">
      <c r="B93" s="187"/>
      <c r="C93" s="165"/>
      <c r="D93" s="125" t="s">
        <v>24</v>
      </c>
      <c r="E93" s="126"/>
      <c r="F93" s="126"/>
      <c r="G93" s="71" t="s">
        <v>25</v>
      </c>
      <c r="H93" s="72"/>
      <c r="I93" s="71" t="s">
        <v>26</v>
      </c>
      <c r="J93" s="73"/>
      <c r="K93" s="25"/>
      <c r="L93" s="25"/>
      <c r="M93" s="25"/>
      <c r="N93" s="25"/>
      <c r="O93" s="25"/>
      <c r="P93" s="25"/>
      <c r="Q93" s="25"/>
      <c r="R93" s="25"/>
    </row>
    <row r="94" spans="1:41" ht="15" customHeight="1">
      <c r="B94" s="187"/>
      <c r="C94" s="25"/>
      <c r="D94" s="221" t="s">
        <v>80</v>
      </c>
      <c r="E94" s="221"/>
      <c r="F94" s="221"/>
      <c r="G94" s="29">
        <f>Dachówka!C26</f>
        <v>29</v>
      </c>
      <c r="H94" s="29"/>
      <c r="I94" s="29" t="e">
        <f t="shared" ref="I94:I106" si="0">VLOOKUP(D94,Cennik,2,FALSE)</f>
        <v>#N/A</v>
      </c>
      <c r="J94" s="112" t="e">
        <f t="shared" ref="J94:J106" si="1">VLOOKUP(D94,Cennik,3,FALSE)</f>
        <v>#N/A</v>
      </c>
      <c r="K94" s="25"/>
      <c r="L94" s="25"/>
      <c r="M94" s="25"/>
      <c r="N94" s="25"/>
      <c r="O94" s="25"/>
      <c r="P94" s="25"/>
      <c r="Q94" s="25"/>
      <c r="R94" s="25"/>
    </row>
    <row r="95" spans="1:41" ht="15" customHeight="1">
      <c r="B95" s="187"/>
      <c r="C95" s="25"/>
      <c r="D95" s="221" t="s">
        <v>87</v>
      </c>
      <c r="E95" s="221"/>
      <c r="F95" s="221"/>
      <c r="G95" s="29">
        <f>Dachówka!C27</f>
        <v>1</v>
      </c>
      <c r="H95" s="29"/>
      <c r="I95" s="29" t="e">
        <f t="shared" si="0"/>
        <v>#N/A</v>
      </c>
      <c r="J95" s="124" t="e">
        <f t="shared" si="1"/>
        <v>#N/A</v>
      </c>
      <c r="K95" s="71" t="s">
        <v>27</v>
      </c>
      <c r="L95" s="73"/>
      <c r="M95" s="71"/>
      <c r="N95" s="73"/>
      <c r="O95" s="71" t="s">
        <v>28</v>
      </c>
      <c r="P95" s="73"/>
      <c r="Q95" s="25"/>
      <c r="R95" s="25"/>
    </row>
    <row r="96" spans="1:41">
      <c r="B96" s="187"/>
      <c r="C96" s="74"/>
      <c r="D96" s="222" t="str">
        <f>D51</f>
        <v>Klemy środkowe srebrne</v>
      </c>
      <c r="E96" s="222"/>
      <c r="F96" s="222"/>
      <c r="G96" s="29">
        <f>Dachówka!C28</f>
        <v>48</v>
      </c>
      <c r="H96" s="29"/>
      <c r="I96" s="29">
        <f t="shared" si="0"/>
        <v>7783976</v>
      </c>
      <c r="J96" s="124">
        <f t="shared" si="1"/>
        <v>7</v>
      </c>
      <c r="K96" s="112"/>
      <c r="L96" s="29"/>
      <c r="M96" s="25"/>
      <c r="N96" s="29"/>
      <c r="O96" s="199" t="e">
        <f t="shared" ref="O96:O108" si="2">(G94*J94)*(1-M96)</f>
        <v>#N/A</v>
      </c>
      <c r="P96" s="199"/>
      <c r="Q96" s="25"/>
      <c r="R96" s="25"/>
    </row>
    <row r="97" spans="2:25">
      <c r="B97" s="25"/>
      <c r="C97" s="74"/>
      <c r="D97" s="220" t="str">
        <f>D54</f>
        <v>Klemy końcowe srebrne</v>
      </c>
      <c r="E97" s="220"/>
      <c r="F97" s="220"/>
      <c r="G97" s="29">
        <f>Dachówka!C29</f>
        <v>20</v>
      </c>
      <c r="H97" s="29"/>
      <c r="I97" s="29">
        <f t="shared" si="0"/>
        <v>7783970</v>
      </c>
      <c r="J97" s="124">
        <f t="shared" si="1"/>
        <v>7</v>
      </c>
      <c r="K97" s="124"/>
      <c r="L97" s="29"/>
      <c r="M97" s="25"/>
      <c r="N97" s="29"/>
      <c r="O97" s="199" t="e">
        <f t="shared" si="2"/>
        <v>#N/A</v>
      </c>
      <c r="P97" s="199"/>
      <c r="Q97" s="25"/>
      <c r="R97" s="25"/>
    </row>
    <row r="98" spans="2:25">
      <c r="B98" s="25"/>
      <c r="C98" s="74"/>
      <c r="D98" s="54" t="str">
        <f>D57</f>
        <v>Profil nośny modułu Solo light 4,4m</v>
      </c>
      <c r="E98" s="54"/>
      <c r="F98" s="54"/>
      <c r="G98" s="29">
        <f>Dachówka!C30</f>
        <v>22</v>
      </c>
      <c r="H98" s="29"/>
      <c r="I98" s="29">
        <f t="shared" si="0"/>
        <v>7955972</v>
      </c>
      <c r="J98" s="124">
        <f t="shared" si="1"/>
        <v>189</v>
      </c>
      <c r="K98" s="124"/>
      <c r="L98" s="29"/>
      <c r="M98" s="25"/>
      <c r="N98" s="29"/>
      <c r="O98" s="199">
        <f t="shared" si="2"/>
        <v>336</v>
      </c>
      <c r="P98" s="199"/>
      <c r="Q98" s="25"/>
      <c r="R98" s="25"/>
    </row>
    <row r="99" spans="2:25">
      <c r="B99" s="25"/>
      <c r="C99" s="74"/>
      <c r="D99" s="54" t="str">
        <f>D60</f>
        <v xml:space="preserve">Łącznik profili Solo5 </v>
      </c>
      <c r="E99" s="54"/>
      <c r="F99" s="54"/>
      <c r="G99" s="29">
        <f>Dachówka!C31</f>
        <v>12</v>
      </c>
      <c r="H99" s="75"/>
      <c r="I99" s="29">
        <f t="shared" si="0"/>
        <v>7561087</v>
      </c>
      <c r="J99" s="124">
        <f t="shared" si="1"/>
        <v>17</v>
      </c>
      <c r="K99" s="124"/>
      <c r="L99" s="29"/>
      <c r="M99" s="25"/>
      <c r="N99" s="29"/>
      <c r="O99" s="199">
        <f t="shared" si="2"/>
        <v>140</v>
      </c>
      <c r="P99" s="199"/>
      <c r="Q99" s="25"/>
      <c r="R99" s="25"/>
    </row>
    <row r="100" spans="2:25">
      <c r="B100" s="25"/>
      <c r="C100" s="25"/>
      <c r="D100" s="54" t="str">
        <f>IF(H15="dachówka",D63,D75)</f>
        <v>Zest. mocujący do pokryć falistych 10x200</v>
      </c>
      <c r="E100" s="54"/>
      <c r="F100" s="54"/>
      <c r="G100" s="29">
        <f>IF(D100="Hak dachowy Rapid 2+ 45",Dachówka!C32,Blachodachowka!C32)</f>
        <v>20</v>
      </c>
      <c r="H100" s="75"/>
      <c r="I100" s="29">
        <f t="shared" si="0"/>
        <v>7736574</v>
      </c>
      <c r="J100" s="124">
        <f t="shared" si="1"/>
        <v>11.5</v>
      </c>
      <c r="K100" s="124"/>
      <c r="L100" s="29"/>
      <c r="M100" s="25"/>
      <c r="N100" s="29"/>
      <c r="O100" s="199">
        <f t="shared" si="2"/>
        <v>4158</v>
      </c>
      <c r="P100" s="199"/>
      <c r="Q100" s="25"/>
      <c r="R100" s="25"/>
    </row>
    <row r="101" spans="2:25">
      <c r="B101" s="25"/>
      <c r="C101" s="25"/>
      <c r="D101" s="54" t="str">
        <f>IF(H15="dachówka",D66,D78)</f>
        <v>Nasadka KlickTop</v>
      </c>
      <c r="E101" s="54"/>
      <c r="F101" s="54"/>
      <c r="G101" s="29">
        <f>IF(D101="Wkręty do drewna VA8x120mm 50St",Dachówka!C34,Blachodachowka!C33)</f>
        <v>20</v>
      </c>
      <c r="H101" s="29"/>
      <c r="I101" s="29">
        <f t="shared" si="0"/>
        <v>7164821</v>
      </c>
      <c r="J101" s="124">
        <f t="shared" si="1"/>
        <v>15.2</v>
      </c>
      <c r="K101" s="124"/>
      <c r="L101" s="29"/>
      <c r="M101" s="25"/>
      <c r="N101" s="29"/>
      <c r="O101" s="199">
        <f t="shared" si="2"/>
        <v>204</v>
      </c>
      <c r="P101" s="199"/>
      <c r="Q101" s="76"/>
      <c r="R101" s="76"/>
    </row>
    <row r="102" spans="2:25">
      <c r="B102" s="25"/>
      <c r="C102" s="25"/>
      <c r="D102" s="54" t="str">
        <f>D69</f>
        <v>Zaślepka plastikowa Profi05 20St.</v>
      </c>
      <c r="E102" s="54"/>
      <c r="F102" s="54"/>
      <c r="G102" s="29">
        <f>Dachówka!C35</f>
        <v>1</v>
      </c>
      <c r="H102" s="29"/>
      <c r="I102" s="29">
        <f t="shared" si="0"/>
        <v>7497891</v>
      </c>
      <c r="J102" s="124">
        <f t="shared" si="1"/>
        <v>35</v>
      </c>
      <c r="K102" s="124"/>
      <c r="L102" s="29"/>
      <c r="M102" s="25"/>
      <c r="N102" s="29"/>
      <c r="O102" s="199">
        <f t="shared" si="2"/>
        <v>230</v>
      </c>
      <c r="P102" s="199"/>
      <c r="Q102" s="76"/>
      <c r="R102" s="76"/>
    </row>
    <row r="103" spans="2:25">
      <c r="B103" s="25"/>
      <c r="C103" s="25"/>
      <c r="D103" s="54" t="str">
        <f>Dachówka!B36</f>
        <v>Gniazda MC4 EVO2 4,0-6,0 mm2 (20 sztuk)</v>
      </c>
      <c r="E103" s="77"/>
      <c r="F103" s="77"/>
      <c r="G103" s="29">
        <f>Dachówka!C36</f>
        <v>1</v>
      </c>
      <c r="H103" s="77"/>
      <c r="I103" s="29">
        <f t="shared" si="0"/>
        <v>7998634</v>
      </c>
      <c r="J103" s="124">
        <f t="shared" si="1"/>
        <v>127</v>
      </c>
      <c r="K103" s="124"/>
      <c r="L103" s="29"/>
      <c r="M103" s="25"/>
      <c r="N103" s="29"/>
      <c r="O103" s="199">
        <f t="shared" si="2"/>
        <v>304</v>
      </c>
      <c r="P103" s="199"/>
      <c r="Q103" s="25"/>
      <c r="R103" s="25"/>
    </row>
    <row r="104" spans="2:25">
      <c r="B104" s="25"/>
      <c r="C104" s="25"/>
      <c r="D104" s="54" t="str">
        <f>Dachówka!B37</f>
        <v>Wtyczki MC4 EVO2 4,0-6,0 mm2 (20 sztuk)</v>
      </c>
      <c r="E104" s="54"/>
      <c r="F104" s="54"/>
      <c r="G104" s="29">
        <f>Dachówka!C37</f>
        <v>1</v>
      </c>
      <c r="H104" s="29"/>
      <c r="I104" s="29">
        <f t="shared" si="0"/>
        <v>7998635</v>
      </c>
      <c r="J104" s="124">
        <f t="shared" si="1"/>
        <v>101</v>
      </c>
      <c r="K104" s="124"/>
      <c r="L104" s="29"/>
      <c r="M104" s="25"/>
      <c r="N104" s="29"/>
      <c r="O104" s="199">
        <f t="shared" si="2"/>
        <v>35</v>
      </c>
      <c r="P104" s="199"/>
      <c r="Q104" s="25"/>
      <c r="R104" s="25"/>
    </row>
    <row r="105" spans="2:25">
      <c r="B105" s="25"/>
      <c r="C105" s="77"/>
      <c r="D105" s="54" t="str">
        <f>D72</f>
        <v>Zacisk odgromowy  8 i 10mm</v>
      </c>
      <c r="E105" s="54"/>
      <c r="F105" s="54"/>
      <c r="G105" s="29">
        <f>Dachówka!C38</f>
        <v>10</v>
      </c>
      <c r="H105" s="29"/>
      <c r="I105" s="29">
        <f t="shared" si="0"/>
        <v>7457988</v>
      </c>
      <c r="J105" s="124">
        <f t="shared" si="1"/>
        <v>13</v>
      </c>
      <c r="K105" s="124"/>
      <c r="L105" s="77"/>
      <c r="M105" s="25"/>
      <c r="N105" s="77"/>
      <c r="O105" s="199">
        <f t="shared" si="2"/>
        <v>127</v>
      </c>
      <c r="P105" s="199"/>
      <c r="Q105" s="77"/>
      <c r="R105" s="77"/>
    </row>
    <row r="106" spans="2:25">
      <c r="B106" s="25"/>
      <c r="C106" s="25"/>
      <c r="D106" s="219" t="str">
        <f>D84</f>
        <v>Kabel solarny 100 m 6mm2</v>
      </c>
      <c r="E106" s="219"/>
      <c r="F106" s="219"/>
      <c r="G106" s="137">
        <v>1</v>
      </c>
      <c r="H106" s="29"/>
      <c r="I106" s="29">
        <f t="shared" si="0"/>
        <v>7374380</v>
      </c>
      <c r="J106" s="124">
        <f t="shared" si="1"/>
        <v>549</v>
      </c>
      <c r="K106" s="124"/>
      <c r="L106" s="29"/>
      <c r="M106" s="25"/>
      <c r="N106" s="29"/>
      <c r="O106" s="199">
        <f t="shared" si="2"/>
        <v>101</v>
      </c>
      <c r="P106" s="199"/>
      <c r="Q106" s="25"/>
      <c r="R106" s="25"/>
    </row>
    <row r="107" spans="2:25">
      <c r="B107" s="25"/>
      <c r="C107" s="25"/>
      <c r="D107" s="114" t="e">
        <f>IF(D95=Cennik!F12,Cennik!F54,IF(D95=Cennik!F13,Cennik!F54,IF(D95=Cennik!#REF!,Cennik!F54,IF(D95=Cennik!#REF!,Cennik!F54,IF(D95=Cennik!#REF!,Cennik!F54,IF(D95=Cennik!#REF!,Cennik!F54,IF(D95=Cennik!#REF!,Cennik!F54," ")))))))</f>
        <v>#REF!</v>
      </c>
      <c r="E107" s="114"/>
      <c r="F107" s="114"/>
      <c r="G107" s="142">
        <v>1</v>
      </c>
      <c r="H107" s="115"/>
      <c r="I107" s="29" t="e">
        <f>_xlfn.IFNA(VLOOKUP(D107,Cennik,2,FALSE),"")</f>
        <v>#REF!</v>
      </c>
      <c r="J107" s="124" t="e">
        <f>_xlfn.IFNA(VLOOKUP(D107,Cennik,3,FALSE),"")</f>
        <v>#REF!</v>
      </c>
      <c r="K107" s="124"/>
      <c r="L107" s="29"/>
      <c r="M107" s="25"/>
      <c r="N107" s="78"/>
      <c r="O107" s="199">
        <f t="shared" si="2"/>
        <v>130</v>
      </c>
      <c r="P107" s="199"/>
      <c r="Q107" s="79"/>
      <c r="R107" s="79"/>
      <c r="S107" s="12">
        <f>_xlfn.NUMBERVALUE(INT(Q107))</f>
        <v>0</v>
      </c>
      <c r="T107" s="80"/>
      <c r="U107" s="80"/>
      <c r="V107" s="80"/>
      <c r="W107" s="80"/>
      <c r="X107" s="80"/>
      <c r="Y107" s="80"/>
    </row>
    <row r="108" spans="2:25">
      <c r="B108" s="25"/>
      <c r="C108" s="74"/>
      <c r="D108" s="219" t="str">
        <f>IF(H15="dachówka",D81,"")</f>
        <v/>
      </c>
      <c r="E108" s="219"/>
      <c r="F108" s="219"/>
      <c r="G108" s="141" t="str">
        <f>IF(H15="dachówka",Dachówka!C33,"")</f>
        <v/>
      </c>
      <c r="H108" s="115"/>
      <c r="I108" s="29" t="str">
        <f>_xlfn.IFNA(VLOOKUP(D108,Cennik,2,FALSE),"")</f>
        <v/>
      </c>
      <c r="J108" s="124" t="str">
        <f>_xlfn.IFNA(VLOOKUP(D108,Cennik,3,FALSE),"")</f>
        <v/>
      </c>
      <c r="K108" s="124"/>
      <c r="L108" s="29"/>
      <c r="M108" s="25"/>
      <c r="N108" s="29"/>
      <c r="O108" s="199">
        <f t="shared" si="2"/>
        <v>549</v>
      </c>
      <c r="P108" s="199"/>
      <c r="Q108" s="79"/>
      <c r="R108" s="79"/>
      <c r="S108" s="12">
        <f>_xlfn.NUMBERVALUE(INT(Q108))</f>
        <v>0</v>
      </c>
      <c r="T108" s="80"/>
      <c r="U108" s="80"/>
      <c r="V108" s="80"/>
      <c r="W108" s="80"/>
      <c r="X108" s="80"/>
      <c r="Y108" s="80"/>
    </row>
    <row r="109" spans="2:25">
      <c r="B109" s="25"/>
      <c r="C109" s="74"/>
      <c r="D109" s="54" t="str">
        <f>Dachówka!B41</f>
        <v>Osprzęt elektryczny</v>
      </c>
      <c r="E109" s="54"/>
      <c r="F109" s="54"/>
      <c r="G109" s="29">
        <f>Dachówka!C41</f>
        <v>1</v>
      </c>
      <c r="H109" s="29"/>
      <c r="I109" s="29"/>
      <c r="J109" s="166">
        <v>0</v>
      </c>
      <c r="K109" s="124"/>
      <c r="L109" s="115"/>
      <c r="M109" s="117"/>
      <c r="N109" s="115"/>
      <c r="O109" s="199" t="str">
        <f>IFERROR((G107*J107)*(1-M109),"")</f>
        <v/>
      </c>
      <c r="P109" s="199"/>
      <c r="Q109" s="79"/>
      <c r="R109" s="79"/>
      <c r="T109" s="80"/>
      <c r="U109" s="80"/>
      <c r="V109" s="80"/>
      <c r="W109" s="80"/>
      <c r="X109" s="80"/>
      <c r="Y109" s="80"/>
    </row>
    <row r="110" spans="2:25">
      <c r="B110" s="25"/>
      <c r="C110" s="74"/>
      <c r="D110" s="54" t="str">
        <f>Dachówka!B43</f>
        <v>Montaż</v>
      </c>
      <c r="E110" s="54"/>
      <c r="F110" s="54"/>
      <c r="G110" s="29">
        <f>Dachówka!C43</f>
        <v>1</v>
      </c>
      <c r="H110" s="29"/>
      <c r="I110" s="29"/>
      <c r="J110" s="168">
        <v>0</v>
      </c>
      <c r="K110" s="124"/>
      <c r="L110" s="115"/>
      <c r="M110" s="117"/>
      <c r="N110" s="115"/>
      <c r="O110" s="199" t="str">
        <f>IFERROR((G108*J108)*(1-M110),"")</f>
        <v/>
      </c>
      <c r="P110" s="199"/>
      <c r="Q110" s="79"/>
      <c r="R110" s="79"/>
      <c r="T110" s="80"/>
      <c r="U110" s="80"/>
      <c r="V110" s="80"/>
      <c r="W110" s="80"/>
      <c r="X110" s="80"/>
      <c r="Y110" s="80"/>
    </row>
    <row r="111" spans="2:25">
      <c r="B111" s="25"/>
      <c r="C111" s="25"/>
      <c r="D111" s="123" t="s">
        <v>141</v>
      </c>
      <c r="E111" s="54"/>
      <c r="F111" s="54"/>
      <c r="G111" s="115"/>
      <c r="H111" s="115"/>
      <c r="I111" s="115"/>
      <c r="J111" s="134"/>
      <c r="K111" s="167"/>
      <c r="L111" s="29"/>
      <c r="M111" s="25"/>
      <c r="N111" s="78"/>
      <c r="O111" s="199">
        <f>IFERROR((G109*J109)*(1-M111),"")</f>
        <v>0</v>
      </c>
      <c r="P111" s="199"/>
      <c r="Q111" s="79"/>
      <c r="R111" s="79"/>
      <c r="S111" s="12">
        <f>_xlfn.NUMBERVALUE(INT(Q111))</f>
        <v>0</v>
      </c>
      <c r="T111" s="80"/>
      <c r="U111" s="80"/>
      <c r="V111" s="80"/>
      <c r="W111" s="80"/>
      <c r="X111" s="80"/>
      <c r="Y111" s="80"/>
    </row>
    <row r="112" spans="2:25">
      <c r="B112" s="25"/>
      <c r="C112" s="25"/>
      <c r="D112" s="215"/>
      <c r="E112" s="216"/>
      <c r="F112" s="216"/>
      <c r="G112" s="135"/>
      <c r="H112" s="128"/>
      <c r="I112" s="129" t="str">
        <f>_xlfn.IFNA(VLOOKUP(D112,Cennik,2,FALSE),"")</f>
        <v/>
      </c>
      <c r="J112" s="170" t="str">
        <f>_xlfn.IFNA(VLOOKUP(D112,Cennik,3,FALSE),"")</f>
        <v/>
      </c>
      <c r="K112" s="169"/>
      <c r="L112" s="29"/>
      <c r="M112" s="25"/>
      <c r="N112" s="29"/>
      <c r="O112" s="199">
        <f>IFERROR((G110*J110)*(1-M112),"")</f>
        <v>0</v>
      </c>
      <c r="P112" s="199"/>
      <c r="Q112" s="25"/>
      <c r="R112" s="25"/>
      <c r="T112" s="80"/>
      <c r="U112" s="80"/>
      <c r="V112" s="80"/>
      <c r="W112" s="80"/>
      <c r="X112" s="80"/>
      <c r="Y112" s="80"/>
    </row>
    <row r="113" spans="2:29">
      <c r="B113" s="25"/>
      <c r="C113" s="25"/>
      <c r="D113" s="210"/>
      <c r="E113" s="211"/>
      <c r="F113" s="211"/>
      <c r="G113" s="136"/>
      <c r="H113" s="131"/>
      <c r="I113" s="132" t="str">
        <f>_xlfn.IFNA(VLOOKUP(D113,Cennik,2,FALSE),"")</f>
        <v/>
      </c>
      <c r="J113" s="171" t="str">
        <f>_xlfn.IFNA(VLOOKUP(D113,Cennik,3,FALSE),"")</f>
        <v/>
      </c>
      <c r="K113" s="134"/>
      <c r="L113" s="115"/>
      <c r="M113" s="117"/>
      <c r="N113" s="115"/>
      <c r="O113" s="116"/>
      <c r="P113" s="116"/>
      <c r="Q113" s="25"/>
      <c r="R113" s="25"/>
      <c r="T113" s="80"/>
      <c r="U113" s="80"/>
      <c r="V113" s="80"/>
      <c r="W113" s="80"/>
      <c r="X113" s="80"/>
      <c r="Y113" s="80"/>
    </row>
    <row r="114" spans="2:29">
      <c r="B114" s="25"/>
      <c r="C114" s="74"/>
      <c r="D114" s="127"/>
      <c r="E114" s="127"/>
      <c r="F114" s="127"/>
      <c r="G114" s="127"/>
      <c r="H114" s="127"/>
      <c r="I114" s="127"/>
      <c r="J114" s="127"/>
      <c r="K114" s="170"/>
      <c r="L114" s="128"/>
      <c r="M114" s="130"/>
      <c r="N114" s="128"/>
      <c r="O114" s="217" t="str">
        <f>IFERROR((G112*J112)*(1-M114),"")</f>
        <v/>
      </c>
      <c r="P114" s="218"/>
      <c r="Q114" s="79"/>
      <c r="R114" s="79"/>
      <c r="T114" s="80"/>
      <c r="U114" s="80"/>
      <c r="V114" s="80"/>
      <c r="W114" s="80"/>
      <c r="X114" s="80"/>
      <c r="Y114" s="80"/>
    </row>
    <row r="115" spans="2:29">
      <c r="B115" s="25"/>
      <c r="C115" s="74"/>
      <c r="D115" s="25"/>
      <c r="E115" s="25"/>
      <c r="F115" s="25"/>
      <c r="G115" s="25"/>
      <c r="H115" s="25"/>
      <c r="I115" s="25"/>
      <c r="J115" s="25"/>
      <c r="K115" s="171"/>
      <c r="L115" s="131"/>
      <c r="M115" s="133"/>
      <c r="N115" s="131"/>
      <c r="O115" s="212" t="str">
        <f>IFERROR((G113*J113)*(1-M115),"")</f>
        <v/>
      </c>
      <c r="P115" s="213"/>
      <c r="Q115" s="79"/>
      <c r="R115" s="79"/>
      <c r="T115" s="80"/>
      <c r="U115" s="80"/>
      <c r="V115" s="80"/>
      <c r="W115" s="80"/>
      <c r="X115" s="80"/>
      <c r="Y115" s="80"/>
    </row>
    <row r="116" spans="2:29">
      <c r="B116" s="25"/>
      <c r="C116" s="25"/>
      <c r="D116" s="25"/>
      <c r="E116" s="25"/>
      <c r="F116" s="25"/>
      <c r="G116" s="25"/>
      <c r="H116" s="25"/>
      <c r="I116" s="25"/>
      <c r="J116" s="25"/>
      <c r="K116" s="127"/>
      <c r="L116" s="127"/>
      <c r="M116" s="127"/>
      <c r="N116" s="127"/>
      <c r="O116" s="127"/>
      <c r="P116" s="127"/>
      <c r="Q116" s="110"/>
      <c r="R116" s="25"/>
      <c r="T116" s="80"/>
      <c r="U116" s="80"/>
      <c r="V116" s="80"/>
      <c r="W116" s="80"/>
      <c r="X116" s="80"/>
      <c r="Y116" s="80"/>
    </row>
    <row r="117" spans="2:29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110"/>
      <c r="R117" s="25"/>
      <c r="T117" s="80"/>
      <c r="U117" s="80"/>
      <c r="V117" s="80"/>
      <c r="W117" s="80"/>
      <c r="X117" s="80"/>
      <c r="Y117" s="80"/>
    </row>
    <row r="118" spans="2:29" ht="18">
      <c r="B118" s="25"/>
      <c r="C118" s="25"/>
      <c r="D118" s="143" t="s">
        <v>143</v>
      </c>
      <c r="E118" s="122"/>
      <c r="F118" s="122"/>
      <c r="G118" s="139" t="e">
        <f>(G94*((VLOOKUP(D94,Cennik!F5:I8,4,FALSE))/1000))</f>
        <v>#N/A</v>
      </c>
      <c r="H118" s="140" t="s">
        <v>38</v>
      </c>
      <c r="I118" s="25"/>
      <c r="J118" s="25"/>
      <c r="K118" s="25" t="s">
        <v>139</v>
      </c>
      <c r="L118" s="25"/>
      <c r="M118" s="25"/>
      <c r="N118" s="25"/>
      <c r="O118" s="205" t="e">
        <f>SUM(O96:P111,O114:P115)</f>
        <v>#N/A</v>
      </c>
      <c r="P118" s="205"/>
      <c r="Q118" s="110"/>
      <c r="R118" s="25"/>
      <c r="T118" s="80"/>
      <c r="U118" s="80"/>
      <c r="V118" s="80"/>
      <c r="W118" s="80"/>
      <c r="X118" s="80"/>
      <c r="Y118" s="80"/>
    </row>
    <row r="119" spans="2:29" ht="18">
      <c r="B119" s="25"/>
      <c r="C119" s="25"/>
      <c r="D119" s="83" t="s">
        <v>144</v>
      </c>
      <c r="E119" s="138"/>
      <c r="F119" s="138"/>
      <c r="G119" s="84" t="e">
        <f>VLOOKUP(D95,Cennik!F12:I21,4,FALSE)</f>
        <v>#N/A</v>
      </c>
      <c r="H119" s="85" t="s">
        <v>41</v>
      </c>
      <c r="I119" s="25"/>
      <c r="J119" s="25"/>
      <c r="K119" s="25" t="s">
        <v>130</v>
      </c>
      <c r="L119" s="25"/>
      <c r="M119" s="25"/>
      <c r="N119" s="25"/>
      <c r="O119" s="214" t="e">
        <f>+O118+O112</f>
        <v>#N/A</v>
      </c>
      <c r="P119" s="214" t="e">
        <f>+#REF!+J110</f>
        <v>#REF!</v>
      </c>
      <c r="Q119" s="110"/>
      <c r="R119" s="25"/>
      <c r="T119" s="80"/>
      <c r="U119" s="80"/>
      <c r="V119" s="80"/>
      <c r="W119" s="80"/>
      <c r="X119" s="80"/>
      <c r="Y119" s="80"/>
    </row>
    <row r="120" spans="2:29" ht="15" customHeight="1">
      <c r="B120" s="25"/>
      <c r="C120" s="25"/>
      <c r="D120" s="25"/>
      <c r="E120" s="25"/>
      <c r="F120" s="25"/>
      <c r="G120" s="25"/>
      <c r="H120" s="25"/>
      <c r="I120" s="25"/>
      <c r="J120" s="25"/>
      <c r="K120" s="25" t="s">
        <v>39</v>
      </c>
      <c r="L120" s="82"/>
      <c r="M120" s="25"/>
      <c r="N120" s="205" t="e">
        <f>+O119/G118</f>
        <v>#N/A</v>
      </c>
      <c r="O120" s="205"/>
      <c r="P120" s="205"/>
      <c r="Q120" s="77"/>
      <c r="R120" s="77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2:29">
      <c r="B121" s="25"/>
      <c r="C121" s="25"/>
      <c r="D121" s="25"/>
      <c r="E121" s="25"/>
      <c r="F121" s="25"/>
      <c r="G121" s="25"/>
      <c r="H121" s="25"/>
      <c r="I121" s="25"/>
      <c r="J121" s="25"/>
      <c r="K121" s="25" t="s">
        <v>40</v>
      </c>
      <c r="L121" s="82"/>
      <c r="M121" s="25"/>
      <c r="N121" s="205">
        <f>SUM(O98:P111)</f>
        <v>6314</v>
      </c>
      <c r="O121" s="205"/>
      <c r="P121" s="205"/>
      <c r="Q121" s="25"/>
      <c r="R121" s="25"/>
      <c r="T121" s="12"/>
      <c r="U121" s="12"/>
      <c r="V121" s="12"/>
      <c r="W121" s="12"/>
      <c r="X121" s="12" t="s">
        <v>41</v>
      </c>
      <c r="Y121" s="86">
        <v>1</v>
      </c>
      <c r="Z121" s="12"/>
      <c r="AA121" s="8"/>
      <c r="AB121" s="8"/>
      <c r="AC121" s="8"/>
    </row>
    <row r="122" spans="2:29">
      <c r="B122" s="25"/>
      <c r="C122" s="25"/>
      <c r="D122" s="25"/>
      <c r="E122" s="25"/>
      <c r="F122" s="25"/>
      <c r="G122" s="25"/>
      <c r="H122" s="25"/>
      <c r="I122" s="25"/>
      <c r="J122" s="25"/>
      <c r="K122" s="25" t="s">
        <v>42</v>
      </c>
      <c r="L122" s="82"/>
      <c r="M122" s="25"/>
      <c r="N122" s="205" t="e">
        <f>N121/G118</f>
        <v>#N/A</v>
      </c>
      <c r="O122" s="205"/>
      <c r="P122" s="205"/>
      <c r="Q122" s="25"/>
      <c r="R122" s="25"/>
      <c r="T122" s="87"/>
      <c r="U122" s="12"/>
      <c r="V122" s="12"/>
      <c r="W122" s="12"/>
      <c r="X122" s="12" t="s">
        <v>41</v>
      </c>
      <c r="Y122" s="88"/>
      <c r="Z122" s="12" t="s">
        <v>43</v>
      </c>
      <c r="AA122" s="8"/>
      <c r="AB122" s="8"/>
      <c r="AC122" s="8"/>
    </row>
    <row r="123" spans="2:29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82"/>
      <c r="M123" s="25"/>
      <c r="N123" s="113"/>
      <c r="O123" s="113"/>
      <c r="P123" s="113"/>
      <c r="Q123" s="25"/>
      <c r="R123" s="25"/>
      <c r="T123" s="87"/>
      <c r="U123" s="12"/>
      <c r="V123" s="12"/>
      <c r="W123" s="12"/>
      <c r="X123" s="12"/>
      <c r="Y123" s="88"/>
      <c r="Z123" s="12"/>
      <c r="AA123" s="8"/>
      <c r="AB123" s="8"/>
      <c r="AC123" s="8"/>
    </row>
    <row r="124" spans="2:29">
      <c r="B124" s="25"/>
      <c r="C124" s="25"/>
      <c r="D124" s="145"/>
      <c r="E124" s="145"/>
      <c r="F124" s="145"/>
      <c r="G124" s="145"/>
      <c r="H124" s="145"/>
      <c r="I124" s="146"/>
      <c r="J124" s="146"/>
      <c r="K124" s="25"/>
      <c r="L124" s="82"/>
      <c r="M124" s="25"/>
      <c r="N124" s="113"/>
      <c r="O124" s="113"/>
      <c r="P124" s="113"/>
      <c r="Q124" s="25"/>
      <c r="R124" s="25"/>
      <c r="T124" s="87"/>
      <c r="U124" s="12"/>
      <c r="V124" s="12"/>
      <c r="W124" s="12"/>
      <c r="X124" s="12"/>
      <c r="Y124" s="88"/>
      <c r="Z124" s="12"/>
      <c r="AA124" s="8"/>
      <c r="AB124" s="8"/>
      <c r="AC124" s="8"/>
    </row>
    <row r="125" spans="2:29" ht="409.6">
      <c r="B125" s="25"/>
      <c r="C125" s="25"/>
      <c r="D125" s="149"/>
      <c r="E125" s="150"/>
      <c r="F125" s="150"/>
      <c r="G125" s="150"/>
      <c r="H125" s="151"/>
      <c r="I125" s="146"/>
      <c r="J125" s="172" t="s">
        <v>148</v>
      </c>
      <c r="K125" s="25"/>
      <c r="L125" s="82"/>
      <c r="M125" s="25"/>
      <c r="N125" s="113"/>
      <c r="O125" s="113"/>
      <c r="P125" s="113"/>
      <c r="Q125" s="25"/>
      <c r="R125" s="25"/>
      <c r="T125" s="87"/>
      <c r="U125" s="12"/>
      <c r="V125" s="12"/>
      <c r="W125" s="12"/>
      <c r="X125" s="12"/>
      <c r="Y125" s="88"/>
      <c r="Z125" s="12"/>
      <c r="AA125" s="8"/>
      <c r="AB125" s="8"/>
      <c r="AC125" s="8"/>
    </row>
    <row r="126" spans="2:29">
      <c r="B126" s="145"/>
      <c r="C126" s="145"/>
      <c r="D126" s="153"/>
      <c r="E126" s="146"/>
      <c r="F126" s="146"/>
      <c r="G126" s="146"/>
      <c r="H126" s="154"/>
      <c r="I126" s="147"/>
      <c r="J126" s="172"/>
      <c r="K126" s="146"/>
      <c r="L126" s="147"/>
      <c r="M126" s="147"/>
      <c r="N126" s="147"/>
      <c r="O126" s="147"/>
      <c r="P126" s="147"/>
      <c r="Q126" s="147"/>
      <c r="R126" s="147"/>
      <c r="T126" s="12"/>
      <c r="U126" s="12"/>
      <c r="V126" s="12"/>
      <c r="W126" s="12"/>
      <c r="X126" s="12"/>
      <c r="Y126" s="12"/>
      <c r="Z126" s="12"/>
    </row>
    <row r="127" spans="2:29" ht="15" customHeight="1">
      <c r="B127" s="209" t="s">
        <v>147</v>
      </c>
      <c r="C127" s="148"/>
      <c r="D127" s="155"/>
      <c r="E127" s="156"/>
      <c r="F127" s="156"/>
      <c r="G127" s="156"/>
      <c r="H127" s="157"/>
      <c r="I127" s="147"/>
      <c r="J127" s="172"/>
      <c r="K127" s="172"/>
      <c r="L127" s="172"/>
      <c r="M127" s="172"/>
      <c r="N127" s="172"/>
      <c r="O127" s="172"/>
      <c r="P127" s="172"/>
      <c r="Q127" s="172"/>
      <c r="R127" s="172"/>
      <c r="T127" s="12"/>
      <c r="U127" s="12"/>
    </row>
    <row r="128" spans="2:29">
      <c r="B128" s="209"/>
      <c r="C128" s="152"/>
      <c r="D128" s="145"/>
      <c r="E128" s="156"/>
      <c r="F128" s="156"/>
      <c r="G128" s="156"/>
      <c r="H128" s="157"/>
      <c r="I128" s="147"/>
      <c r="J128" s="172"/>
      <c r="K128" s="172"/>
      <c r="L128" s="172"/>
      <c r="M128" s="172"/>
      <c r="N128" s="172"/>
      <c r="O128" s="172"/>
      <c r="P128" s="172"/>
      <c r="Q128" s="172"/>
      <c r="R128" s="172"/>
      <c r="T128" s="12"/>
      <c r="U128" s="12"/>
    </row>
    <row r="129" spans="2:27" ht="15" customHeight="1">
      <c r="B129" s="209"/>
      <c r="C129" s="152"/>
      <c r="D129" s="158"/>
      <c r="E129" s="147"/>
      <c r="F129" s="147"/>
      <c r="G129" s="147"/>
      <c r="H129" s="159"/>
      <c r="I129" s="147"/>
      <c r="J129" s="172"/>
      <c r="K129" s="172"/>
      <c r="L129" s="172"/>
      <c r="M129" s="172"/>
      <c r="N129" s="172"/>
      <c r="O129" s="172"/>
      <c r="P129" s="172"/>
      <c r="Q129" s="172"/>
      <c r="R129" s="172"/>
      <c r="T129" s="12"/>
      <c r="U129" s="12"/>
    </row>
    <row r="130" spans="2:27">
      <c r="B130" s="209"/>
      <c r="C130" s="152"/>
      <c r="D130" s="158"/>
      <c r="E130" s="147"/>
      <c r="F130" s="147"/>
      <c r="G130" s="147"/>
      <c r="H130" s="159"/>
      <c r="I130" s="147"/>
      <c r="J130" s="172"/>
      <c r="K130" s="172"/>
      <c r="L130" s="172"/>
      <c r="M130" s="172"/>
      <c r="N130" s="172"/>
      <c r="O130" s="172"/>
      <c r="P130" s="172"/>
      <c r="Q130" s="172"/>
      <c r="R130" s="172"/>
      <c r="T130" s="12"/>
      <c r="U130" s="12"/>
    </row>
    <row r="131" spans="2:27">
      <c r="B131" s="209"/>
      <c r="C131" s="152"/>
      <c r="D131" s="161"/>
      <c r="E131" s="162"/>
      <c r="F131" s="162"/>
      <c r="G131" s="162"/>
      <c r="H131" s="163"/>
      <c r="I131" s="147"/>
      <c r="J131" s="147"/>
      <c r="K131" s="172"/>
      <c r="L131" s="172"/>
      <c r="M131" s="172"/>
      <c r="N131" s="172"/>
      <c r="O131" s="172"/>
      <c r="P131" s="172"/>
      <c r="Q131" s="172"/>
      <c r="R131" s="172"/>
      <c r="T131" s="12"/>
      <c r="U131" s="12"/>
    </row>
    <row r="132" spans="2:27">
      <c r="B132" s="209"/>
      <c r="C132" s="152"/>
      <c r="D132" s="73"/>
      <c r="E132" s="73"/>
      <c r="F132" s="73"/>
      <c r="G132" s="73"/>
      <c r="H132" s="73"/>
      <c r="I132" s="73"/>
      <c r="J132" s="73"/>
      <c r="K132" s="172"/>
      <c r="L132" s="172"/>
      <c r="M132" s="172"/>
      <c r="N132" s="172"/>
      <c r="O132" s="172"/>
      <c r="P132" s="172"/>
      <c r="Q132" s="172"/>
      <c r="R132" s="172"/>
      <c r="T132" s="12"/>
      <c r="U132" s="12"/>
    </row>
    <row r="133" spans="2:27">
      <c r="B133" s="209"/>
      <c r="C133" s="160"/>
      <c r="K133" s="147"/>
      <c r="L133" s="147"/>
      <c r="M133" s="147"/>
      <c r="N133" s="147"/>
      <c r="O133" s="147"/>
      <c r="P133" s="147"/>
      <c r="Q133" s="147"/>
      <c r="R133" s="147"/>
      <c r="T133" s="12"/>
      <c r="U133" s="12"/>
    </row>
    <row r="134" spans="2:27">
      <c r="B134" s="73"/>
      <c r="C134" s="73"/>
      <c r="D134" s="93"/>
      <c r="E134" s="93"/>
      <c r="F134" s="93"/>
      <c r="G134" s="93"/>
      <c r="H134" s="93"/>
      <c r="I134" s="93"/>
      <c r="J134" s="93"/>
      <c r="K134" s="73"/>
      <c r="L134" s="73"/>
      <c r="M134" s="73"/>
      <c r="N134" s="73"/>
      <c r="O134" s="73"/>
      <c r="P134" s="73"/>
      <c r="Q134" s="73"/>
      <c r="R134" s="73"/>
      <c r="T134" s="88" t="b">
        <v>1</v>
      </c>
      <c r="U134" s="12"/>
    </row>
    <row r="135" spans="2:27">
      <c r="D135" s="93"/>
      <c r="E135" s="93"/>
      <c r="F135" s="93"/>
      <c r="G135" s="93"/>
      <c r="H135" s="93"/>
      <c r="I135" s="93"/>
      <c r="J135" s="93"/>
    </row>
    <row r="136" spans="2:27"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T136" s="6"/>
      <c r="U136" s="6"/>
    </row>
    <row r="137" spans="2:27">
      <c r="B137" s="93"/>
      <c r="C137" s="93"/>
      <c r="K137" s="93"/>
      <c r="L137" s="93"/>
      <c r="M137" s="93"/>
      <c r="N137" s="93"/>
      <c r="O137" s="93"/>
      <c r="P137" s="93"/>
      <c r="Q137" s="93"/>
      <c r="R137" s="93"/>
      <c r="T137" s="6"/>
      <c r="U137" s="6"/>
    </row>
    <row r="138" spans="2:27">
      <c r="B138" s="93"/>
      <c r="C138" s="93"/>
      <c r="K138" s="93"/>
      <c r="L138" s="93"/>
      <c r="M138" s="93"/>
      <c r="N138" s="93"/>
      <c r="O138" s="93"/>
      <c r="P138" s="93"/>
      <c r="Q138" s="93"/>
      <c r="R138" s="93"/>
      <c r="T138" s="6"/>
      <c r="U138" s="6"/>
    </row>
    <row r="139" spans="2:27" ht="122.25" customHeight="1">
      <c r="T139" s="6"/>
      <c r="U139" s="6"/>
      <c r="W139" s="12"/>
      <c r="AA139" s="12">
        <v>1</v>
      </c>
    </row>
    <row r="140" spans="2:27" ht="129" customHeight="1">
      <c r="T140" s="6"/>
      <c r="U140" s="6"/>
      <c r="W140" s="12"/>
      <c r="AA140" s="12">
        <v>0</v>
      </c>
    </row>
    <row r="141" spans="2:27">
      <c r="B141" s="94"/>
      <c r="T141" s="6"/>
      <c r="U141" s="6"/>
    </row>
    <row r="142" spans="2:27">
      <c r="T142" s="16"/>
      <c r="U142" s="17"/>
    </row>
  </sheetData>
  <mergeCells count="74">
    <mergeCell ref="J1:M1"/>
    <mergeCell ref="H5:R8"/>
    <mergeCell ref="D10:F10"/>
    <mergeCell ref="J10:K10"/>
    <mergeCell ref="B12:B16"/>
    <mergeCell ref="C12:J13"/>
    <mergeCell ref="D15:G15"/>
    <mergeCell ref="H15:I15"/>
    <mergeCell ref="D27:E27"/>
    <mergeCell ref="D28:E28"/>
    <mergeCell ref="D29:E29"/>
    <mergeCell ref="D23:E23"/>
    <mergeCell ref="F1:H1"/>
    <mergeCell ref="D41:E41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Q64:Q68"/>
    <mergeCell ref="D63:F63"/>
    <mergeCell ref="D75:F76"/>
    <mergeCell ref="D81:F81"/>
    <mergeCell ref="D42:E42"/>
    <mergeCell ref="D43:E43"/>
    <mergeCell ref="D44:E44"/>
    <mergeCell ref="D45:E45"/>
    <mergeCell ref="D46:E46"/>
    <mergeCell ref="D47:E47"/>
    <mergeCell ref="D84:F84"/>
    <mergeCell ref="F88:H88"/>
    <mergeCell ref="B92:B96"/>
    <mergeCell ref="D94:F94"/>
    <mergeCell ref="D51:F51"/>
    <mergeCell ref="D54:F54"/>
    <mergeCell ref="O96:P96"/>
    <mergeCell ref="D95:F95"/>
    <mergeCell ref="O97:P97"/>
    <mergeCell ref="D96:F96"/>
    <mergeCell ref="O98:P98"/>
    <mergeCell ref="O102:P102"/>
    <mergeCell ref="O103:P103"/>
    <mergeCell ref="O104:P104"/>
    <mergeCell ref="D97:F97"/>
    <mergeCell ref="O99:P99"/>
    <mergeCell ref="O100:P100"/>
    <mergeCell ref="O101:P101"/>
    <mergeCell ref="D108:F108"/>
    <mergeCell ref="O110:P110"/>
    <mergeCell ref="O105:P105"/>
    <mergeCell ref="O106:P106"/>
    <mergeCell ref="O107:P107"/>
    <mergeCell ref="K23:L23"/>
    <mergeCell ref="N121:P121"/>
    <mergeCell ref="N122:P122"/>
    <mergeCell ref="B127:B133"/>
    <mergeCell ref="D113:F113"/>
    <mergeCell ref="O115:P115"/>
    <mergeCell ref="O118:P118"/>
    <mergeCell ref="O119:P119"/>
    <mergeCell ref="N120:P120"/>
    <mergeCell ref="O111:P111"/>
    <mergeCell ref="O112:P112"/>
    <mergeCell ref="D112:F112"/>
    <mergeCell ref="O114:P114"/>
    <mergeCell ref="D106:F106"/>
    <mergeCell ref="O108:P108"/>
    <mergeCell ref="O109:P109"/>
  </mergeCells>
  <conditionalFormatting sqref="C121"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D126">
    <cfRule type="containsText" dxfId="1" priority="1" operator="containsText" text="Konieczne jest założenie karty urządzenia w CRO oraz wykonywanie corocznej kontroli szczelności układu chłodniczego.">
      <formula>NOT(ISERROR(SEARCH("Konieczne jest założenie karty urządzenia w CRO oraz wykonywanie corocznej kontroli szczelności układu chłodniczego.",D126)))</formula>
    </cfRule>
  </conditionalFormatting>
  <dataValidations count="5">
    <dataValidation type="list" allowBlank="1" showInputMessage="1" showErrorMessage="1" sqref="I31" xr:uid="{A24D53A4-B0D3-4240-AFC1-0029BC684E83}">
      <formula1>miasta</formula1>
    </dataValidation>
    <dataValidation type="list" allowBlank="1" showInputMessage="1" showErrorMessage="1" sqref="M46" xr:uid="{2FBAD9EE-258B-4358-BB35-0AB8DF953C42}">
      <formula1>pompy_ciepla_wybor</formula1>
    </dataValidation>
    <dataValidation type="list" allowBlank="1" showInputMessage="1" showErrorMessage="1" sqref="M48" xr:uid="{669521CB-729E-4930-A170-00BFE5C65B89}">
      <formula1>drugie_zr_c</formula1>
    </dataValidation>
    <dataValidation type="whole" allowBlank="1" showInputMessage="1" showErrorMessage="1" sqref="I16" xr:uid="{146D7873-0173-4E1E-BCA9-E3E5AF74D5E1}">
      <formula1>10</formula1>
      <formula2>600</formula2>
    </dataValidation>
    <dataValidation type="list" allowBlank="1" showInputMessage="1" showErrorMessage="1" sqref="H15:I15" xr:uid="{92C44FC9-DE61-4CA2-B54E-25BAB4512BF1}">
      <formula1>$T$14:$T$15</formula1>
    </dataValidation>
  </dataValidations>
  <printOptions horizontalCentered="1"/>
  <pageMargins left="0" right="0" top="0.39370078740157505" bottom="0.39370078740157505" header="0" footer="0"/>
  <pageSetup paperSize="9" scale="64" fitToHeight="2" orientation="portrait" r:id="rId1"/>
  <rowBreaks count="1" manualBreakCount="1">
    <brk id="89" max="16383" man="1"/>
  </rowBreaks>
  <colBreaks count="1" manualBreakCount="1">
    <brk id="1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78664B29-9D2A-4CF5-AB87-34D90A0E766C}">
          <x14:formula1>
            <xm:f>Cennik!$F$29:$F$30</xm:f>
          </x14:formula1>
          <xm:sqref>D51:F51</xm:sqref>
        </x14:dataValidation>
        <x14:dataValidation type="list" allowBlank="1" showInputMessage="1" showErrorMessage="1" xr:uid="{F067DCF4-4CD6-4077-A432-7F76C77A2038}">
          <x14:formula1>
            <xm:f>Cennik!$F$37:$F$39</xm:f>
          </x14:formula1>
          <xm:sqref>D75:F76</xm:sqref>
        </x14:dataValidation>
        <x14:dataValidation type="list" allowBlank="1" showInputMessage="1" showErrorMessage="1" xr:uid="{DADF84BB-EE54-4ACA-A5DC-101668CE8688}">
          <x14:formula1>
            <xm:f>Cennik!$F$34:$F$36</xm:f>
          </x14:formula1>
          <xm:sqref>D63</xm:sqref>
        </x14:dataValidation>
        <x14:dataValidation type="list" allowBlank="1" showInputMessage="1" showErrorMessage="1" xr:uid="{8C48FF76-3656-42EA-A6E1-C91AC47B0966}">
          <x14:formula1>
            <xm:f>Cennik!$F$23:$F$26</xm:f>
          </x14:formula1>
          <xm:sqref>D84:F84</xm:sqref>
        </x14:dataValidation>
        <x14:dataValidation type="list" allowBlank="1" showInputMessage="1" showErrorMessage="1" xr:uid="{CCAE6381-9BE6-41FE-93D2-E759A04D58FE}">
          <x14:formula1>
            <xm:f>Cennik!$F$31:$F$32</xm:f>
          </x14:formula1>
          <xm:sqref>D54:F54</xm:sqref>
        </x14:dataValidation>
        <x14:dataValidation type="list" allowBlank="1" showInputMessage="1" showErrorMessage="1" xr:uid="{C02955A9-4450-41CB-86C0-4FAA1FE52AA3}">
          <x14:formula1>
            <xm:f>Cennik!$F$5:$F$8</xm:f>
          </x14:formula1>
          <xm:sqref>D94</xm:sqref>
        </x14:dataValidation>
        <x14:dataValidation type="list" allowBlank="1" showInputMessage="1" showErrorMessage="1" xr:uid="{DADCD214-179E-4979-8D05-2E28FA84D867}">
          <x14:formula1>
            <xm:f>Cennik!$F$11:$F$21</xm:f>
          </x14:formula1>
          <xm:sqref>D95</xm:sqref>
        </x14:dataValidation>
        <x14:dataValidation type="list" allowBlank="1" showInputMessage="1" showErrorMessage="1" xr:uid="{A5600337-75A0-4E6B-996D-2A0C198C9A14}">
          <x14:formula1>
            <xm:f>Cennik!$F$41:$F$41</xm:f>
          </x14:formula1>
          <xm:sqref>D81:F81</xm:sqref>
        </x14:dataValidation>
        <x14:dataValidation type="list" allowBlank="1" showInputMessage="1" showErrorMessage="1" xr:uid="{3B15446C-E668-444B-9D04-209BEDCD9D5A}">
          <x14:formula1>
            <xm:f>Cennik!$F$28:$F$59</xm:f>
          </x14:formula1>
          <xm:sqref>D112:F113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rgb="FF00B050"/>
    <pageSetUpPr fitToPage="1"/>
  </sheetPr>
  <dimension ref="A1:AO141"/>
  <sheetViews>
    <sheetView tabSelected="1" zoomScaleNormal="100" workbookViewId="0">
      <selection activeCell="L11" sqref="L11"/>
    </sheetView>
  </sheetViews>
  <sheetFormatPr defaultColWidth="9.109375" defaultRowHeight="14.4"/>
  <cols>
    <col min="1" max="1" width="3.109375" style="5" customWidth="1"/>
    <col min="2" max="2" width="3.44140625" style="5" customWidth="1"/>
    <col min="3" max="3" width="8.44140625" style="5" customWidth="1"/>
    <col min="4" max="5" width="11.33203125" style="5" customWidth="1"/>
    <col min="6" max="6" width="11.5546875" style="5" customWidth="1"/>
    <col min="7" max="7" width="12.33203125" style="5" customWidth="1"/>
    <col min="8" max="8" width="17" style="5" customWidth="1"/>
    <col min="9" max="9" width="13.44140625" style="5" customWidth="1"/>
    <col min="10" max="10" width="9.44140625" style="5" customWidth="1"/>
    <col min="11" max="11" width="9.5546875" style="5" customWidth="1"/>
    <col min="12" max="12" width="10.33203125" style="5" customWidth="1"/>
    <col min="13" max="13" width="6.5546875" style="5" bestFit="1" customWidth="1"/>
    <col min="14" max="14" width="6.109375" style="5" customWidth="1"/>
    <col min="15" max="15" width="7" style="5" customWidth="1"/>
    <col min="16" max="16" width="4.88671875" style="5" customWidth="1"/>
    <col min="17" max="17" width="13" style="5" customWidth="1"/>
    <col min="18" max="18" width="5.6640625" style="5" customWidth="1"/>
    <col min="19" max="19" width="9.109375" style="12" customWidth="1"/>
    <col min="20" max="22" width="9.109375" style="5" customWidth="1"/>
    <col min="23" max="23" width="26.44140625" style="5" customWidth="1"/>
    <col min="24" max="27" width="9.109375" style="5" customWidth="1"/>
    <col min="28" max="28" width="25" style="5" customWidth="1"/>
    <col min="29" max="29" width="9.109375" style="5" customWidth="1"/>
    <col min="30" max="16384" width="9.109375" style="5"/>
  </cols>
  <sheetData>
    <row r="1" spans="1:41" ht="33.75" customHeight="1">
      <c r="A1" s="1"/>
      <c r="B1" s="2"/>
      <c r="C1" s="2"/>
      <c r="D1" s="2"/>
      <c r="E1" s="2"/>
      <c r="F1" s="191" t="str">
        <f>"Moc generatora PV : "&amp;G119&amp;" kWp"</f>
        <v>Moc generatora PV : 11,745 kWp</v>
      </c>
      <c r="G1" s="191"/>
      <c r="H1" s="191"/>
      <c r="I1" s="3"/>
      <c r="J1" s="191" t="str">
        <f>"Dane klienta : " &amp;L10</f>
        <v>Dane klienta : jak</v>
      </c>
      <c r="K1" s="191"/>
      <c r="L1" s="191"/>
      <c r="M1" s="191"/>
      <c r="N1" s="3"/>
      <c r="O1" s="3"/>
      <c r="P1" s="3"/>
      <c r="Q1" s="144">
        <f ca="1">TODAY()</f>
        <v>45096</v>
      </c>
      <c r="R1" s="3"/>
      <c r="S1" s="4"/>
      <c r="U1" s="6"/>
      <c r="V1" s="6"/>
      <c r="W1" s="7"/>
      <c r="X1" s="7"/>
      <c r="Y1" s="8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ht="15" customHeight="1">
      <c r="A2" s="1"/>
      <c r="B2" s="9"/>
      <c r="S2" s="4"/>
      <c r="U2" s="6"/>
      <c r="V2" s="6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ht="15" customHeight="1">
      <c r="A3" s="1"/>
      <c r="B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6"/>
      <c r="W3" s="7"/>
      <c r="X3" s="7"/>
      <c r="Y3" s="8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ht="15" customHeight="1">
      <c r="A4" s="1"/>
      <c r="B4" s="9"/>
      <c r="D4" s="10"/>
      <c r="E4" s="10"/>
      <c r="F4" s="10"/>
      <c r="G4" s="10"/>
      <c r="I4" s="11"/>
      <c r="J4" s="11"/>
      <c r="K4" s="11"/>
      <c r="L4" s="11"/>
      <c r="M4" s="11"/>
      <c r="N4" s="11"/>
      <c r="O4" s="11"/>
      <c r="P4" s="11"/>
      <c r="Q4" s="11"/>
      <c r="R4" s="11"/>
      <c r="T4" s="10"/>
      <c r="U4" s="10"/>
      <c r="V4" s="6"/>
      <c r="W4" s="7"/>
      <c r="X4" s="7"/>
      <c r="Y4" s="8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8"/>
      <c r="AN4" s="8"/>
      <c r="AO4" s="8"/>
    </row>
    <row r="5" spans="1:41" ht="15" customHeight="1">
      <c r="A5" s="1"/>
      <c r="B5" s="9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3"/>
      <c r="U5" s="14"/>
      <c r="W5" s="7"/>
      <c r="X5" s="7"/>
      <c r="Y5" s="8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8"/>
      <c r="AN5" s="8"/>
      <c r="AO5" s="8"/>
    </row>
    <row r="6" spans="1:41" ht="15" customHeight="1">
      <c r="A6" s="1"/>
      <c r="B6" s="9"/>
      <c r="F6" s="15"/>
      <c r="G6" s="15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4"/>
      <c r="U6" s="16"/>
      <c r="V6" s="17"/>
      <c r="W6" s="7"/>
      <c r="X6" s="7"/>
      <c r="Y6" s="8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8"/>
      <c r="AN6" s="8"/>
      <c r="AO6" s="8"/>
    </row>
    <row r="7" spans="1:41" ht="15" customHeight="1">
      <c r="A7" s="1"/>
      <c r="B7" s="9"/>
      <c r="E7" s="18"/>
      <c r="F7" s="19"/>
      <c r="G7" s="19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4"/>
      <c r="U7" s="16"/>
      <c r="V7" s="17"/>
      <c r="W7" s="7"/>
      <c r="X7" s="7"/>
      <c r="Y7" s="8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8"/>
      <c r="AN7" s="8"/>
      <c r="AO7" s="8"/>
    </row>
    <row r="8" spans="1:41" ht="15" customHeight="1">
      <c r="A8" s="1"/>
      <c r="F8" s="15"/>
      <c r="G8" s="15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4"/>
      <c r="U8" s="16"/>
      <c r="V8" s="17"/>
      <c r="W8" s="7"/>
      <c r="X8" s="7"/>
      <c r="Y8" s="8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8"/>
      <c r="AN8" s="8"/>
      <c r="AO8" s="8"/>
    </row>
    <row r="9" spans="1:41" ht="41.25" customHeight="1">
      <c r="A9" s="1"/>
      <c r="H9" s="20"/>
      <c r="I9" s="20"/>
      <c r="J9" s="20"/>
      <c r="K9" s="20"/>
      <c r="L9" s="20"/>
      <c r="M9" s="20"/>
      <c r="S9" s="4"/>
      <c r="U9" s="16"/>
      <c r="V9" s="17"/>
      <c r="W9" s="7"/>
      <c r="X9" s="7"/>
      <c r="Y9" s="8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8"/>
      <c r="AN9" s="8"/>
      <c r="AO9" s="8"/>
    </row>
    <row r="10" spans="1:41" ht="48" customHeight="1">
      <c r="A10" s="1"/>
      <c r="B10" s="21"/>
      <c r="C10" s="21"/>
      <c r="D10" s="193" t="s">
        <v>0</v>
      </c>
      <c r="E10" s="193"/>
      <c r="F10" s="193"/>
      <c r="G10" s="22">
        <f ca="1">TODAY()</f>
        <v>45096</v>
      </c>
      <c r="H10" s="22"/>
      <c r="I10" s="23"/>
      <c r="J10" s="194" t="s">
        <v>1</v>
      </c>
      <c r="K10" s="194"/>
      <c r="L10" s="24" t="s">
        <v>171</v>
      </c>
      <c r="M10" s="23"/>
      <c r="N10" s="23"/>
      <c r="O10" s="23"/>
      <c r="P10" s="23"/>
      <c r="Q10" s="23"/>
      <c r="R10" s="23"/>
      <c r="S10" s="4"/>
      <c r="U10" s="16"/>
      <c r="V10" s="17"/>
      <c r="W10" s="7"/>
      <c r="X10" s="7"/>
      <c r="Y10" s="8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8"/>
      <c r="AN10" s="8"/>
      <c r="AO10" s="8"/>
    </row>
    <row r="11" spans="1:41" ht="11.25" customHeight="1">
      <c r="A11" s="1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4"/>
      <c r="U11" s="16"/>
      <c r="V11" s="17"/>
      <c r="W11" s="7"/>
      <c r="X11" s="7"/>
      <c r="Y11" s="8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8"/>
      <c r="AN11" s="8"/>
      <c r="AO11" s="8"/>
    </row>
    <row r="12" spans="1:41" ht="15" customHeight="1">
      <c r="A12" s="1"/>
      <c r="B12" s="187" t="s">
        <v>3</v>
      </c>
      <c r="C12" s="188" t="s">
        <v>4</v>
      </c>
      <c r="D12" s="188"/>
      <c r="E12" s="188"/>
      <c r="F12" s="188"/>
      <c r="G12" s="188"/>
      <c r="H12" s="188"/>
      <c r="I12" s="188"/>
      <c r="J12" s="188"/>
      <c r="K12" s="25"/>
      <c r="L12" s="25"/>
      <c r="M12" s="25"/>
      <c r="N12" s="25"/>
      <c r="O12" s="25"/>
      <c r="P12" s="25"/>
      <c r="Q12" s="25"/>
      <c r="R12" s="25"/>
      <c r="S12" s="4"/>
      <c r="U12" s="16"/>
      <c r="V12" s="17"/>
      <c r="W12" s="7"/>
      <c r="X12" s="7"/>
      <c r="Y12" s="8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8"/>
      <c r="AN12" s="8"/>
      <c r="AO12" s="8"/>
    </row>
    <row r="13" spans="1:41" ht="15" customHeight="1">
      <c r="A13" s="1"/>
      <c r="B13" s="187"/>
      <c r="C13" s="188"/>
      <c r="D13" s="188"/>
      <c r="E13" s="188"/>
      <c r="F13" s="188"/>
      <c r="G13" s="188"/>
      <c r="H13" s="188"/>
      <c r="I13" s="188"/>
      <c r="J13" s="188"/>
      <c r="K13" s="25"/>
      <c r="L13" s="25"/>
      <c r="M13" s="25"/>
      <c r="N13" s="25"/>
      <c r="O13" s="25"/>
      <c r="P13" s="25"/>
      <c r="Q13" s="25"/>
      <c r="R13" s="25"/>
      <c r="S13" s="4"/>
      <c r="U13" s="16"/>
      <c r="V13" s="17"/>
      <c r="W13" s="7"/>
      <c r="X13" s="7"/>
      <c r="Y13" s="8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8"/>
      <c r="AN13" s="8"/>
      <c r="AO13" s="8"/>
    </row>
    <row r="14" spans="1:41" ht="11.25" customHeight="1">
      <c r="A14" s="1"/>
      <c r="B14" s="187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4"/>
      <c r="U14" s="16"/>
      <c r="V14" s="17"/>
      <c r="W14" s="7"/>
      <c r="X14" s="7"/>
      <c r="Y14" s="8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8"/>
      <c r="AN14" s="8"/>
      <c r="AO14" s="8"/>
    </row>
    <row r="15" spans="1:41" ht="29.25" customHeight="1">
      <c r="A15" s="1"/>
      <c r="B15" s="187"/>
      <c r="C15" s="25"/>
      <c r="D15" s="189" t="s">
        <v>5</v>
      </c>
      <c r="E15" s="189"/>
      <c r="F15" s="189"/>
      <c r="G15" s="189"/>
      <c r="H15" s="190" t="s">
        <v>70</v>
      </c>
      <c r="I15" s="190"/>
      <c r="J15" s="27" t="s">
        <v>7</v>
      </c>
      <c r="K15" s="25"/>
      <c r="L15" s="25"/>
      <c r="M15" s="25"/>
      <c r="N15" s="25"/>
      <c r="O15" s="25"/>
      <c r="P15" s="25"/>
      <c r="Q15" s="25"/>
      <c r="R15" s="25"/>
      <c r="S15" s="4"/>
      <c r="U15" s="16"/>
      <c r="V15" s="17"/>
      <c r="W15" s="7"/>
      <c r="X15" s="7"/>
      <c r="Y15" s="8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8"/>
      <c r="AN15" s="8"/>
      <c r="AO15" s="8"/>
    </row>
    <row r="16" spans="1:41" ht="15.75" customHeight="1">
      <c r="B16" s="187"/>
      <c r="C16" s="28"/>
      <c r="D16" s="28"/>
      <c r="E16" s="28"/>
      <c r="F16" s="28"/>
      <c r="G16" s="28"/>
      <c r="H16" s="29"/>
      <c r="I16" s="30"/>
      <c r="J16" s="25"/>
      <c r="K16" s="25"/>
      <c r="L16" s="31"/>
      <c r="M16" s="31"/>
      <c r="N16" s="31"/>
      <c r="O16" s="31"/>
      <c r="P16" s="31"/>
      <c r="Q16" s="31"/>
      <c r="R16" s="31"/>
    </row>
    <row r="17" spans="1:18" ht="15" customHeight="1">
      <c r="B17" s="25"/>
      <c r="C17" s="25"/>
      <c r="D17" s="195" t="s">
        <v>8</v>
      </c>
      <c r="E17" s="195"/>
      <c r="F17" s="195"/>
      <c r="G17" s="195"/>
      <c r="H17" s="28"/>
      <c r="I17" s="196">
        <v>805</v>
      </c>
      <c r="J17" s="197" t="s">
        <v>9</v>
      </c>
      <c r="K17" s="25"/>
      <c r="L17" s="32"/>
      <c r="M17" s="33"/>
      <c r="N17" s="25"/>
      <c r="O17" s="25"/>
      <c r="P17" s="33"/>
      <c r="Q17" s="33"/>
      <c r="R17" s="33"/>
    </row>
    <row r="18" spans="1:18" ht="15.75" customHeight="1">
      <c r="B18" s="25"/>
      <c r="C18" s="25"/>
      <c r="D18" s="195"/>
      <c r="E18" s="195"/>
      <c r="F18" s="195"/>
      <c r="G18" s="195"/>
      <c r="H18" s="28"/>
      <c r="I18" s="196"/>
      <c r="J18" s="197"/>
      <c r="K18" s="34"/>
      <c r="L18" s="32"/>
      <c r="M18" s="33"/>
      <c r="N18" s="25"/>
      <c r="O18" s="25"/>
      <c r="P18" s="33"/>
      <c r="Q18" s="33"/>
      <c r="R18" s="33"/>
    </row>
    <row r="19" spans="1:18" ht="15.75" customHeight="1">
      <c r="B19" s="25"/>
      <c r="C19" s="25"/>
      <c r="D19" s="35"/>
      <c r="E19" s="35"/>
      <c r="F19" s="35"/>
      <c r="G19" s="35"/>
      <c r="H19" s="28"/>
      <c r="I19" s="36"/>
      <c r="J19" s="37"/>
      <c r="K19" s="34"/>
      <c r="L19" s="32"/>
      <c r="M19" s="33"/>
      <c r="N19" s="25"/>
      <c r="O19" s="25"/>
      <c r="P19" s="33"/>
      <c r="Q19" s="33"/>
      <c r="R19" s="33"/>
    </row>
    <row r="20" spans="1:18" ht="12" hidden="1" customHeight="1">
      <c r="B20" s="25"/>
      <c r="C20" s="25"/>
      <c r="D20" s="35"/>
      <c r="E20" s="35"/>
      <c r="F20" s="35"/>
      <c r="G20" s="35"/>
      <c r="H20" s="28"/>
      <c r="I20" s="36"/>
      <c r="J20" s="37"/>
      <c r="K20" s="34"/>
      <c r="L20" s="32"/>
      <c r="M20" s="33"/>
      <c r="N20" s="25"/>
      <c r="O20" s="25"/>
      <c r="P20" s="33"/>
      <c r="Q20" s="33"/>
      <c r="R20" s="33"/>
    </row>
    <row r="21" spans="1:18" ht="15" customHeight="1">
      <c r="B21" s="25"/>
      <c r="C21" s="25"/>
      <c r="D21" s="38"/>
      <c r="E21" s="39"/>
      <c r="F21" s="39"/>
      <c r="G21" s="38"/>
      <c r="H21" s="28"/>
      <c r="I21" s="25"/>
      <c r="J21" s="25"/>
      <c r="K21" s="34"/>
      <c r="L21" s="32"/>
      <c r="M21" s="33"/>
      <c r="N21" s="25"/>
      <c r="O21" s="25"/>
      <c r="P21" s="33"/>
      <c r="Q21" s="33"/>
      <c r="R21" s="33"/>
    </row>
    <row r="22" spans="1:18" ht="15" customHeight="1">
      <c r="B22" s="25"/>
      <c r="C22" s="25"/>
      <c r="D22" s="40" t="s">
        <v>10</v>
      </c>
      <c r="E22" s="39"/>
      <c r="F22" s="39"/>
      <c r="G22" s="40" t="s">
        <v>11</v>
      </c>
      <c r="H22" s="28"/>
      <c r="I22" s="25"/>
      <c r="J22" s="25"/>
      <c r="K22" s="34"/>
      <c r="L22" s="32"/>
      <c r="M22" s="33"/>
      <c r="N22" s="25"/>
      <c r="O22" s="25"/>
      <c r="P22" s="33"/>
      <c r="Q22" s="33"/>
      <c r="R22" s="33"/>
    </row>
    <row r="23" spans="1:18" ht="15" customHeight="1">
      <c r="B23" s="25"/>
      <c r="C23" s="25"/>
      <c r="D23" s="38"/>
      <c r="E23" s="39"/>
      <c r="F23" s="39"/>
      <c r="G23" s="38"/>
      <c r="H23" s="28"/>
      <c r="I23" s="25"/>
      <c r="J23" s="25"/>
      <c r="K23" s="34"/>
      <c r="L23" s="32"/>
      <c r="M23" s="33"/>
      <c r="N23" s="25"/>
      <c r="O23" s="25"/>
      <c r="P23" s="33"/>
      <c r="Q23" s="33"/>
      <c r="R23" s="33"/>
    </row>
    <row r="24" spans="1:18" ht="15" customHeight="1">
      <c r="B24" s="25"/>
      <c r="C24" s="28"/>
      <c r="D24" s="189">
        <v>1</v>
      </c>
      <c r="E24" s="189"/>
      <c r="F24" s="41"/>
      <c r="G24" s="42">
        <v>8</v>
      </c>
      <c r="H24" s="29" t="s">
        <v>12</v>
      </c>
      <c r="I24" s="29"/>
      <c r="J24" s="43"/>
      <c r="K24" s="43"/>
      <c r="L24" s="32"/>
      <c r="M24" s="33"/>
      <c r="N24" s="25"/>
      <c r="O24" s="25"/>
      <c r="P24" s="33"/>
      <c r="Q24" s="33"/>
      <c r="R24" s="33"/>
    </row>
    <row r="25" spans="1:18" ht="15" customHeight="1">
      <c r="B25" s="25"/>
      <c r="C25" s="28"/>
      <c r="D25" s="189">
        <v>2</v>
      </c>
      <c r="E25" s="189"/>
      <c r="F25" s="41"/>
      <c r="G25" s="42">
        <v>6</v>
      </c>
      <c r="H25" s="29" t="s">
        <v>12</v>
      </c>
      <c r="I25" s="29"/>
      <c r="J25" s="43"/>
      <c r="K25" s="43"/>
      <c r="L25" s="32"/>
      <c r="M25" s="33"/>
      <c r="N25" s="25"/>
      <c r="O25" s="25"/>
      <c r="P25" s="33"/>
      <c r="Q25" s="33"/>
      <c r="R25" s="33"/>
    </row>
    <row r="26" spans="1:18" ht="15" customHeight="1">
      <c r="B26" s="25"/>
      <c r="C26" s="28"/>
      <c r="D26" s="189">
        <v>3</v>
      </c>
      <c r="E26" s="189"/>
      <c r="F26" s="28"/>
      <c r="G26" s="42">
        <v>0</v>
      </c>
      <c r="H26" s="29" t="s">
        <v>12</v>
      </c>
      <c r="I26" s="30"/>
      <c r="J26" s="25"/>
      <c r="K26" s="25"/>
      <c r="L26" s="25"/>
      <c r="M26" s="25"/>
      <c r="N26" s="25"/>
      <c r="O26" s="25"/>
      <c r="P26" s="25"/>
      <c r="Q26" s="25"/>
      <c r="R26" s="25"/>
    </row>
    <row r="27" spans="1:18" ht="15" customHeight="1">
      <c r="B27" s="25"/>
      <c r="C27" s="28"/>
      <c r="D27" s="189">
        <v>4</v>
      </c>
      <c r="E27" s="189"/>
      <c r="F27" s="41"/>
      <c r="G27" s="42">
        <v>5</v>
      </c>
      <c r="H27" s="29" t="s">
        <v>12</v>
      </c>
      <c r="I27" s="30"/>
      <c r="J27" s="25"/>
      <c r="K27" s="25"/>
      <c r="L27" s="31"/>
      <c r="M27" s="31"/>
      <c r="N27" s="31"/>
      <c r="O27" s="31"/>
      <c r="P27" s="31"/>
      <c r="Q27" s="31"/>
      <c r="R27" s="31"/>
    </row>
    <row r="28" spans="1:18" ht="15" customHeight="1">
      <c r="B28" s="25"/>
      <c r="C28" s="28"/>
      <c r="D28" s="189">
        <v>5</v>
      </c>
      <c r="E28" s="189"/>
      <c r="F28" s="41"/>
      <c r="G28" s="42">
        <v>5</v>
      </c>
      <c r="H28" s="29" t="s">
        <v>12</v>
      </c>
      <c r="I28" s="30"/>
      <c r="J28" s="25"/>
      <c r="K28" s="25"/>
      <c r="L28" s="25"/>
      <c r="M28" s="25"/>
      <c r="N28" s="25"/>
      <c r="O28" s="25"/>
      <c r="P28" s="25"/>
      <c r="Q28" s="25"/>
      <c r="R28" s="25"/>
    </row>
    <row r="29" spans="1:18" ht="15" customHeight="1">
      <c r="B29" s="25"/>
      <c r="C29" s="28"/>
      <c r="D29" s="189">
        <v>6</v>
      </c>
      <c r="E29" s="189"/>
      <c r="F29" s="28"/>
      <c r="G29" s="42">
        <v>5</v>
      </c>
      <c r="H29" s="29" t="s">
        <v>12</v>
      </c>
      <c r="I29" s="28"/>
      <c r="J29"/>
      <c r="K29" s="25"/>
      <c r="L29" s="25"/>
      <c r="M29" s="25"/>
      <c r="N29" s="25"/>
      <c r="O29" s="25"/>
      <c r="P29" s="25"/>
      <c r="Q29" s="25"/>
      <c r="R29" s="25"/>
    </row>
    <row r="30" spans="1:18">
      <c r="B30" s="25"/>
      <c r="C30" s="25"/>
      <c r="D30" s="189">
        <v>7</v>
      </c>
      <c r="E30" s="189"/>
      <c r="F30" s="41"/>
      <c r="G30" s="42">
        <v>0</v>
      </c>
      <c r="H30" s="29" t="s">
        <v>12</v>
      </c>
      <c r="I30" s="28"/>
      <c r="J30" s="25"/>
      <c r="K30" s="25"/>
      <c r="L30" s="25"/>
      <c r="M30" s="25"/>
      <c r="N30" s="25"/>
      <c r="O30" s="25"/>
      <c r="P30" s="25"/>
      <c r="Q30" s="25"/>
      <c r="R30" s="25"/>
    </row>
    <row r="31" spans="1:18">
      <c r="B31" s="25"/>
      <c r="C31" s="25"/>
      <c r="D31" s="189">
        <v>8</v>
      </c>
      <c r="E31" s="189"/>
      <c r="F31" s="41"/>
      <c r="G31" s="42">
        <v>0</v>
      </c>
      <c r="H31" s="29" t="s">
        <v>12</v>
      </c>
      <c r="I31" s="25"/>
      <c r="J31" s="25"/>
      <c r="K31" s="25"/>
      <c r="L31" s="25"/>
      <c r="M31" s="25"/>
      <c r="N31" s="25"/>
      <c r="O31" s="25"/>
      <c r="P31" s="25"/>
      <c r="Q31" s="25"/>
      <c r="R31" s="25"/>
    </row>
    <row r="32" spans="1:18" ht="15" customHeight="1">
      <c r="A32" s="183"/>
      <c r="B32" s="180"/>
      <c r="C32" s="184"/>
      <c r="D32" s="189">
        <v>9</v>
      </c>
      <c r="E32" s="189"/>
      <c r="F32" s="44"/>
      <c r="G32" s="42">
        <v>0</v>
      </c>
      <c r="H32" s="29" t="s">
        <v>12</v>
      </c>
      <c r="I32" s="25"/>
      <c r="J32" s="25"/>
      <c r="K32" s="44"/>
      <c r="L32" s="44"/>
      <c r="M32" s="44"/>
      <c r="N32" s="44"/>
      <c r="O32" s="44"/>
      <c r="P32" s="44"/>
      <c r="Q32" s="44"/>
      <c r="R32" s="44"/>
    </row>
    <row r="33" spans="1:18" ht="15" customHeight="1">
      <c r="A33" s="183"/>
      <c r="B33" s="180"/>
      <c r="C33" s="184"/>
      <c r="D33" s="189">
        <v>10</v>
      </c>
      <c r="E33" s="189"/>
      <c r="F33" s="44"/>
      <c r="G33" s="42">
        <v>0</v>
      </c>
      <c r="H33" s="29" t="s">
        <v>12</v>
      </c>
      <c r="I33" s="25"/>
      <c r="J33" s="25"/>
      <c r="K33" s="44"/>
      <c r="L33" s="44"/>
      <c r="M33" s="44"/>
      <c r="N33" s="44"/>
      <c r="O33" s="44"/>
      <c r="P33" s="44"/>
      <c r="Q33" s="44"/>
      <c r="R33" s="44"/>
    </row>
    <row r="34" spans="1:18">
      <c r="A34" s="183"/>
      <c r="B34" s="180"/>
      <c r="C34" s="180"/>
      <c r="D34" s="189">
        <v>11</v>
      </c>
      <c r="E34" s="189"/>
      <c r="F34" s="25"/>
      <c r="G34" s="42">
        <v>0</v>
      </c>
      <c r="H34" s="29" t="s">
        <v>12</v>
      </c>
      <c r="I34" s="25"/>
      <c r="J34" s="25"/>
      <c r="K34" s="25"/>
      <c r="L34" s="25"/>
      <c r="M34" s="25"/>
      <c r="N34" s="25"/>
      <c r="O34" s="25"/>
      <c r="P34" s="25"/>
      <c r="Q34" s="25"/>
      <c r="R34" s="25"/>
    </row>
    <row r="35" spans="1:18">
      <c r="A35" s="183"/>
      <c r="B35" s="180"/>
      <c r="C35" s="180"/>
      <c r="D35" s="189">
        <v>12</v>
      </c>
      <c r="E35" s="189"/>
      <c r="F35" s="25"/>
      <c r="G35" s="42">
        <v>0</v>
      </c>
      <c r="H35" s="29" t="s">
        <v>12</v>
      </c>
      <c r="I35" s="25"/>
      <c r="J35" s="25"/>
      <c r="K35" s="25"/>
      <c r="L35" s="25"/>
      <c r="M35" s="25"/>
      <c r="N35" s="25"/>
      <c r="O35" s="25"/>
      <c r="P35" s="25"/>
      <c r="Q35" s="25"/>
      <c r="R35" s="25"/>
    </row>
    <row r="36" spans="1:18">
      <c r="A36" s="183"/>
      <c r="B36" s="180"/>
      <c r="C36" s="180"/>
      <c r="D36" s="189">
        <v>13</v>
      </c>
      <c r="E36" s="189"/>
      <c r="F36" s="25"/>
      <c r="G36" s="42">
        <v>0</v>
      </c>
      <c r="H36" s="29" t="s">
        <v>12</v>
      </c>
      <c r="I36" s="25"/>
      <c r="J36" s="25"/>
      <c r="K36" s="25"/>
      <c r="L36" s="25"/>
      <c r="M36" s="25"/>
      <c r="N36" s="25"/>
      <c r="O36" s="25"/>
      <c r="P36" s="25"/>
      <c r="Q36" s="25"/>
      <c r="R36" s="25"/>
    </row>
    <row r="37" spans="1:18">
      <c r="A37" s="183"/>
      <c r="B37" s="180"/>
      <c r="C37" s="180"/>
      <c r="D37" s="189">
        <v>14</v>
      </c>
      <c r="E37" s="189"/>
      <c r="F37" s="25"/>
      <c r="G37" s="42">
        <v>0</v>
      </c>
      <c r="H37" s="29" t="s">
        <v>12</v>
      </c>
      <c r="I37" s="25"/>
      <c r="J37" s="25"/>
      <c r="K37" s="25"/>
      <c r="L37" s="25"/>
      <c r="M37" s="25"/>
      <c r="N37" s="25"/>
      <c r="O37" s="25"/>
      <c r="P37" s="25"/>
      <c r="Q37" s="25"/>
      <c r="R37" s="25"/>
    </row>
    <row r="38" spans="1:18">
      <c r="A38" s="183"/>
      <c r="B38" s="180"/>
      <c r="C38" s="180"/>
      <c r="D38" s="189">
        <v>15</v>
      </c>
      <c r="E38" s="189"/>
      <c r="F38" s="25"/>
      <c r="G38" s="42">
        <v>0</v>
      </c>
      <c r="H38" s="29" t="s">
        <v>12</v>
      </c>
      <c r="I38" s="25"/>
      <c r="J38" s="25"/>
      <c r="K38" s="25"/>
      <c r="L38" s="25"/>
      <c r="M38" s="25"/>
      <c r="N38" s="25"/>
      <c r="O38" s="25"/>
      <c r="P38" s="25"/>
      <c r="Q38" s="25"/>
      <c r="R38" s="25"/>
    </row>
    <row r="39" spans="1:18">
      <c r="A39" s="183"/>
      <c r="B39" s="180"/>
      <c r="C39" s="180"/>
      <c r="D39" s="189">
        <v>16</v>
      </c>
      <c r="E39" s="189"/>
      <c r="F39" s="25"/>
      <c r="G39" s="42">
        <v>0</v>
      </c>
      <c r="H39" s="29" t="s">
        <v>12</v>
      </c>
      <c r="I39" s="25"/>
      <c r="J39" s="25"/>
      <c r="K39" s="25"/>
      <c r="L39" s="25"/>
      <c r="M39" s="25"/>
      <c r="N39" s="25"/>
      <c r="O39" s="25"/>
      <c r="P39" s="25"/>
      <c r="Q39" s="25"/>
      <c r="R39" s="25"/>
    </row>
    <row r="40" spans="1:18">
      <c r="B40" s="25"/>
      <c r="C40" s="25"/>
      <c r="D40" s="189">
        <v>17</v>
      </c>
      <c r="E40" s="189"/>
      <c r="F40" s="25"/>
      <c r="G40" s="42">
        <v>0</v>
      </c>
      <c r="H40" s="29" t="s">
        <v>12</v>
      </c>
      <c r="I40" s="25"/>
      <c r="J40" s="25"/>
      <c r="K40" s="25"/>
      <c r="L40" s="25"/>
      <c r="M40" s="25"/>
      <c r="N40" s="25"/>
      <c r="O40" s="25"/>
      <c r="P40" s="25"/>
      <c r="Q40" s="25"/>
      <c r="R40" s="25"/>
    </row>
    <row r="41" spans="1:18">
      <c r="B41" s="25"/>
      <c r="C41" s="45"/>
      <c r="D41" s="189">
        <v>18</v>
      </c>
      <c r="E41" s="189"/>
      <c r="F41" s="46"/>
      <c r="G41" s="42">
        <v>0</v>
      </c>
      <c r="H41" s="29" t="s">
        <v>12</v>
      </c>
      <c r="I41" s="25"/>
      <c r="J41" s="25"/>
      <c r="K41" s="45"/>
      <c r="L41" s="45"/>
      <c r="M41" s="46"/>
      <c r="N41" s="46"/>
      <c r="O41" s="46"/>
      <c r="P41" s="46"/>
      <c r="Q41" s="46"/>
      <c r="R41" s="46"/>
    </row>
    <row r="42" spans="1:18" ht="6.6" customHeight="1">
      <c r="B42" s="25"/>
      <c r="C42" s="47"/>
      <c r="D42" s="200"/>
      <c r="E42" s="200"/>
      <c r="F42" s="48"/>
      <c r="G42" s="48"/>
      <c r="H42" s="48"/>
      <c r="I42" s="25"/>
      <c r="J42" s="25"/>
      <c r="K42" s="47"/>
      <c r="L42" s="47"/>
      <c r="M42" s="48"/>
      <c r="N42" s="48"/>
      <c r="O42" s="48"/>
      <c r="P42" s="48"/>
      <c r="Q42" s="48"/>
      <c r="R42" s="48"/>
    </row>
    <row r="43" spans="1:18">
      <c r="B43" s="25"/>
      <c r="C43" s="45"/>
      <c r="D43" s="201"/>
      <c r="E43" s="201"/>
      <c r="F43" s="46"/>
      <c r="G43" s="46"/>
      <c r="H43" s="46"/>
      <c r="I43" s="25"/>
      <c r="J43" s="25"/>
      <c r="K43" s="45"/>
      <c r="L43" s="45"/>
      <c r="M43" s="46"/>
      <c r="N43" s="46"/>
      <c r="O43" s="46"/>
      <c r="P43" s="46"/>
      <c r="Q43" s="46"/>
      <c r="R43" s="46"/>
    </row>
    <row r="44" spans="1:18" hidden="1">
      <c r="B44" s="25"/>
      <c r="C44" s="25"/>
      <c r="D44" s="201"/>
      <c r="E44" s="201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</row>
    <row r="45" spans="1:18" ht="7.5" hidden="1" customHeight="1">
      <c r="B45" s="25"/>
      <c r="C45" s="49"/>
      <c r="D45" s="49"/>
      <c r="E45" s="49"/>
      <c r="F45" s="49"/>
      <c r="G45" s="49"/>
      <c r="H45" s="49"/>
      <c r="I45" s="50"/>
      <c r="J45" s="25"/>
      <c r="K45" s="25"/>
      <c r="L45" s="25"/>
      <c r="M45" s="25"/>
      <c r="N45" s="25"/>
      <c r="O45" s="25"/>
      <c r="P45" s="25"/>
      <c r="Q45" s="25"/>
      <c r="R45" s="25"/>
    </row>
    <row r="46" spans="1:18" ht="15" hidden="1" customHeight="1">
      <c r="B46" s="25"/>
      <c r="C46" s="49"/>
      <c r="D46" s="49"/>
      <c r="E46" s="49"/>
      <c r="F46" s="49"/>
      <c r="G46" s="49"/>
      <c r="H46" s="49"/>
      <c r="I46" s="25"/>
      <c r="J46" s="25"/>
      <c r="K46" s="25"/>
      <c r="L46" s="25"/>
      <c r="M46" s="25"/>
      <c r="N46" s="25"/>
      <c r="O46" s="25"/>
      <c r="P46" s="25"/>
      <c r="Q46" s="25"/>
      <c r="R46" s="25"/>
    </row>
    <row r="47" spans="1:18">
      <c r="B47" s="25"/>
      <c r="C47" s="49"/>
      <c r="D47" s="49"/>
      <c r="E47" s="49"/>
      <c r="F47" s="49"/>
      <c r="G47" s="49"/>
      <c r="H47" s="49"/>
      <c r="I47" s="25"/>
      <c r="J47" s="25"/>
      <c r="K47" s="25"/>
      <c r="L47" s="25"/>
      <c r="M47" s="25"/>
      <c r="N47" s="25"/>
      <c r="O47" s="25"/>
      <c r="P47" s="25"/>
      <c r="Q47" s="25"/>
      <c r="R47" s="25"/>
    </row>
    <row r="48" spans="1:18">
      <c r="B48" s="25"/>
      <c r="C48" s="25"/>
      <c r="D48" s="226" t="s">
        <v>109</v>
      </c>
      <c r="E48" s="227"/>
      <c r="F48" s="228"/>
      <c r="G48" s="25"/>
      <c r="H48" s="25"/>
      <c r="I48" s="51">
        <f>Dachówka!D23</f>
        <v>48</v>
      </c>
      <c r="J48" s="29" t="s">
        <v>12</v>
      </c>
      <c r="K48" s="25"/>
      <c r="L48" s="25"/>
      <c r="M48" s="25"/>
      <c r="N48" s="25"/>
      <c r="O48" s="25"/>
      <c r="P48" s="25"/>
      <c r="Q48" s="48"/>
      <c r="R48" s="25"/>
    </row>
    <row r="49" spans="2:18" ht="12" customHeight="1">
      <c r="B49" s="25"/>
      <c r="C49" s="44"/>
      <c r="D49" s="44"/>
      <c r="E49" s="44"/>
      <c r="F49" s="25"/>
      <c r="G49" s="44"/>
      <c r="H49" s="44"/>
      <c r="I49" s="52"/>
      <c r="J49" s="25"/>
      <c r="K49" s="44"/>
      <c r="L49" s="44"/>
      <c r="M49" s="44"/>
      <c r="N49" s="44"/>
      <c r="O49" s="25"/>
      <c r="P49" s="44"/>
      <c r="Q49" s="44"/>
      <c r="R49" s="44"/>
    </row>
    <row r="50" spans="2:18" ht="12" customHeight="1">
      <c r="B50" s="25"/>
      <c r="C50" s="44"/>
      <c r="D50" s="44"/>
      <c r="E50" s="44"/>
      <c r="F50" s="25"/>
      <c r="G50" s="44"/>
      <c r="H50" s="44"/>
      <c r="I50" s="52"/>
      <c r="J50" s="25"/>
      <c r="K50" s="44"/>
      <c r="L50" s="44"/>
      <c r="M50" s="44"/>
      <c r="N50" s="53" t="str">
        <f>(VLOOKUP($D$91,Cennik!F4:K8,5,FALSE))*1000 &amp; " mm"</f>
        <v>1133 mm</v>
      </c>
      <c r="O50" s="44"/>
      <c r="P50" s="44"/>
      <c r="Q50" s="44"/>
      <c r="R50" s="44"/>
    </row>
    <row r="51" spans="2:18">
      <c r="B51" s="25"/>
      <c r="C51" s="25"/>
      <c r="D51" s="226" t="s">
        <v>30</v>
      </c>
      <c r="E51" s="227"/>
      <c r="F51" s="228"/>
      <c r="G51" s="25"/>
      <c r="H51" s="25"/>
      <c r="I51" s="51">
        <f>Dachówka!E23</f>
        <v>20</v>
      </c>
      <c r="J51" s="29" t="s">
        <v>12</v>
      </c>
      <c r="K51" s="25"/>
      <c r="L51" s="25"/>
      <c r="M51" s="25"/>
      <c r="N51" s="25"/>
      <c r="O51" s="25"/>
      <c r="P51" s="25"/>
      <c r="Q51" s="48"/>
      <c r="R51" s="25"/>
    </row>
    <row r="52" spans="2:18" ht="12" customHeight="1">
      <c r="B52" s="25"/>
      <c r="C52" s="54"/>
      <c r="D52" s="25"/>
      <c r="E52" s="25"/>
      <c r="F52" s="25"/>
      <c r="G52" s="25"/>
      <c r="H52" s="55"/>
      <c r="I52" s="56"/>
      <c r="J52" s="25"/>
      <c r="K52" s="25"/>
      <c r="L52" s="25"/>
      <c r="M52" s="25"/>
      <c r="N52" s="25"/>
      <c r="O52" s="25"/>
      <c r="P52" s="25"/>
      <c r="Q52" s="25"/>
      <c r="R52" s="25"/>
    </row>
    <row r="53" spans="2:18" ht="12" customHeight="1">
      <c r="B53" s="25"/>
      <c r="C53" s="54"/>
      <c r="D53" s="25"/>
      <c r="E53" s="25"/>
      <c r="F53" s="25"/>
      <c r="G53" s="25"/>
      <c r="H53" s="55"/>
      <c r="I53" s="56"/>
      <c r="J53" s="25"/>
      <c r="K53" s="25"/>
      <c r="L53" s="25"/>
      <c r="M53" s="25"/>
      <c r="N53" s="25"/>
      <c r="O53" s="25"/>
      <c r="P53" s="25"/>
      <c r="Q53" s="25"/>
      <c r="R53" s="25"/>
    </row>
    <row r="54" spans="2:18">
      <c r="B54" s="25"/>
      <c r="C54" s="54"/>
      <c r="D54" s="25" t="str">
        <f>Dachówka!F4</f>
        <v>Profil nośny modułu Solo light 4,4m</v>
      </c>
      <c r="E54" s="25"/>
      <c r="F54" s="25"/>
      <c r="G54" s="25"/>
      <c r="H54" s="55"/>
      <c r="I54" s="51">
        <f>Dachówka!F23</f>
        <v>22</v>
      </c>
      <c r="J54" s="29" t="s">
        <v>12</v>
      </c>
      <c r="K54" s="25"/>
      <c r="L54" s="25"/>
      <c r="M54" s="25"/>
      <c r="N54" s="25"/>
      <c r="O54" s="25"/>
      <c r="P54" s="25"/>
      <c r="Q54" s="25"/>
      <c r="R54" s="25"/>
    </row>
    <row r="55" spans="2:18" ht="12" customHeight="1">
      <c r="B55" s="25"/>
      <c r="C55" s="25"/>
      <c r="D55" s="25"/>
      <c r="E55" s="57"/>
      <c r="F55" s="25"/>
      <c r="G55" s="25"/>
      <c r="H55" s="25"/>
      <c r="I55" s="56"/>
      <c r="J55" s="25"/>
      <c r="K55" s="25"/>
      <c r="L55" s="25"/>
      <c r="M55" s="25"/>
      <c r="N55" s="25"/>
      <c r="O55" s="25"/>
      <c r="P55" s="25"/>
      <c r="Q55"/>
      <c r="R55" s="25"/>
    </row>
    <row r="56" spans="2:18" ht="12" customHeight="1">
      <c r="B56" s="25"/>
      <c r="C56" s="58"/>
      <c r="D56" s="25"/>
      <c r="E56" s="58"/>
      <c r="F56" s="25"/>
      <c r="G56" s="25"/>
      <c r="H56" s="59"/>
      <c r="I56" s="56"/>
      <c r="J56" s="25"/>
      <c r="K56" s="60"/>
      <c r="L56" s="61"/>
      <c r="M56" s="25"/>
      <c r="N56" s="25"/>
      <c r="O56" s="25"/>
      <c r="P56" s="25"/>
      <c r="Q56" s="25"/>
      <c r="R56" s="25"/>
    </row>
    <row r="57" spans="2:18" ht="15" customHeight="1">
      <c r="B57" s="25"/>
      <c r="C57" s="25"/>
      <c r="D57" s="25" t="str">
        <f>Dachówka!G4</f>
        <v xml:space="preserve">Łącznik profili Solo5 </v>
      </c>
      <c r="E57" s="60"/>
      <c r="F57" s="25"/>
      <c r="G57" s="62"/>
      <c r="H57" s="63"/>
      <c r="I57" s="51">
        <f>Dachówka!G23</f>
        <v>12</v>
      </c>
      <c r="J57" s="29" t="s">
        <v>12</v>
      </c>
      <c r="K57" s="60"/>
      <c r="L57" s="61"/>
      <c r="M57" s="25"/>
      <c r="N57" s="25"/>
      <c r="O57" s="25"/>
      <c r="P57" s="25"/>
      <c r="Q57" s="25"/>
      <c r="R57" s="25"/>
    </row>
    <row r="58" spans="2:18" ht="12" customHeight="1">
      <c r="B58" s="25"/>
      <c r="C58" s="25"/>
      <c r="D58" s="25"/>
      <c r="E58" s="60"/>
      <c r="F58" s="25"/>
      <c r="G58" s="62"/>
      <c r="H58" s="63"/>
      <c r="I58" s="56"/>
      <c r="J58" s="25"/>
      <c r="K58" s="60"/>
      <c r="L58" s="61"/>
      <c r="M58" s="25"/>
      <c r="N58" s="25"/>
      <c r="O58" s="25"/>
      <c r="P58" s="25"/>
      <c r="Q58" s="25"/>
      <c r="R58" s="25"/>
    </row>
    <row r="59" spans="2:18" ht="12" customHeight="1">
      <c r="B59" s="25"/>
      <c r="C59" s="60"/>
      <c r="D59" s="25"/>
      <c r="E59" s="60"/>
      <c r="F59" s="25"/>
      <c r="G59" s="64"/>
      <c r="H59" s="64"/>
      <c r="I59" s="56"/>
      <c r="J59" s="25"/>
      <c r="K59" s="60"/>
      <c r="L59" s="61"/>
      <c r="M59" s="25"/>
      <c r="N59" s="25"/>
      <c r="O59" s="25"/>
      <c r="P59" s="25"/>
      <c r="Q59" s="202" t="str">
        <f>"L= " &amp;(VLOOKUP($D$91,Cennik!F4:K8,6,FALSE))*1000 &amp; " mm"</f>
        <v>L= 1708 mm</v>
      </c>
      <c r="R59" s="25"/>
    </row>
    <row r="60" spans="2:18" ht="15" customHeight="1">
      <c r="B60" s="25"/>
      <c r="C60" s="65"/>
      <c r="D60" s="226" t="s">
        <v>103</v>
      </c>
      <c r="E60" s="227"/>
      <c r="F60" s="228"/>
      <c r="G60" s="25"/>
      <c r="H60" s="66"/>
      <c r="I60" s="51" t="str">
        <f>IF(H15="dachówka",Dachówka!H23,"n/d")</f>
        <v>n/d</v>
      </c>
      <c r="J60" s="29" t="s">
        <v>12</v>
      </c>
      <c r="K60" s="60"/>
      <c r="L60" s="60"/>
      <c r="M60" s="60"/>
      <c r="N60" s="60"/>
      <c r="O60" s="60"/>
      <c r="P60" s="60"/>
      <c r="Q60" s="202"/>
      <c r="R60" s="60"/>
    </row>
    <row r="61" spans="2:18" ht="12" customHeight="1">
      <c r="B61" s="25"/>
      <c r="C61" s="25"/>
      <c r="D61" s="123" t="str">
        <f>IF(D60="Hak dachowy Rapid2+ Max","dla zwiększonego obciążenia śniegiem","")</f>
        <v>dla zwiększonego obciążenia śniegiem</v>
      </c>
      <c r="E61" s="60"/>
      <c r="F61" s="25"/>
      <c r="G61" s="62"/>
      <c r="H61" s="67"/>
      <c r="I61" s="56"/>
      <c r="J61" s="25"/>
      <c r="K61" s="60"/>
      <c r="L61" s="60"/>
      <c r="M61" s="60"/>
      <c r="N61" s="60"/>
      <c r="O61" s="60"/>
      <c r="P61" s="60"/>
      <c r="Q61" s="202"/>
      <c r="R61" s="60"/>
    </row>
    <row r="62" spans="2:18" ht="12" customHeight="1">
      <c r="B62" s="25"/>
      <c r="C62" s="25"/>
      <c r="D62" s="25"/>
      <c r="E62" s="60"/>
      <c r="F62" s="25"/>
      <c r="G62" s="62"/>
      <c r="H62" s="67"/>
      <c r="I62" s="56"/>
      <c r="J62" s="25"/>
      <c r="K62" s="60"/>
      <c r="L62" s="60"/>
      <c r="M62" s="60"/>
      <c r="N62" s="60"/>
      <c r="O62" s="60"/>
      <c r="P62" s="60"/>
      <c r="Q62" s="202"/>
      <c r="R62" s="60"/>
    </row>
    <row r="63" spans="2:18">
      <c r="B63" s="25"/>
      <c r="C63" s="25"/>
      <c r="D63" s="25" t="str">
        <f>Dachówka!J4</f>
        <v>Wkręty do drewna VA8x120mm 50St</v>
      </c>
      <c r="E63" s="25"/>
      <c r="F63" s="25"/>
      <c r="G63" s="25"/>
      <c r="H63" s="25"/>
      <c r="I63" s="51" t="str">
        <f>IF(H15="dachówka",Dachówka!J23,"n/d")</f>
        <v>n/d</v>
      </c>
      <c r="J63" s="29" t="s">
        <v>12</v>
      </c>
      <c r="K63" s="60"/>
      <c r="L63" s="60"/>
      <c r="M63" s="60"/>
      <c r="N63" s="60"/>
      <c r="O63" s="60"/>
      <c r="P63" s="60"/>
      <c r="Q63" s="202"/>
      <c r="R63" s="60"/>
    </row>
    <row r="64" spans="2:18" ht="12" customHeight="1">
      <c r="B64" s="25"/>
      <c r="C64" s="25"/>
      <c r="D64" s="25"/>
      <c r="E64" s="25"/>
      <c r="F64" s="25"/>
      <c r="G64" s="25"/>
      <c r="H64" s="25"/>
      <c r="I64" s="56"/>
      <c r="J64" s="25"/>
      <c r="K64" s="60"/>
      <c r="L64" s="60"/>
      <c r="M64" s="60"/>
      <c r="N64" s="60"/>
      <c r="O64" s="60"/>
      <c r="P64" s="60"/>
      <c r="Q64" s="68"/>
      <c r="R64" s="60"/>
    </row>
    <row r="65" spans="2:18" ht="12" customHeight="1">
      <c r="B65" s="25"/>
      <c r="C65" s="69"/>
      <c r="D65" s="69"/>
      <c r="E65" s="69"/>
      <c r="F65" s="25"/>
      <c r="G65" s="69"/>
      <c r="H65" s="69"/>
      <c r="I65" s="56"/>
      <c r="J65" s="25"/>
      <c r="K65" s="60"/>
      <c r="L65" s="60"/>
      <c r="M65" s="60"/>
      <c r="N65" s="60"/>
      <c r="O65" s="60"/>
      <c r="P65" s="60"/>
      <c r="Q65" s="60"/>
      <c r="R65" s="60"/>
    </row>
    <row r="66" spans="2:18">
      <c r="B66" s="25"/>
      <c r="C66" s="25"/>
      <c r="D66" s="25" t="str">
        <f>Dachówka!K4</f>
        <v>Zaślepka plastikowa Profi05 20St.</v>
      </c>
      <c r="E66" s="25"/>
      <c r="F66" s="25"/>
      <c r="G66" s="25"/>
      <c r="H66" s="25"/>
      <c r="I66" s="51">
        <f>Dachówka!K23</f>
        <v>20</v>
      </c>
      <c r="J66" s="29" t="s">
        <v>12</v>
      </c>
      <c r="K66" s="60"/>
      <c r="L66" s="60"/>
      <c r="M66" s="60"/>
      <c r="N66" s="60"/>
      <c r="O66" s="60"/>
      <c r="P66" s="60"/>
      <c r="Q66" s="60"/>
      <c r="R66" s="60"/>
    </row>
    <row r="67" spans="2:18" ht="12" customHeight="1">
      <c r="B67" s="25"/>
      <c r="C67" s="25"/>
      <c r="D67" s="25"/>
      <c r="E67" s="25"/>
      <c r="F67" s="25"/>
      <c r="G67" s="25"/>
      <c r="H67" s="25"/>
      <c r="I67" s="56"/>
      <c r="J67" s="25"/>
      <c r="K67" s="60"/>
      <c r="L67" s="60"/>
      <c r="M67" s="60"/>
      <c r="N67" s="60"/>
      <c r="O67" s="60"/>
      <c r="P67" s="60"/>
      <c r="Q67" s="60"/>
      <c r="R67" s="60"/>
    </row>
    <row r="68" spans="2:18" ht="12" customHeight="1">
      <c r="B68" s="25"/>
      <c r="C68" s="25"/>
      <c r="D68" s="25"/>
      <c r="E68" s="25"/>
      <c r="F68" s="25"/>
      <c r="G68" s="25"/>
      <c r="H68" s="25"/>
      <c r="I68" s="56"/>
      <c r="J68" s="25"/>
      <c r="K68" s="60"/>
      <c r="L68" s="60"/>
      <c r="M68" s="60"/>
      <c r="N68" s="60"/>
      <c r="O68" s="60"/>
      <c r="P68" s="60"/>
      <c r="Q68" s="60"/>
      <c r="R68" s="60"/>
    </row>
    <row r="69" spans="2:18">
      <c r="B69" s="25"/>
      <c r="C69" s="25"/>
      <c r="D69" s="25" t="str">
        <f>Dachówka!L4</f>
        <v>Zacisk odgromowy  8 i 10mm</v>
      </c>
      <c r="E69" s="25"/>
      <c r="F69" s="25"/>
      <c r="G69" s="25"/>
      <c r="H69" s="25"/>
      <c r="I69" s="51">
        <f>Dachówka!L23</f>
        <v>10</v>
      </c>
      <c r="J69" s="29" t="s">
        <v>12</v>
      </c>
      <c r="K69" s="60"/>
      <c r="L69" s="60"/>
      <c r="M69" s="60"/>
      <c r="N69" s="60"/>
      <c r="O69" s="60"/>
      <c r="P69" s="60"/>
      <c r="Q69" s="60"/>
      <c r="R69" s="60"/>
    </row>
    <row r="70" spans="2:18">
      <c r="B70" s="25"/>
      <c r="C70" s="25"/>
      <c r="D70" s="25"/>
      <c r="E70" s="25"/>
      <c r="F70" s="25"/>
      <c r="G70" s="25"/>
      <c r="H70" s="25"/>
      <c r="I70" s="25"/>
      <c r="J70" s="25"/>
      <c r="K70" s="60"/>
      <c r="L70" s="60"/>
      <c r="M70" s="60"/>
      <c r="N70" s="60"/>
      <c r="O70" s="60"/>
      <c r="P70" s="60"/>
      <c r="Q70" s="60"/>
      <c r="R70" s="60"/>
    </row>
    <row r="71" spans="2:18">
      <c r="B71" s="25"/>
      <c r="C71" s="25"/>
      <c r="D71" s="25"/>
      <c r="E71" s="25"/>
      <c r="F71" s="25"/>
      <c r="G71" s="25"/>
      <c r="H71" s="25"/>
      <c r="I71" s="25"/>
      <c r="J71" s="25"/>
      <c r="K71" s="60"/>
      <c r="L71" s="60"/>
      <c r="M71" s="70" t="s">
        <v>20</v>
      </c>
      <c r="N71" s="60"/>
      <c r="O71" s="60"/>
      <c r="P71" s="60"/>
      <c r="Q71" s="60"/>
      <c r="R71" s="60"/>
    </row>
    <row r="72" spans="2:18" ht="15" customHeight="1">
      <c r="B72" s="25"/>
      <c r="C72" s="25"/>
      <c r="D72" s="203" t="s">
        <v>74</v>
      </c>
      <c r="E72" s="203"/>
      <c r="F72" s="203"/>
      <c r="G72" s="25"/>
      <c r="H72" s="25"/>
      <c r="I72" s="26">
        <f>IF(H15="blachodachówka",Blachodachowka!L23,"n/d")</f>
        <v>20</v>
      </c>
      <c r="J72" s="36" t="s">
        <v>22</v>
      </c>
      <c r="K72" s="60"/>
      <c r="L72" s="60"/>
      <c r="M72" s="60"/>
      <c r="N72" s="60"/>
      <c r="O72" s="60"/>
      <c r="P72" s="60"/>
      <c r="Q72" s="60"/>
      <c r="R72" s="60"/>
    </row>
    <row r="73" spans="2:18">
      <c r="B73" s="25"/>
      <c r="C73" s="25"/>
      <c r="D73" s="203"/>
      <c r="E73" s="203"/>
      <c r="F73" s="203"/>
      <c r="G73" s="25"/>
      <c r="H73" s="25"/>
      <c r="I73" s="25"/>
      <c r="J73" s="25"/>
      <c r="K73" s="60"/>
      <c r="L73" s="60"/>
      <c r="M73" s="60"/>
      <c r="N73" s="60"/>
      <c r="O73" s="60"/>
      <c r="P73" s="60"/>
      <c r="Q73" s="60"/>
      <c r="R73" s="60"/>
    </row>
    <row r="74" spans="2:18">
      <c r="B74" s="25"/>
      <c r="C74" s="25"/>
      <c r="D74" s="60"/>
      <c r="E74" s="61"/>
      <c r="F74" s="25"/>
      <c r="G74" s="25"/>
      <c r="H74" s="25"/>
      <c r="I74" s="25"/>
      <c r="J74" s="25"/>
      <c r="K74" s="60"/>
      <c r="L74" s="60"/>
      <c r="M74" s="60"/>
      <c r="N74" s="60"/>
      <c r="O74" s="60"/>
      <c r="P74" s="60"/>
      <c r="Q74" s="60"/>
      <c r="R74" s="60"/>
    </row>
    <row r="75" spans="2:18">
      <c r="B75" s="25"/>
      <c r="C75" s="25"/>
      <c r="D75" s="25" t="str">
        <f>Blachodachowka!M4</f>
        <v>Nasadka KlickTop</v>
      </c>
      <c r="E75" s="25"/>
      <c r="F75" s="25"/>
      <c r="G75" s="25"/>
      <c r="H75" s="25"/>
      <c r="I75" s="26">
        <f>IF(H15="blachodachówka",Blachodachowka!M23,"n/d")</f>
        <v>20</v>
      </c>
      <c r="J75" s="36" t="s">
        <v>22</v>
      </c>
      <c r="K75" s="60"/>
      <c r="L75" s="60"/>
      <c r="M75" s="60"/>
      <c r="N75" s="60"/>
      <c r="O75" s="60"/>
      <c r="P75" s="60"/>
      <c r="Q75" s="60"/>
      <c r="R75" s="60"/>
    </row>
    <row r="76" spans="2:18">
      <c r="B76" s="25"/>
      <c r="C76" s="25"/>
      <c r="D76" s="25"/>
      <c r="E76" s="25"/>
      <c r="F76" s="25"/>
      <c r="G76" s="25"/>
      <c r="H76" s="25"/>
      <c r="I76" s="25"/>
      <c r="J76" s="25"/>
      <c r="K76" s="60"/>
      <c r="L76" s="60"/>
      <c r="M76" s="60"/>
      <c r="N76" s="60"/>
      <c r="O76" s="60"/>
      <c r="P76" s="60"/>
      <c r="Q76" s="60"/>
      <c r="R76" s="60"/>
    </row>
    <row r="77" spans="2:18">
      <c r="B77" s="25"/>
      <c r="C77" s="25"/>
      <c r="D77" s="238" t="s">
        <v>159</v>
      </c>
      <c r="E77" s="238"/>
      <c r="F77" s="238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</row>
    <row r="78" spans="2:18" ht="14.4" customHeight="1">
      <c r="B78" s="25"/>
      <c r="C78" s="25"/>
      <c r="D78" s="238"/>
      <c r="E78" s="238"/>
      <c r="F78" s="238"/>
      <c r="G78" s="25"/>
      <c r="H78" s="25"/>
      <c r="I78" s="26" t="str">
        <f>IF(H15="dachówka",Dachówka!I23,"n/d")</f>
        <v>n/d</v>
      </c>
      <c r="J78" s="36" t="s">
        <v>22</v>
      </c>
      <c r="K78" s="25"/>
      <c r="L78" s="25"/>
      <c r="M78" s="25"/>
      <c r="N78" s="25"/>
      <c r="O78" s="25"/>
      <c r="P78" s="25"/>
      <c r="Q78" s="25"/>
      <c r="R78" s="25"/>
    </row>
    <row r="79" spans="2:18">
      <c r="B79" s="25"/>
      <c r="C79" s="25"/>
      <c r="D79" s="123" t="s">
        <v>140</v>
      </c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</row>
    <row r="80" spans="2:18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</row>
    <row r="81" spans="1:41">
      <c r="B81" s="25"/>
      <c r="C81" s="25"/>
      <c r="D81" s="223" t="s">
        <v>33</v>
      </c>
      <c r="E81" s="224"/>
      <c r="F81" s="225"/>
      <c r="G81" s="25"/>
      <c r="H81" s="25"/>
      <c r="I81" s="26">
        <f>G105</f>
        <v>1</v>
      </c>
      <c r="J81" s="36" t="s">
        <v>22</v>
      </c>
      <c r="K81" s="25"/>
      <c r="L81" s="25"/>
      <c r="M81" s="25"/>
      <c r="N81" s="25"/>
      <c r="O81" s="25"/>
      <c r="P81" s="25"/>
      <c r="Q81" s="25"/>
      <c r="R81" s="25"/>
    </row>
    <row r="82" spans="1:41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</row>
    <row r="83" spans="1:41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</row>
    <row r="84" spans="1:41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</row>
    <row r="85" spans="1:41" ht="33.75" customHeight="1">
      <c r="A85" s="1"/>
      <c r="B85" s="2"/>
      <c r="C85" s="2"/>
      <c r="D85" s="2"/>
      <c r="E85" s="2"/>
      <c r="F85" s="191" t="str">
        <f>"Moc generatora PV : "&amp;G119&amp;" kWp"</f>
        <v>Moc generatora PV : 11,745 kWp</v>
      </c>
      <c r="G85" s="191"/>
      <c r="H85" s="191"/>
      <c r="I85" s="3"/>
      <c r="J85" s="191" t="str">
        <f>"Dane klienta : " &amp;L10</f>
        <v>Dane klienta : jak</v>
      </c>
      <c r="K85" s="191"/>
      <c r="L85" s="191"/>
      <c r="M85" s="191"/>
      <c r="N85" s="3"/>
      <c r="O85" s="3"/>
      <c r="P85" s="3"/>
      <c r="Q85" s="144">
        <f ca="1">TODAY()</f>
        <v>45096</v>
      </c>
      <c r="R85" s="3"/>
      <c r="S85" s="4"/>
      <c r="U85" s="6"/>
      <c r="V85" s="6"/>
      <c r="W85" s="7"/>
      <c r="X85" s="7"/>
      <c r="Y85" s="8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8"/>
      <c r="AN85" s="8"/>
      <c r="AO85" s="8"/>
    </row>
    <row r="86" spans="1:41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</row>
    <row r="87" spans="1:41">
      <c r="B87" s="187" t="s">
        <v>146</v>
      </c>
      <c r="C87" s="237" t="s">
        <v>145</v>
      </c>
      <c r="D87" s="237"/>
      <c r="E87" s="237"/>
      <c r="F87" s="237"/>
      <c r="G87" s="237"/>
      <c r="H87" s="237"/>
      <c r="I87" s="237"/>
      <c r="J87" s="237"/>
      <c r="K87" s="25"/>
      <c r="L87" s="25"/>
      <c r="M87" s="25"/>
      <c r="N87" s="25"/>
      <c r="O87" s="25"/>
      <c r="P87" s="25"/>
      <c r="Q87" s="25"/>
      <c r="R87" s="25"/>
    </row>
    <row r="88" spans="1:41">
      <c r="B88" s="187"/>
      <c r="C88" s="237"/>
      <c r="D88" s="237"/>
      <c r="E88" s="237"/>
      <c r="F88" s="237"/>
      <c r="G88" s="237"/>
      <c r="H88" s="237"/>
      <c r="I88" s="237"/>
      <c r="J88" s="237"/>
      <c r="K88" s="25"/>
      <c r="L88" s="25"/>
      <c r="M88" s="25"/>
      <c r="N88" s="25"/>
      <c r="O88" s="25"/>
      <c r="P88" s="25"/>
      <c r="Q88" s="25"/>
      <c r="R88" s="25"/>
    </row>
    <row r="89" spans="1:41" ht="15" customHeight="1">
      <c r="B89" s="187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</row>
    <row r="90" spans="1:41" ht="15" customHeight="1">
      <c r="B90" s="187"/>
      <c r="C90" s="25"/>
      <c r="D90" s="125" t="s">
        <v>24</v>
      </c>
      <c r="E90" s="126"/>
      <c r="F90" s="126"/>
      <c r="G90" s="71" t="s">
        <v>25</v>
      </c>
      <c r="H90" s="72"/>
      <c r="I90" s="71" t="s">
        <v>26</v>
      </c>
      <c r="J90" s="73"/>
      <c r="K90" s="71" t="s">
        <v>27</v>
      </c>
      <c r="L90" s="73"/>
      <c r="M90" s="71" t="s">
        <v>69</v>
      </c>
      <c r="N90" s="73"/>
      <c r="O90" s="71" t="s">
        <v>28</v>
      </c>
      <c r="P90" s="73"/>
      <c r="Q90" s="25"/>
      <c r="R90" s="25"/>
    </row>
    <row r="91" spans="1:41">
      <c r="B91" s="187"/>
      <c r="C91" s="74"/>
      <c r="D91" s="221" t="s">
        <v>162</v>
      </c>
      <c r="E91" s="221"/>
      <c r="F91" s="221"/>
      <c r="G91" s="29">
        <f>Dachówka!C26</f>
        <v>29</v>
      </c>
      <c r="H91" s="29"/>
      <c r="I91" s="29">
        <f t="shared" ref="I91:I102" si="0">VLOOKUP(D91,Cennik,2,FALSE)</f>
        <v>7959744</v>
      </c>
      <c r="J91" s="204">
        <f t="shared" ref="J91:J102" si="1">VLOOKUP(D91,Cennik,3,FALSE)</f>
        <v>700</v>
      </c>
      <c r="K91" s="204"/>
      <c r="L91" s="29"/>
      <c r="M91" s="173"/>
      <c r="N91" s="29"/>
      <c r="O91" s="199">
        <f t="shared" ref="O91:O102" si="2">(G91*J91)*(1-M91)</f>
        <v>20300</v>
      </c>
      <c r="P91" s="199"/>
      <c r="Q91" s="25"/>
      <c r="R91" s="25"/>
    </row>
    <row r="92" spans="1:41">
      <c r="B92" s="25"/>
      <c r="C92" s="181"/>
      <c r="D92" s="221" t="s">
        <v>84</v>
      </c>
      <c r="E92" s="221"/>
      <c r="F92" s="221"/>
      <c r="G92" s="29">
        <f>Dachówka!C27</f>
        <v>1</v>
      </c>
      <c r="H92" s="29"/>
      <c r="I92" s="29">
        <f t="shared" si="0"/>
        <v>0</v>
      </c>
      <c r="J92" s="199">
        <f t="shared" si="1"/>
        <v>0</v>
      </c>
      <c r="K92" s="199"/>
      <c r="L92" s="29"/>
      <c r="M92" s="173"/>
      <c r="N92" s="29"/>
      <c r="O92" s="199">
        <f t="shared" si="2"/>
        <v>0</v>
      </c>
      <c r="P92" s="199"/>
      <c r="Q92" s="25"/>
      <c r="R92" s="25"/>
    </row>
    <row r="93" spans="1:41">
      <c r="B93" s="25"/>
      <c r="C93" s="181"/>
      <c r="D93" s="222" t="str">
        <f>D48</f>
        <v>Klemy środkowe czarne</v>
      </c>
      <c r="E93" s="222"/>
      <c r="F93" s="222"/>
      <c r="G93" s="29">
        <f>Dachówka!C28</f>
        <v>48</v>
      </c>
      <c r="H93" s="29"/>
      <c r="I93" s="29">
        <f t="shared" si="0"/>
        <v>7783978</v>
      </c>
      <c r="J93" s="199">
        <f>VLOOKUP(D93,Cennik,3,FALSE)</f>
        <v>11.4</v>
      </c>
      <c r="K93" s="199"/>
      <c r="L93" s="29"/>
      <c r="M93" s="173"/>
      <c r="N93" s="29"/>
      <c r="O93" s="199">
        <f t="shared" si="2"/>
        <v>547.20000000000005</v>
      </c>
      <c r="P93" s="199"/>
      <c r="Q93" s="25"/>
      <c r="R93" s="25"/>
    </row>
    <row r="94" spans="1:41">
      <c r="B94" s="25"/>
      <c r="C94" s="181"/>
      <c r="D94" s="220" t="str">
        <f>D51</f>
        <v>Klemy końcowe czarne</v>
      </c>
      <c r="E94" s="220"/>
      <c r="F94" s="220"/>
      <c r="G94" s="29">
        <f>Dachówka!C29</f>
        <v>20</v>
      </c>
      <c r="H94" s="29"/>
      <c r="I94" s="29">
        <f t="shared" si="0"/>
        <v>7783973</v>
      </c>
      <c r="J94" s="199">
        <f t="shared" si="1"/>
        <v>11.5</v>
      </c>
      <c r="K94" s="199"/>
      <c r="L94" s="29"/>
      <c r="M94" s="173"/>
      <c r="N94" s="29"/>
      <c r="O94" s="199">
        <f t="shared" si="2"/>
        <v>230</v>
      </c>
      <c r="P94" s="199"/>
      <c r="Q94" s="25"/>
      <c r="R94" s="25"/>
    </row>
    <row r="95" spans="1:41">
      <c r="B95" s="25"/>
      <c r="C95" s="180"/>
      <c r="D95" s="54" t="str">
        <f>D54</f>
        <v>Profil nośny modułu Solo light 4,4m</v>
      </c>
      <c r="E95" s="54"/>
      <c r="F95" s="54"/>
      <c r="G95" s="29">
        <f>Dachówka!C30</f>
        <v>22</v>
      </c>
      <c r="H95" s="29"/>
      <c r="I95" s="29">
        <f t="shared" si="0"/>
        <v>7955972</v>
      </c>
      <c r="J95" s="199">
        <f t="shared" si="1"/>
        <v>189</v>
      </c>
      <c r="K95" s="199"/>
      <c r="L95" s="29"/>
      <c r="M95" s="173"/>
      <c r="N95" s="29"/>
      <c r="O95" s="199">
        <f t="shared" si="2"/>
        <v>4158</v>
      </c>
      <c r="P95" s="199"/>
      <c r="Q95" s="25"/>
      <c r="R95" s="25"/>
    </row>
    <row r="96" spans="1:41">
      <c r="B96" s="25"/>
      <c r="C96" s="180"/>
      <c r="D96" s="54" t="str">
        <f>D57</f>
        <v xml:space="preserve">Łącznik profili Solo5 </v>
      </c>
      <c r="E96" s="54"/>
      <c r="F96" s="54"/>
      <c r="G96" s="29">
        <f>Dachówka!C31</f>
        <v>12</v>
      </c>
      <c r="H96" s="75"/>
      <c r="I96" s="29">
        <f t="shared" si="0"/>
        <v>7561087</v>
      </c>
      <c r="J96" s="199">
        <f t="shared" si="1"/>
        <v>17</v>
      </c>
      <c r="K96" s="199"/>
      <c r="L96" s="29"/>
      <c r="M96" s="173"/>
      <c r="N96" s="29"/>
      <c r="O96" s="199">
        <f t="shared" si="2"/>
        <v>204</v>
      </c>
      <c r="P96" s="199"/>
      <c r="Q96" s="76"/>
      <c r="R96" s="76"/>
    </row>
    <row r="97" spans="2:25">
      <c r="B97" s="25"/>
      <c r="C97" s="180"/>
      <c r="D97" s="54" t="str">
        <f>IF(H15="dachówka",D60,D72)</f>
        <v>Zest. mocujący do pokryć falistych 10x200</v>
      </c>
      <c r="E97" s="54"/>
      <c r="F97" s="54"/>
      <c r="G97" s="29">
        <f>IF(D97="Hak dachowy Rapid 2+ 45",Dachówka!C32,Blachodachowka!C32)</f>
        <v>20</v>
      </c>
      <c r="H97" s="75"/>
      <c r="I97" s="29">
        <f t="shared" si="0"/>
        <v>7736574</v>
      </c>
      <c r="J97" s="199">
        <f t="shared" si="1"/>
        <v>11.5</v>
      </c>
      <c r="K97" s="199"/>
      <c r="L97" s="29"/>
      <c r="M97" s="173"/>
      <c r="N97" s="29"/>
      <c r="O97" s="199">
        <f t="shared" si="2"/>
        <v>230</v>
      </c>
      <c r="P97" s="199"/>
      <c r="Q97" s="76"/>
      <c r="R97" s="76"/>
    </row>
    <row r="98" spans="2:25">
      <c r="B98" s="25"/>
      <c r="C98" s="180"/>
      <c r="D98" s="54" t="str">
        <f>IF(H15="dachówka",D63,D75)</f>
        <v>Nasadka KlickTop</v>
      </c>
      <c r="E98" s="54"/>
      <c r="F98" s="54"/>
      <c r="G98" s="29">
        <f>IF(D98="Wkręty do drewna VA8x120mm 50St",Dachówka!C34,Blachodachowka!C33)</f>
        <v>20</v>
      </c>
      <c r="H98" s="29"/>
      <c r="I98" s="29">
        <f t="shared" si="0"/>
        <v>7164821</v>
      </c>
      <c r="J98" s="199">
        <f t="shared" si="1"/>
        <v>15.2</v>
      </c>
      <c r="K98" s="199"/>
      <c r="L98" s="29"/>
      <c r="M98" s="173"/>
      <c r="N98" s="29"/>
      <c r="O98" s="199">
        <f t="shared" si="2"/>
        <v>304</v>
      </c>
      <c r="P98" s="199"/>
      <c r="Q98" s="25"/>
      <c r="R98" s="25"/>
    </row>
    <row r="99" spans="2:25">
      <c r="B99" s="25"/>
      <c r="C99" s="180"/>
      <c r="D99" s="54" t="str">
        <f>D66</f>
        <v>Zaślepka plastikowa Profi05 20St.</v>
      </c>
      <c r="E99" s="54"/>
      <c r="F99" s="54"/>
      <c r="G99" s="29">
        <f>Dachówka!C35</f>
        <v>1</v>
      </c>
      <c r="H99" s="29"/>
      <c r="I99" s="29">
        <f t="shared" si="0"/>
        <v>7497891</v>
      </c>
      <c r="J99" s="199">
        <f t="shared" si="1"/>
        <v>35</v>
      </c>
      <c r="K99" s="199"/>
      <c r="L99" s="29"/>
      <c r="M99" s="173"/>
      <c r="N99" s="29"/>
      <c r="O99" s="199">
        <f t="shared" si="2"/>
        <v>35</v>
      </c>
      <c r="P99" s="199"/>
      <c r="Q99" s="25"/>
      <c r="R99" s="25"/>
    </row>
    <row r="100" spans="2:25">
      <c r="B100" s="25"/>
      <c r="C100" s="182"/>
      <c r="D100" s="241" t="s">
        <v>169</v>
      </c>
      <c r="E100" s="241"/>
      <c r="F100" s="241"/>
      <c r="G100" s="29">
        <f>Dachówka!C36</f>
        <v>1</v>
      </c>
      <c r="H100" s="77"/>
      <c r="I100" s="29">
        <f t="shared" si="0"/>
        <v>7552823</v>
      </c>
      <c r="J100" s="199">
        <f t="shared" si="1"/>
        <v>127</v>
      </c>
      <c r="K100" s="199"/>
      <c r="L100" s="77"/>
      <c r="M100" s="173"/>
      <c r="N100" s="77"/>
      <c r="O100" s="199">
        <f t="shared" si="2"/>
        <v>127</v>
      </c>
      <c r="P100" s="199"/>
      <c r="Q100" s="77"/>
      <c r="R100" s="77"/>
    </row>
    <row r="101" spans="2:25">
      <c r="B101" s="25"/>
      <c r="C101" s="180"/>
      <c r="D101" s="241" t="s">
        <v>170</v>
      </c>
      <c r="E101" s="241"/>
      <c r="F101" s="241"/>
      <c r="G101" s="29">
        <f>Dachówka!C37</f>
        <v>1</v>
      </c>
      <c r="H101" s="29"/>
      <c r="I101" s="29">
        <f t="shared" si="0"/>
        <v>7552824</v>
      </c>
      <c r="J101" s="199">
        <f t="shared" si="1"/>
        <v>101</v>
      </c>
      <c r="K101" s="199"/>
      <c r="L101" s="29"/>
      <c r="M101" s="173"/>
      <c r="N101" s="29"/>
      <c r="O101" s="199">
        <f t="shared" si="2"/>
        <v>101</v>
      </c>
      <c r="P101" s="199"/>
      <c r="Q101" s="25"/>
      <c r="R101" s="25"/>
    </row>
    <row r="102" spans="2:25">
      <c r="B102" s="25"/>
      <c r="C102" s="180"/>
      <c r="D102" s="54" t="str">
        <f>D69</f>
        <v>Zacisk odgromowy  8 i 10mm</v>
      </c>
      <c r="E102" s="54"/>
      <c r="F102" s="54"/>
      <c r="G102" s="29">
        <f>Dachówka!C38</f>
        <v>10</v>
      </c>
      <c r="H102" s="29"/>
      <c r="I102" s="29">
        <f t="shared" si="0"/>
        <v>7457988</v>
      </c>
      <c r="J102" s="199">
        <f t="shared" si="1"/>
        <v>13</v>
      </c>
      <c r="K102" s="199"/>
      <c r="L102" s="29"/>
      <c r="M102" s="173"/>
      <c r="N102" s="78"/>
      <c r="O102" s="199">
        <f t="shared" si="2"/>
        <v>130</v>
      </c>
      <c r="P102" s="199"/>
      <c r="Q102" s="79"/>
      <c r="R102" s="79"/>
      <c r="S102" s="12">
        <f>_xlfn.NUMBERVALUE(INT(Q102))</f>
        <v>0</v>
      </c>
      <c r="T102" s="80"/>
      <c r="U102" s="80"/>
      <c r="V102" s="80"/>
      <c r="W102" s="80"/>
      <c r="X102" s="80"/>
      <c r="Y102" s="80"/>
    </row>
    <row r="103" spans="2:25">
      <c r="B103" s="25"/>
      <c r="C103" s="180"/>
      <c r="D103" s="229" t="str">
        <f>IF(H15="dachówka",D77,"")</f>
        <v/>
      </c>
      <c r="E103" s="229"/>
      <c r="F103" s="229"/>
      <c r="G103" s="29"/>
      <c r="H103" s="29"/>
      <c r="I103" s="29"/>
      <c r="J103" s="124"/>
      <c r="K103" s="124"/>
      <c r="L103" s="29"/>
      <c r="M103" s="173"/>
      <c r="N103" s="78"/>
      <c r="O103" s="124"/>
      <c r="P103" s="124"/>
      <c r="Q103" s="79"/>
      <c r="R103" s="79"/>
      <c r="T103" s="80"/>
      <c r="U103" s="80"/>
      <c r="V103" s="80"/>
      <c r="W103" s="80"/>
      <c r="X103" s="80"/>
      <c r="Y103" s="80"/>
    </row>
    <row r="104" spans="2:25">
      <c r="B104" s="25"/>
      <c r="C104" s="181"/>
      <c r="D104" s="229"/>
      <c r="E104" s="229"/>
      <c r="F104" s="229"/>
      <c r="G104" s="141" t="str">
        <f>IF(H15="dachówka",Dachówka!C33,"")</f>
        <v/>
      </c>
      <c r="H104" s="115"/>
      <c r="I104" s="29" t="str">
        <f>_xlfn.IFNA(VLOOKUP(D103,Cennik,2,FALSE),"")</f>
        <v/>
      </c>
      <c r="J104" s="199" t="str">
        <f>_xlfn.IFNA(VLOOKUP(D103,Cennik,3,FALSE),"")</f>
        <v/>
      </c>
      <c r="K104" s="199"/>
      <c r="L104" s="115"/>
      <c r="M104" s="173"/>
      <c r="N104" s="115"/>
      <c r="O104" s="199" t="str">
        <f>IFERROR((G104*J104)*(1-M104),"")</f>
        <v/>
      </c>
      <c r="P104" s="199"/>
      <c r="Q104" s="79"/>
      <c r="R104" s="79"/>
      <c r="S104" s="12">
        <f>_xlfn.NUMBERVALUE(INT(Q104))</f>
        <v>0</v>
      </c>
      <c r="T104" s="80"/>
      <c r="U104" s="80"/>
      <c r="V104" s="80"/>
      <c r="W104" s="80"/>
      <c r="X104" s="80"/>
      <c r="Y104" s="80"/>
    </row>
    <row r="105" spans="2:25">
      <c r="B105" s="25"/>
      <c r="C105" s="74"/>
      <c r="D105" s="219" t="str">
        <f>D81</f>
        <v>Kabel solarny 100 m 6mm2</v>
      </c>
      <c r="E105" s="219"/>
      <c r="F105" s="219"/>
      <c r="G105" s="239">
        <v>1</v>
      </c>
      <c r="H105" s="29"/>
      <c r="I105" s="29">
        <f>VLOOKUP(D105,Cennik,2,FALSE)</f>
        <v>7374380</v>
      </c>
      <c r="J105" s="199">
        <f>VLOOKUP(D105,Cennik,3,FALSE)</f>
        <v>549</v>
      </c>
      <c r="K105" s="199"/>
      <c r="L105" s="29"/>
      <c r="M105" s="173"/>
      <c r="N105" s="29"/>
      <c r="O105" s="199">
        <f>(G105*J105)*(1-M105)</f>
        <v>549</v>
      </c>
      <c r="P105" s="199"/>
      <c r="Q105" s="79"/>
      <c r="R105" s="79"/>
      <c r="T105" s="80"/>
      <c r="U105" s="80"/>
      <c r="V105" s="80"/>
      <c r="W105" s="80"/>
      <c r="X105" s="80"/>
      <c r="Y105" s="80"/>
    </row>
    <row r="106" spans="2:25">
      <c r="B106" s="25"/>
      <c r="C106" s="74"/>
      <c r="D106" s="114" t="str">
        <f>Cennik!F54</f>
        <v>Ogranicznik SPD DC 8.2 TYP 1+2 M</v>
      </c>
      <c r="E106" s="114"/>
      <c r="F106" s="114"/>
      <c r="G106" s="240">
        <v>1</v>
      </c>
      <c r="H106" s="115"/>
      <c r="I106" s="29">
        <f>Cennik!G54</f>
        <v>7938240</v>
      </c>
      <c r="J106" s="199">
        <f>G106*Cennik!H54</f>
        <v>913</v>
      </c>
      <c r="K106" s="199"/>
      <c r="L106" s="115"/>
      <c r="M106" s="173"/>
      <c r="N106" s="115"/>
      <c r="O106" s="199">
        <f>(G106*J106)*(1-M106)</f>
        <v>913</v>
      </c>
      <c r="P106" s="199"/>
      <c r="Q106" s="79"/>
      <c r="R106" s="79"/>
      <c r="T106" s="80"/>
      <c r="U106" s="80"/>
      <c r="V106" s="80"/>
      <c r="W106" s="80"/>
      <c r="X106" s="80"/>
      <c r="Y106" s="80"/>
    </row>
    <row r="107" spans="2:25">
      <c r="B107" s="25"/>
      <c r="C107" s="74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6"/>
      <c r="R107" s="79"/>
      <c r="T107" s="80"/>
      <c r="U107" s="80"/>
      <c r="V107" s="80"/>
      <c r="W107" s="80"/>
      <c r="X107" s="80"/>
      <c r="Y107" s="80"/>
    </row>
    <row r="108" spans="2:25">
      <c r="B108" s="25"/>
      <c r="C108" s="25"/>
      <c r="D108" s="54" t="str">
        <f>Dachówka!B41</f>
        <v>Osprzęt elektryczny</v>
      </c>
      <c r="E108" s="54"/>
      <c r="F108" s="54"/>
      <c r="G108" s="29">
        <f>Dachówka!C41</f>
        <v>1</v>
      </c>
      <c r="H108" s="29"/>
      <c r="I108" s="29"/>
      <c r="J108" s="232">
        <v>0</v>
      </c>
      <c r="K108" s="233"/>
      <c r="L108" s="29"/>
      <c r="M108" s="25"/>
      <c r="N108" s="78"/>
      <c r="O108" s="199">
        <f>IFERROR((G108*J108)*(1-M108),"")</f>
        <v>0</v>
      </c>
      <c r="P108" s="199"/>
      <c r="Q108" s="79"/>
      <c r="R108" s="79"/>
      <c r="S108" s="12">
        <f>_xlfn.NUMBERVALUE(INT(Q108))</f>
        <v>0</v>
      </c>
      <c r="T108" s="80"/>
      <c r="U108" s="80"/>
      <c r="V108" s="80"/>
      <c r="W108" s="80"/>
      <c r="X108" s="80"/>
      <c r="Y108" s="80"/>
    </row>
    <row r="109" spans="2:25">
      <c r="B109" s="25"/>
      <c r="C109" s="25"/>
      <c r="D109" s="54" t="str">
        <f>Dachówka!B42</f>
        <v>Uzgodnienie z rzeczoznawcą ds. PPOŻ</v>
      </c>
      <c r="E109" s="54"/>
      <c r="F109" s="54"/>
      <c r="G109" s="29">
        <v>1</v>
      </c>
      <c r="H109" s="29"/>
      <c r="I109" s="29"/>
      <c r="J109" s="232">
        <v>0</v>
      </c>
      <c r="K109" s="233"/>
      <c r="L109" s="29"/>
      <c r="M109" s="25"/>
      <c r="N109" s="78"/>
      <c r="O109" s="199">
        <f>IFERROR((G109*J109)*(1-M109),"")</f>
        <v>0</v>
      </c>
      <c r="P109" s="199"/>
      <c r="Q109" s="79"/>
      <c r="R109" s="79"/>
      <c r="T109" s="80"/>
      <c r="U109" s="80"/>
      <c r="V109" s="80"/>
      <c r="W109" s="80"/>
      <c r="X109" s="80"/>
      <c r="Y109" s="80"/>
    </row>
    <row r="110" spans="2:25">
      <c r="B110" s="25"/>
      <c r="C110" s="25"/>
      <c r="D110" s="54" t="str">
        <f>Dachówka!B43</f>
        <v>Montaż</v>
      </c>
      <c r="E110" s="54"/>
      <c r="F110" s="54"/>
      <c r="G110" s="29">
        <f>Dachówka!C43</f>
        <v>1</v>
      </c>
      <c r="H110" s="29"/>
      <c r="I110" s="29"/>
      <c r="J110" s="230">
        <v>0</v>
      </c>
      <c r="K110" s="231"/>
      <c r="L110" s="29"/>
      <c r="M110" s="25"/>
      <c r="N110" s="29"/>
      <c r="O110" s="199">
        <f>IFERROR((G110*J110)*(1-M110),"")</f>
        <v>0</v>
      </c>
      <c r="P110" s="199"/>
      <c r="Q110" s="25"/>
      <c r="R110" s="25"/>
      <c r="T110" s="80"/>
      <c r="U110" s="80"/>
      <c r="V110" s="80"/>
      <c r="W110" s="80"/>
      <c r="X110" s="80"/>
      <c r="Y110" s="80"/>
    </row>
    <row r="111" spans="2:25">
      <c r="B111" s="25"/>
      <c r="C111" s="25"/>
      <c r="D111" s="123" t="s">
        <v>141</v>
      </c>
      <c r="E111" s="54"/>
      <c r="F111" s="54"/>
      <c r="G111" s="115"/>
      <c r="H111" s="115"/>
      <c r="I111" s="115"/>
      <c r="J111" s="134"/>
      <c r="K111" s="134"/>
      <c r="L111" s="115"/>
      <c r="M111" s="117"/>
      <c r="N111" s="115"/>
      <c r="O111" s="116"/>
      <c r="P111" s="116"/>
      <c r="Q111" s="25"/>
      <c r="R111" s="25"/>
      <c r="T111" s="80"/>
      <c r="U111" s="80"/>
      <c r="V111" s="80"/>
      <c r="W111" s="80"/>
      <c r="X111" s="80"/>
      <c r="Y111" s="80"/>
    </row>
    <row r="112" spans="2:25">
      <c r="B112" s="25"/>
      <c r="C112" s="74"/>
      <c r="D112" s="215"/>
      <c r="E112" s="216"/>
      <c r="F112" s="216"/>
      <c r="G112" s="135"/>
      <c r="H112" s="128"/>
      <c r="I112" s="129" t="str">
        <f>_xlfn.IFNA(VLOOKUP(D112,Cennik,2,FALSE),"")</f>
        <v/>
      </c>
      <c r="J112" s="217" t="str">
        <f>_xlfn.IFNA(VLOOKUP(D112,Cennik,3,FALSE),"")</f>
        <v/>
      </c>
      <c r="K112" s="217"/>
      <c r="L112" s="128"/>
      <c r="M112" s="130"/>
      <c r="N112" s="128"/>
      <c r="O112" s="217" t="str">
        <f>IFERROR((G112*J112)*(1-M112),"")</f>
        <v/>
      </c>
      <c r="P112" s="218"/>
      <c r="Q112" s="79"/>
      <c r="R112" s="79"/>
      <c r="T112" s="80"/>
      <c r="U112" s="80"/>
      <c r="V112" s="80"/>
      <c r="W112" s="80"/>
      <c r="X112" s="80"/>
      <c r="Y112" s="80"/>
    </row>
    <row r="113" spans="2:29">
      <c r="B113" s="25"/>
      <c r="C113" s="74"/>
      <c r="D113" s="234"/>
      <c r="E113" s="219"/>
      <c r="F113" s="219"/>
      <c r="G113" s="142"/>
      <c r="H113" s="115"/>
      <c r="I113" s="29"/>
      <c r="J113" s="124"/>
      <c r="K113" s="124"/>
      <c r="L113" s="115"/>
      <c r="M113" s="117"/>
      <c r="N113" s="115"/>
      <c r="O113" s="124"/>
      <c r="P113" s="174"/>
      <c r="Q113" s="79"/>
      <c r="R113" s="79"/>
      <c r="T113" s="80"/>
      <c r="U113" s="80"/>
      <c r="V113" s="80"/>
      <c r="W113" s="80"/>
      <c r="X113" s="80"/>
      <c r="Y113" s="80"/>
    </row>
    <row r="114" spans="2:29">
      <c r="B114" s="25"/>
      <c r="C114" s="74"/>
      <c r="D114" s="210" t="s">
        <v>156</v>
      </c>
      <c r="E114" s="211"/>
      <c r="F114" s="211"/>
      <c r="G114" s="136">
        <v>1</v>
      </c>
      <c r="H114" s="131"/>
      <c r="I114" s="132" t="str">
        <f>_xlfn.IFNA(VLOOKUP(D114,Cennik,2,FALSE),"")</f>
        <v/>
      </c>
      <c r="J114" s="230">
        <v>0</v>
      </c>
      <c r="K114" s="231"/>
      <c r="L114" s="131"/>
      <c r="M114" s="133"/>
      <c r="N114" s="131"/>
      <c r="O114" s="212">
        <f>IFERROR((G114*J114)*(1-M114),"")</f>
        <v>0</v>
      </c>
      <c r="P114" s="213"/>
      <c r="Q114" s="79"/>
      <c r="R114" s="79"/>
      <c r="T114" s="80"/>
      <c r="U114" s="80"/>
      <c r="V114" s="80"/>
      <c r="W114" s="80"/>
      <c r="X114" s="80"/>
      <c r="Y114" s="80"/>
    </row>
    <row r="115" spans="2:29">
      <c r="B115" s="25"/>
      <c r="C115" s="25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10"/>
      <c r="R115" s="25"/>
      <c r="T115" s="80"/>
      <c r="U115" s="80"/>
      <c r="V115" s="80"/>
      <c r="W115" s="80"/>
      <c r="X115" s="80"/>
      <c r="Y115" s="80"/>
    </row>
    <row r="116" spans="2:29">
      <c r="B116" s="25"/>
      <c r="C116" s="25"/>
      <c r="Q116" s="110"/>
      <c r="R116" s="25"/>
      <c r="T116" s="80"/>
      <c r="U116" s="80"/>
      <c r="V116" s="80"/>
      <c r="W116" s="80"/>
      <c r="X116" s="80"/>
      <c r="Y116" s="80"/>
    </row>
    <row r="117" spans="2:29">
      <c r="B117" s="25"/>
      <c r="C117" s="25"/>
      <c r="D117" s="25"/>
      <c r="E117" s="25"/>
      <c r="F117" s="25"/>
      <c r="G117" s="25"/>
      <c r="H117" s="25"/>
      <c r="I117" s="25"/>
      <c r="J117" s="25"/>
      <c r="K117" s="25" t="s">
        <v>139</v>
      </c>
      <c r="L117" s="25"/>
      <c r="M117" s="25"/>
      <c r="N117" s="25"/>
      <c r="O117" s="205">
        <f>SUM(O91:P109,O112:P114)</f>
        <v>27828.2</v>
      </c>
      <c r="P117" s="205"/>
      <c r="Q117" s="110"/>
      <c r="R117" s="25"/>
      <c r="T117" s="80"/>
      <c r="U117" s="80"/>
      <c r="V117" s="80"/>
      <c r="W117" s="80"/>
      <c r="X117" s="80"/>
      <c r="Y117" s="80"/>
    </row>
    <row r="118" spans="2:29">
      <c r="B118" s="25"/>
      <c r="C118" s="25"/>
      <c r="D118" s="25"/>
      <c r="E118" s="25"/>
      <c r="F118" s="25"/>
      <c r="G118" s="25"/>
      <c r="H118" s="25"/>
      <c r="I118" s="25"/>
      <c r="J118" s="25"/>
      <c r="K118" s="25" t="s">
        <v>130</v>
      </c>
      <c r="L118" s="25"/>
      <c r="M118" s="25"/>
      <c r="N118" s="25"/>
      <c r="O118" s="214">
        <f>+O117+O110</f>
        <v>27828.2</v>
      </c>
      <c r="P118" s="214" t="e">
        <f>+#REF!+J110</f>
        <v>#REF!</v>
      </c>
      <c r="Q118" s="110"/>
      <c r="R118" s="25"/>
      <c r="T118" s="80"/>
      <c r="U118" s="80"/>
      <c r="V118" s="80"/>
      <c r="W118" s="80"/>
      <c r="X118" s="80"/>
      <c r="Y118" s="80"/>
    </row>
    <row r="119" spans="2:29" ht="15" customHeight="1">
      <c r="B119" s="25"/>
      <c r="C119" s="25"/>
      <c r="D119" s="143" t="s">
        <v>143</v>
      </c>
      <c r="E119" s="122"/>
      <c r="F119" s="122"/>
      <c r="G119" s="139">
        <f>(G91*((VLOOKUP(D91,Cennik!F5:I8,4,FALSE))/1000))</f>
        <v>11.745000000000001</v>
      </c>
      <c r="H119" s="140" t="s">
        <v>38</v>
      </c>
      <c r="I119" s="25"/>
      <c r="J119" s="25"/>
      <c r="K119" s="25" t="s">
        <v>39</v>
      </c>
      <c r="L119" s="82"/>
      <c r="M119" s="25"/>
      <c r="N119" s="205">
        <f>+O118/G119</f>
        <v>2369.365687526607</v>
      </c>
      <c r="O119" s="205"/>
      <c r="P119" s="205"/>
      <c r="Q119" s="77"/>
      <c r="R119" s="77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2:29" ht="18">
      <c r="B120" s="25"/>
      <c r="C120" s="25"/>
      <c r="D120" s="83" t="s">
        <v>144</v>
      </c>
      <c r="E120" s="138"/>
      <c r="F120" s="138"/>
      <c r="G120" s="84" t="e">
        <f>VLOOKUP(D92,Cennik!F12:I21,4,FALSE)</f>
        <v>#N/A</v>
      </c>
      <c r="H120" s="85" t="s">
        <v>41</v>
      </c>
      <c r="I120" s="25"/>
      <c r="J120" s="25"/>
      <c r="K120" s="25" t="s">
        <v>40</v>
      </c>
      <c r="L120" s="82"/>
      <c r="M120" s="25"/>
      <c r="N120" s="205">
        <f>SUM(O93:P108)</f>
        <v>7528.2</v>
      </c>
      <c r="O120" s="205"/>
      <c r="P120" s="205"/>
      <c r="Q120" s="25"/>
      <c r="R120" s="25"/>
      <c r="T120" s="12"/>
      <c r="U120" s="12"/>
      <c r="V120" s="12"/>
      <c r="W120" s="12"/>
      <c r="X120" s="12" t="s">
        <v>41</v>
      </c>
      <c r="Y120" s="86">
        <v>1</v>
      </c>
      <c r="Z120" s="12"/>
      <c r="AA120" s="8"/>
      <c r="AB120" s="8"/>
      <c r="AC120" s="8"/>
    </row>
    <row r="121" spans="2:29">
      <c r="B121" s="25"/>
      <c r="C121" s="25"/>
      <c r="D121" s="25"/>
      <c r="E121" s="25"/>
      <c r="F121" s="25"/>
      <c r="G121" s="25"/>
      <c r="H121" s="25"/>
      <c r="I121" s="25"/>
      <c r="J121" s="25"/>
      <c r="K121" s="25" t="s">
        <v>42</v>
      </c>
      <c r="L121" s="82"/>
      <c r="M121" s="25"/>
      <c r="N121" s="205">
        <f>N120/G119</f>
        <v>640.97062579821193</v>
      </c>
      <c r="O121" s="205"/>
      <c r="P121" s="205"/>
      <c r="Q121" s="25"/>
      <c r="R121" s="25"/>
      <c r="T121" s="87"/>
      <c r="U121" s="12"/>
      <c r="V121" s="12"/>
      <c r="W121" s="12"/>
      <c r="X121" s="12" t="s">
        <v>41</v>
      </c>
      <c r="Y121" s="88"/>
      <c r="Z121" s="12" t="s">
        <v>43</v>
      </c>
      <c r="AA121" s="8"/>
      <c r="AB121" s="8"/>
      <c r="AC121" s="8"/>
    </row>
    <row r="122" spans="2:29">
      <c r="B122" s="25"/>
      <c r="C122" s="25"/>
      <c r="D122" s="25"/>
      <c r="E122" s="25"/>
      <c r="F122" s="25"/>
      <c r="G122" s="25"/>
      <c r="H122" s="25"/>
      <c r="I122" s="25"/>
      <c r="J122" s="25"/>
      <c r="K122" s="25" t="s">
        <v>153</v>
      </c>
      <c r="L122" s="82"/>
      <c r="M122" s="25"/>
      <c r="N122" s="113"/>
      <c r="O122" s="236">
        <v>0.23</v>
      </c>
      <c r="P122" s="236"/>
      <c r="Q122" s="25"/>
      <c r="R122" s="25"/>
      <c r="S122" s="86">
        <v>0.08</v>
      </c>
      <c r="T122" s="87"/>
      <c r="U122" s="12"/>
      <c r="V122" s="12"/>
      <c r="W122" s="12"/>
      <c r="X122" s="12"/>
      <c r="Y122" s="88"/>
      <c r="Z122" s="12"/>
      <c r="AA122" s="8"/>
      <c r="AB122" s="8"/>
      <c r="AC122" s="8"/>
    </row>
    <row r="123" spans="2:29">
      <c r="B123" s="25"/>
      <c r="C123" s="25"/>
      <c r="D123" s="25"/>
      <c r="E123" s="25"/>
      <c r="F123" s="25"/>
      <c r="G123" s="25"/>
      <c r="H123" s="25"/>
      <c r="I123" s="25"/>
      <c r="J123" s="25"/>
      <c r="K123" s="25" t="s">
        <v>154</v>
      </c>
      <c r="L123" s="82"/>
      <c r="M123" s="25"/>
      <c r="N123" s="113"/>
      <c r="O123" s="205">
        <f>+O118+(O118*$O$122)</f>
        <v>34228.686000000002</v>
      </c>
      <c r="P123" s="205"/>
      <c r="Q123" s="25"/>
      <c r="R123" s="25"/>
      <c r="S123" s="86">
        <v>0.23</v>
      </c>
      <c r="T123" s="87"/>
      <c r="U123" s="12"/>
      <c r="V123" s="12"/>
      <c r="W123" s="12"/>
      <c r="X123" s="12"/>
      <c r="Y123" s="88"/>
      <c r="Z123" s="12"/>
      <c r="AA123" s="8"/>
      <c r="AB123" s="8"/>
      <c r="AC123" s="8"/>
    </row>
    <row r="124" spans="2:29">
      <c r="B124" s="25"/>
      <c r="C124" s="25"/>
      <c r="D124" s="25"/>
      <c r="E124" s="25"/>
      <c r="F124" s="25"/>
      <c r="G124" s="25"/>
      <c r="H124" s="25"/>
      <c r="I124" s="25"/>
      <c r="J124" s="25"/>
      <c r="K124" s="25" t="s">
        <v>155</v>
      </c>
      <c r="L124" s="82"/>
      <c r="M124" s="25"/>
      <c r="N124" s="113"/>
      <c r="O124" s="205">
        <f>+O123/G119</f>
        <v>2914.3197956577264</v>
      </c>
      <c r="P124" s="205"/>
      <c r="Q124" s="25"/>
      <c r="R124" s="25"/>
      <c r="T124" s="87"/>
      <c r="U124" s="12"/>
      <c r="V124" s="12"/>
      <c r="W124" s="12"/>
      <c r="X124" s="12"/>
      <c r="Y124" s="88"/>
      <c r="Z124" s="12"/>
      <c r="AA124" s="8"/>
      <c r="AB124" s="8"/>
      <c r="AC124" s="8"/>
    </row>
    <row r="125" spans="2:29">
      <c r="B125" s="145"/>
      <c r="C125" s="145"/>
      <c r="D125" s="145"/>
      <c r="E125" s="145"/>
      <c r="F125" s="145"/>
      <c r="G125" s="145"/>
      <c r="H125" s="145"/>
      <c r="I125" s="146"/>
      <c r="J125" s="146"/>
      <c r="K125" s="146"/>
      <c r="L125" s="147"/>
      <c r="M125" s="147"/>
      <c r="N125" s="147"/>
      <c r="O125" s="147"/>
      <c r="P125" s="147"/>
      <c r="Q125" s="147"/>
      <c r="R125" s="147"/>
      <c r="T125" s="12"/>
      <c r="U125" s="12"/>
      <c r="V125" s="12"/>
      <c r="W125" s="12"/>
      <c r="X125" s="12"/>
      <c r="Y125" s="12"/>
      <c r="Z125" s="12"/>
    </row>
    <row r="126" spans="2:29">
      <c r="B126" s="209" t="s">
        <v>147</v>
      </c>
      <c r="C126" s="148"/>
      <c r="D126" s="149"/>
      <c r="E126" s="150"/>
      <c r="F126" s="150"/>
      <c r="G126" s="150"/>
      <c r="H126" s="151"/>
      <c r="I126" s="146"/>
      <c r="J126" s="235" t="s">
        <v>148</v>
      </c>
      <c r="K126" s="235"/>
      <c r="L126" s="235"/>
      <c r="M126" s="235"/>
      <c r="N126" s="235"/>
      <c r="O126" s="235"/>
      <c r="P126" s="235"/>
      <c r="Q126" s="235"/>
      <c r="R126" s="235"/>
      <c r="T126" s="12"/>
      <c r="U126" s="12"/>
    </row>
    <row r="127" spans="2:29">
      <c r="B127" s="209"/>
      <c r="C127" s="152"/>
      <c r="D127" s="153"/>
      <c r="E127" s="146"/>
      <c r="F127" s="146"/>
      <c r="G127" s="146"/>
      <c r="H127" s="154"/>
      <c r="I127" s="147"/>
      <c r="J127" s="235"/>
      <c r="K127" s="235"/>
      <c r="L127" s="235"/>
      <c r="M127" s="235"/>
      <c r="N127" s="235"/>
      <c r="O127" s="235"/>
      <c r="P127" s="235"/>
      <c r="Q127" s="235"/>
      <c r="R127" s="235"/>
      <c r="T127" s="12"/>
      <c r="U127" s="12"/>
    </row>
    <row r="128" spans="2:29" ht="15" customHeight="1">
      <c r="B128" s="209"/>
      <c r="C128" s="152"/>
      <c r="D128" s="155"/>
      <c r="E128" s="156"/>
      <c r="F128" s="156"/>
      <c r="G128" s="156"/>
      <c r="H128" s="157"/>
      <c r="I128" s="147"/>
      <c r="J128" s="235"/>
      <c r="K128" s="235"/>
      <c r="L128" s="235"/>
      <c r="M128" s="235"/>
      <c r="N128" s="235"/>
      <c r="O128" s="235"/>
      <c r="P128" s="235"/>
      <c r="Q128" s="235"/>
      <c r="R128" s="235"/>
      <c r="T128" s="12"/>
      <c r="U128" s="12"/>
    </row>
    <row r="129" spans="2:27">
      <c r="B129" s="209"/>
      <c r="C129" s="152"/>
      <c r="D129" s="145"/>
      <c r="E129" s="156"/>
      <c r="F129" s="156"/>
      <c r="G129" s="156"/>
      <c r="H129" s="157"/>
      <c r="I129" s="147"/>
      <c r="J129" s="235"/>
      <c r="K129" s="235"/>
      <c r="L129" s="235"/>
      <c r="M129" s="235"/>
      <c r="N129" s="235"/>
      <c r="O129" s="235"/>
      <c r="P129" s="235"/>
      <c r="Q129" s="235"/>
      <c r="R129" s="235"/>
      <c r="T129" s="12"/>
      <c r="U129" s="12"/>
    </row>
    <row r="130" spans="2:27">
      <c r="B130" s="209"/>
      <c r="C130" s="152"/>
      <c r="D130" s="158"/>
      <c r="E130" s="147"/>
      <c r="F130" s="147"/>
      <c r="G130" s="147"/>
      <c r="H130" s="159"/>
      <c r="I130" s="147"/>
      <c r="J130" s="235"/>
      <c r="K130" s="235"/>
      <c r="L130" s="235"/>
      <c r="M130" s="235"/>
      <c r="N130" s="235"/>
      <c r="O130" s="235"/>
      <c r="P130" s="235"/>
      <c r="Q130" s="235"/>
      <c r="R130" s="235"/>
      <c r="T130" s="12"/>
      <c r="U130" s="12"/>
    </row>
    <row r="131" spans="2:27">
      <c r="B131" s="209"/>
      <c r="C131" s="152"/>
      <c r="D131" s="158"/>
      <c r="E131" s="147"/>
      <c r="F131" s="147"/>
      <c r="G131" s="147"/>
      <c r="H131" s="159"/>
      <c r="I131" s="147"/>
      <c r="J131" s="235"/>
      <c r="K131" s="235"/>
      <c r="L131" s="235"/>
      <c r="M131" s="235"/>
      <c r="N131" s="235"/>
      <c r="O131" s="235"/>
      <c r="P131" s="235"/>
      <c r="Q131" s="235"/>
      <c r="R131" s="235"/>
      <c r="T131" s="12"/>
      <c r="U131" s="12"/>
    </row>
    <row r="132" spans="2:27">
      <c r="B132" s="209"/>
      <c r="C132" s="160"/>
      <c r="D132" s="161"/>
      <c r="E132" s="162"/>
      <c r="F132" s="162"/>
      <c r="G132" s="162"/>
      <c r="H132" s="163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T132" s="12"/>
      <c r="U132" s="12"/>
    </row>
    <row r="133" spans="2:27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T133" s="88" t="b">
        <v>1</v>
      </c>
      <c r="U133" s="12"/>
    </row>
    <row r="135" spans="2:27"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T135" s="6"/>
      <c r="U135" s="6"/>
    </row>
    <row r="136" spans="2:27"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T136" s="6"/>
      <c r="U136" s="6"/>
    </row>
    <row r="137" spans="2:27"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T137" s="6"/>
      <c r="U137" s="6"/>
    </row>
    <row r="138" spans="2:27" ht="122.25" customHeight="1">
      <c r="T138" s="6"/>
      <c r="U138" s="6"/>
      <c r="W138" s="12"/>
      <c r="AA138" s="12">
        <v>1</v>
      </c>
    </row>
    <row r="139" spans="2:27" ht="129" customHeight="1">
      <c r="T139" s="6"/>
      <c r="U139" s="6"/>
      <c r="W139" s="12"/>
      <c r="AA139" s="12">
        <v>0</v>
      </c>
    </row>
    <row r="140" spans="2:27">
      <c r="B140" s="94"/>
      <c r="T140" s="6"/>
      <c r="U140" s="6"/>
    </row>
    <row r="141" spans="2:27">
      <c r="T141" s="16"/>
      <c r="U141" s="17"/>
    </row>
  </sheetData>
  <sheetProtection algorithmName="SHA-512" hashValue="+MzZu4+1nr+mGpZect1cuihJ7x6t7OTNtfc9cA4Vxzm213JuxqA/XTVUEjLaq7BJgpOVirOMfJBvKgpmTCQv6w==" saltValue="cmXhBTh/el7L2xLrJGAcKg==" spinCount="100000" sheet="1" objects="1" scenarios="1"/>
  <protectedRanges>
    <protectedRange sqref="O122:P122" name="Rozstęp9"/>
    <protectedRange sqref="M91:M106" name="Rozstęp7"/>
    <protectedRange sqref="L10" name="Rozstęp5"/>
    <protectedRange sqref="H15" name="Rozstęp1"/>
    <protectedRange sqref="I17" name="Rozstęp2"/>
    <protectedRange sqref="G24:G41" name="Rozstęp3"/>
    <protectedRange sqref="D48 D51 D77 D81 D91:D92 J108:J110 D112:D114 G112:G114 C126:H132 G105" name="Rozstęp4"/>
    <protectedRange sqref="D60:F60" name="Rozstęp6"/>
    <protectedRange sqref="J114:K114" name="Rozstęp8"/>
  </protectedRanges>
  <mergeCells count="105">
    <mergeCell ref="D91:F91"/>
    <mergeCell ref="J91:K91"/>
    <mergeCell ref="O91:P91"/>
    <mergeCell ref="D60:F60"/>
    <mergeCell ref="F85:H85"/>
    <mergeCell ref="J85:M85"/>
    <mergeCell ref="C87:J88"/>
    <mergeCell ref="D81:F81"/>
    <mergeCell ref="D77:F78"/>
    <mergeCell ref="F1:H1"/>
    <mergeCell ref="J1:M1"/>
    <mergeCell ref="H5:R8"/>
    <mergeCell ref="D10:F10"/>
    <mergeCell ref="J10:K10"/>
    <mergeCell ref="D48:F48"/>
    <mergeCell ref="D31:E31"/>
    <mergeCell ref="D92:F92"/>
    <mergeCell ref="J92:K92"/>
    <mergeCell ref="O92:P92"/>
    <mergeCell ref="D33:E33"/>
    <mergeCell ref="D34:E34"/>
    <mergeCell ref="D41:E41"/>
    <mergeCell ref="D42:E42"/>
    <mergeCell ref="D43:E43"/>
    <mergeCell ref="D44:E44"/>
    <mergeCell ref="D35:E35"/>
    <mergeCell ref="D36:E36"/>
    <mergeCell ref="D37:E37"/>
    <mergeCell ref="D38:E38"/>
    <mergeCell ref="D39:E39"/>
    <mergeCell ref="D40:E40"/>
    <mergeCell ref="D51:F51"/>
    <mergeCell ref="Q59:Q63"/>
    <mergeCell ref="N121:P121"/>
    <mergeCell ref="N119:P119"/>
    <mergeCell ref="B12:B16"/>
    <mergeCell ref="C12:J13"/>
    <mergeCell ref="D15:G15"/>
    <mergeCell ref="H15:I15"/>
    <mergeCell ref="D32:E32"/>
    <mergeCell ref="D17:G18"/>
    <mergeCell ref="I17:I18"/>
    <mergeCell ref="J17:J18"/>
    <mergeCell ref="D24:E24"/>
    <mergeCell ref="D25:E25"/>
    <mergeCell ref="D26:E26"/>
    <mergeCell ref="D27:E27"/>
    <mergeCell ref="D28:E28"/>
    <mergeCell ref="D29:E29"/>
    <mergeCell ref="D30:E30"/>
    <mergeCell ref="J100:K100"/>
    <mergeCell ref="O100:P100"/>
    <mergeCell ref="J101:K101"/>
    <mergeCell ref="O101:P101"/>
    <mergeCell ref="J102:K102"/>
    <mergeCell ref="O102:P102"/>
    <mergeCell ref="D72:F73"/>
    <mergeCell ref="J109:K109"/>
    <mergeCell ref="O109:P109"/>
    <mergeCell ref="D113:F113"/>
    <mergeCell ref="B126:B132"/>
    <mergeCell ref="J126:R131"/>
    <mergeCell ref="O118:P118"/>
    <mergeCell ref="D93:F93"/>
    <mergeCell ref="J93:K93"/>
    <mergeCell ref="D94:F94"/>
    <mergeCell ref="J94:K94"/>
    <mergeCell ref="J95:K95"/>
    <mergeCell ref="D112:F112"/>
    <mergeCell ref="J104:K104"/>
    <mergeCell ref="J112:K112"/>
    <mergeCell ref="O98:P98"/>
    <mergeCell ref="J99:K99"/>
    <mergeCell ref="O99:P99"/>
    <mergeCell ref="O122:P122"/>
    <mergeCell ref="O123:P123"/>
    <mergeCell ref="O124:P124"/>
    <mergeCell ref="D105:F105"/>
    <mergeCell ref="J105:K105"/>
    <mergeCell ref="O105:P105"/>
    <mergeCell ref="N120:P120"/>
    <mergeCell ref="O106:P106"/>
    <mergeCell ref="J106:K106"/>
    <mergeCell ref="D103:F104"/>
    <mergeCell ref="B87:B91"/>
    <mergeCell ref="D114:F114"/>
    <mergeCell ref="J114:K114"/>
    <mergeCell ref="O114:P114"/>
    <mergeCell ref="O117:P117"/>
    <mergeCell ref="O104:P104"/>
    <mergeCell ref="O112:P112"/>
    <mergeCell ref="O93:P93"/>
    <mergeCell ref="O94:P94"/>
    <mergeCell ref="O95:P95"/>
    <mergeCell ref="O96:P96"/>
    <mergeCell ref="O97:P97"/>
    <mergeCell ref="J96:K96"/>
    <mergeCell ref="J97:K97"/>
    <mergeCell ref="J98:K98"/>
    <mergeCell ref="J108:K108"/>
    <mergeCell ref="O108:P108"/>
    <mergeCell ref="J110:K110"/>
    <mergeCell ref="O110:P110"/>
    <mergeCell ref="D100:F100"/>
    <mergeCell ref="D101:F101"/>
  </mergeCells>
  <conditionalFormatting sqref="C120">
    <cfRule type="iconSet" priority="6">
      <iconSet iconSet="3Symbols">
        <cfvo type="percent" val="0"/>
        <cfvo type="percent" val="33"/>
        <cfvo type="percent" val="67"/>
      </iconSet>
    </cfRule>
  </conditionalFormatting>
  <conditionalFormatting sqref="D127">
    <cfRule type="containsText" dxfId="0" priority="1" operator="containsText" text="Konieczne jest założenie karty urządzenia w CRO oraz wykonywanie corocznej kontroli szczelności układu chłodniczego.">
      <formula>NOT(ISERROR(SEARCH("Konieczne jest założenie karty urządzenia w CRO oraz wykonywanie corocznej kontroli szczelności układu chłodniczego.",D127)))</formula>
    </cfRule>
  </conditionalFormatting>
  <dataValidations count="5">
    <dataValidation type="whole" allowBlank="1" showInputMessage="1" showErrorMessage="1" sqref="I16" xr:uid="{00000000-0002-0000-0300-000000000000}">
      <formula1>10</formula1>
      <formula2>600</formula2>
    </dataValidation>
    <dataValidation type="list" allowBlank="1" showInputMessage="1" showErrorMessage="1" sqref="M43" xr:uid="{00000000-0002-0000-0300-000001000000}">
      <formula1>drugie_zr_c</formula1>
    </dataValidation>
    <dataValidation type="list" allowBlank="1" showInputMessage="1" showErrorMessage="1" sqref="M41" xr:uid="{00000000-0002-0000-0300-000002000000}">
      <formula1>pompy_ciepla_wybor</formula1>
    </dataValidation>
    <dataValidation type="list" allowBlank="1" showInputMessage="1" showErrorMessage="1" sqref="I28" xr:uid="{00000000-0002-0000-0300-000003000000}">
      <formula1>miasta</formula1>
    </dataValidation>
    <dataValidation type="list" allowBlank="1" showInputMessage="1" showErrorMessage="1" sqref="O122:P122" xr:uid="{698E2E59-8FBD-4013-98F6-586DAB3FF32B}">
      <formula1>$S$122:$S$123</formula1>
    </dataValidation>
  </dataValidations>
  <printOptions horizontalCentered="1"/>
  <pageMargins left="0" right="0" top="0.39370078740157505" bottom="0.39370078740157505" header="0" footer="0"/>
  <pageSetup paperSize="9" scale="65" fitToHeight="2" orientation="portrait" r:id="rId1"/>
  <rowBreaks count="1" manualBreakCount="1">
    <brk id="84" max="16383" man="1"/>
  </rowBreaks>
  <colBreaks count="1" manualBreakCount="1">
    <brk id="1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00000000-0002-0000-0300-000004000000}">
          <x14:formula1>
            <xm:f>Cennik!$F$31:$F$32</xm:f>
          </x14:formula1>
          <xm:sqref>D51:F51</xm:sqref>
        </x14:dataValidation>
        <x14:dataValidation type="list" allowBlank="1" showInputMessage="1" showErrorMessage="1" xr:uid="{00000000-0002-0000-0300-000005000000}">
          <x14:formula1>
            <xm:f>Dachówka!$B$52:$B$53</xm:f>
          </x14:formula1>
          <xm:sqref>H15</xm:sqref>
        </x14:dataValidation>
        <x14:dataValidation type="list" allowBlank="1" showInputMessage="1" showErrorMessage="1" xr:uid="{00000000-0002-0000-0300-000006000000}">
          <x14:formula1>
            <xm:f>Cennik!$F$23:$F$26</xm:f>
          </x14:formula1>
          <xm:sqref>D81:F81</xm:sqref>
        </x14:dataValidation>
        <x14:dataValidation type="list" allowBlank="1" showInputMessage="1" showErrorMessage="1" xr:uid="{F33D65B1-F51D-48B4-8550-680E7094593B}">
          <x14:formula1>
            <xm:f>Cennik!$F$34:$F$36</xm:f>
          </x14:formula1>
          <xm:sqref>D60</xm:sqref>
        </x14:dataValidation>
        <x14:dataValidation type="list" allowBlank="1" showInputMessage="1" showErrorMessage="1" xr:uid="{743F45BA-97FB-4709-97BA-7BACC86665E6}">
          <x14:formula1>
            <xm:f>Cennik!$F$37:$F$39</xm:f>
          </x14:formula1>
          <xm:sqref>D72:F73</xm:sqref>
        </x14:dataValidation>
        <x14:dataValidation type="list" allowBlank="1" showInputMessage="1" showErrorMessage="1" xr:uid="{00000000-0002-0000-0300-000009000000}">
          <x14:formula1>
            <xm:f>Cennik!$F$29:$F$30</xm:f>
          </x14:formula1>
          <xm:sqref>D48:F48</xm:sqref>
        </x14:dataValidation>
        <x14:dataValidation type="list" allowBlank="1" showInputMessage="1" showErrorMessage="1" xr:uid="{78E9AFD2-1FDE-4989-9B87-77CBA4650357}">
          <x14:formula1>
            <xm:f>Cennik!$F$5:$F$6</xm:f>
          </x14:formula1>
          <xm:sqref>D91:F91</xm:sqref>
        </x14:dataValidation>
        <x14:dataValidation type="list" allowBlank="1" showInputMessage="1" showErrorMessage="1" xr:uid="{00000000-0002-0000-0300-000007000000}">
          <x14:formula1>
            <xm:f>Cennik!$F$11:$F$21</xm:f>
          </x14:formula1>
          <xm:sqref>D92</xm:sqref>
        </x14:dataValidation>
        <x14:dataValidation type="list" allowBlank="1" showInputMessage="1" showErrorMessage="1" xr:uid="{AA72CA6F-EE3A-4211-9204-993E25E8B513}">
          <x14:formula1>
            <xm:f>Cennik!$F$28:$F$59</xm:f>
          </x14:formula1>
          <xm:sqref>D112:F113</xm:sqref>
        </x14:dataValidation>
        <x14:dataValidation type="list" allowBlank="1" showInputMessage="1" showErrorMessage="1" xr:uid="{05F51AE7-7504-491E-9FFC-1E9CD666F883}">
          <x14:formula1>
            <xm:f>Cennik!$F$48:$F$49</xm:f>
          </x14:formula1>
          <xm:sqref>D100</xm:sqref>
        </x14:dataValidation>
        <x14:dataValidation type="list" allowBlank="1" showInputMessage="1" showErrorMessage="1" xr:uid="{D39C7648-52C6-4529-92FA-26F230F66BD5}">
          <x14:formula1>
            <xm:f>Cennik!$F$50:$F$51</xm:f>
          </x14:formula1>
          <xm:sqref>D101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2:N53"/>
  <sheetViews>
    <sheetView topLeftCell="C1" workbookViewId="0">
      <selection activeCell="I18" sqref="I18"/>
    </sheetView>
  </sheetViews>
  <sheetFormatPr defaultColWidth="9.109375" defaultRowHeight="14.4"/>
  <cols>
    <col min="1" max="1" width="9.109375" customWidth="1"/>
    <col min="2" max="2" width="34.5546875" bestFit="1" customWidth="1"/>
    <col min="3" max="4" width="16.88671875" customWidth="1"/>
    <col min="5" max="5" width="15.6640625" customWidth="1"/>
    <col min="6" max="6" width="13.109375" customWidth="1"/>
    <col min="7" max="7" width="14.44140625" bestFit="1" customWidth="1"/>
    <col min="8" max="8" width="24.5546875" bestFit="1" customWidth="1"/>
    <col min="9" max="9" width="24.5546875" customWidth="1"/>
    <col min="10" max="10" width="27.33203125" bestFit="1" customWidth="1"/>
    <col min="11" max="11" width="24.88671875" bestFit="1" customWidth="1"/>
    <col min="12" max="12" width="19.88671875" bestFit="1" customWidth="1"/>
    <col min="13" max="13" width="43" bestFit="1" customWidth="1"/>
    <col min="14" max="14" width="17.109375" bestFit="1" customWidth="1"/>
    <col min="15" max="15" width="9.109375" customWidth="1"/>
  </cols>
  <sheetData>
    <row r="2" spans="2:14">
      <c r="B2" t="s">
        <v>44</v>
      </c>
      <c r="C2">
        <f>Dachówka_blachodachówka!I17</f>
        <v>805</v>
      </c>
      <c r="D2" t="s">
        <v>45</v>
      </c>
      <c r="E2" t="s">
        <v>46</v>
      </c>
      <c r="F2" s="95">
        <f>VLOOKUP($B$26,Cennik!F5:J8,5,FALSE)+0.02</f>
        <v>1.153</v>
      </c>
      <c r="G2" t="s">
        <v>47</v>
      </c>
    </row>
    <row r="4" spans="2:14">
      <c r="B4" s="96" t="s">
        <v>48</v>
      </c>
      <c r="C4" s="96" t="s">
        <v>49</v>
      </c>
      <c r="D4" s="96" t="s">
        <v>13</v>
      </c>
      <c r="E4" s="96" t="s">
        <v>14</v>
      </c>
      <c r="F4" s="96" t="str">
        <f>Cennik!F59</f>
        <v>Profil nośny modułu Solo light 4,4m</v>
      </c>
      <c r="G4" s="96" t="str">
        <f>Cennik!F52</f>
        <v xml:space="preserve">Łącznik profili Solo5 </v>
      </c>
      <c r="H4" s="96" t="str">
        <f>B32</f>
        <v>Hak dachowy Rapid2+ Max</v>
      </c>
      <c r="I4" s="96" t="str">
        <f>B33</f>
        <v>Podkładka uniwesalna 2,5/5 mm pod haki dachowe (100 szt)</v>
      </c>
      <c r="J4" s="96" t="str">
        <f>B34</f>
        <v>Wkręty do drewna VA8x120mm 50St</v>
      </c>
      <c r="K4" s="96" t="str">
        <f>B35</f>
        <v>Zaślepka plastikowa Profi05 20St.</v>
      </c>
      <c r="L4" s="96" t="str">
        <f>B38</f>
        <v>Zacisk odgromowy  8 i 10mm</v>
      </c>
      <c r="M4" s="97" t="s">
        <v>21</v>
      </c>
      <c r="N4" s="97" t="s">
        <v>23</v>
      </c>
    </row>
    <row r="5" spans="2:14">
      <c r="B5" s="98" t="s">
        <v>50</v>
      </c>
      <c r="C5" s="98">
        <f>Dachówka_blachodachówka!G24</f>
        <v>8</v>
      </c>
      <c r="D5" s="98">
        <f>IF(Dachówka!$C5&gt;0,((C5-1)*2),0)</f>
        <v>14</v>
      </c>
      <c r="E5" s="98">
        <f>IF(Dachówka!$C5&gt;0,4,0)</f>
        <v>4</v>
      </c>
      <c r="F5" s="98">
        <f>(CEILING(((Dachówka!$C5*$F$2)/4.3),1))*2</f>
        <v>6</v>
      </c>
      <c r="G5" s="98">
        <f>(IF((Dachówka!$F5&gt;2),((CEILING((Dachówka!$C5*$F$2/4.2),1))-1),0))*2</f>
        <v>4</v>
      </c>
      <c r="H5" s="98">
        <f>IF(C5=0,0,ROUNDUP((C5/($C$2/100)+1),0)*2)</f>
        <v>4</v>
      </c>
      <c r="I5" s="98">
        <f>+H5*4</f>
        <v>16</v>
      </c>
      <c r="J5" s="98">
        <f t="shared" ref="J5:J22" si="0">+H5*2</f>
        <v>8</v>
      </c>
      <c r="K5" s="98">
        <f t="shared" ref="K5:K22" si="1">+E5</f>
        <v>4</v>
      </c>
      <c r="L5" s="98">
        <f>IF(Dachówka!$C5&gt;0,2,0)</f>
        <v>2</v>
      </c>
      <c r="M5" s="99">
        <f>IF(C5=0,0,ROUNDUP((C5/($C$2/100)+1),0)*2)</f>
        <v>4</v>
      </c>
      <c r="N5" s="99">
        <f t="shared" ref="N5:N22" si="2">M5</f>
        <v>4</v>
      </c>
    </row>
    <row r="6" spans="2:14">
      <c r="B6" s="98" t="s">
        <v>51</v>
      </c>
      <c r="C6" s="98">
        <f>Dachówka_blachodachówka!G25</f>
        <v>6</v>
      </c>
      <c r="D6" s="98">
        <f>IF(Dachówka!$C6&gt;0,((C6-1)*2),0)</f>
        <v>10</v>
      </c>
      <c r="E6" s="98">
        <f>IF(Dachówka!$C6&gt;0,4,0)</f>
        <v>4</v>
      </c>
      <c r="F6" s="98">
        <f>(CEILING(((Dachówka!$C6*$F$2)/4.3),1))*2</f>
        <v>4</v>
      </c>
      <c r="G6" s="98">
        <f>(IF((Dachówka!$F6&gt;2),((CEILING((Dachówka!$C6*$F$2/4.2),1))-1),0))*2</f>
        <v>2</v>
      </c>
      <c r="H6" s="98">
        <f t="shared" ref="H6:H22" si="3">IF(C6=0,0,ROUNDUP((C6/($C$2/100)+1),0)*2)</f>
        <v>4</v>
      </c>
      <c r="I6" s="98">
        <f t="shared" ref="I6:I22" si="4">+H6*4</f>
        <v>16</v>
      </c>
      <c r="J6" s="98">
        <f t="shared" si="0"/>
        <v>8</v>
      </c>
      <c r="K6" s="98">
        <f t="shared" si="1"/>
        <v>4</v>
      </c>
      <c r="L6" s="98">
        <f>IF(Dachówka!$C6&gt;0,2,0)</f>
        <v>2</v>
      </c>
      <c r="M6" s="99">
        <f t="shared" ref="M6:M22" si="5">IF(C6=0,0,ROUNDUP((C6/($C$2/100)+1),0)*2)</f>
        <v>4</v>
      </c>
      <c r="N6" s="99">
        <f t="shared" si="2"/>
        <v>4</v>
      </c>
    </row>
    <row r="7" spans="2:14">
      <c r="B7" s="98" t="s">
        <v>52</v>
      </c>
      <c r="C7" s="98">
        <f>Dachówka_blachodachówka!G26</f>
        <v>0</v>
      </c>
      <c r="D7" s="98">
        <f>IF(Dachówka!$C7&gt;0,((C7-1)*2),0)</f>
        <v>0</v>
      </c>
      <c r="E7" s="98">
        <f>IF(Dachówka!$C7&gt;0,4,0)</f>
        <v>0</v>
      </c>
      <c r="F7" s="98">
        <f>(CEILING(((Dachówka!$C7*$F$2)/4.3),1))*2</f>
        <v>0</v>
      </c>
      <c r="G7" s="98">
        <f>(IF((Dachówka!$F7&gt;2),((CEILING((Dachówka!$C7*$F$2/4.2),1))-1),0))*2</f>
        <v>0</v>
      </c>
      <c r="H7" s="98">
        <f t="shared" si="3"/>
        <v>0</v>
      </c>
      <c r="I7" s="98">
        <f t="shared" si="4"/>
        <v>0</v>
      </c>
      <c r="J7" s="98">
        <f t="shared" si="0"/>
        <v>0</v>
      </c>
      <c r="K7" s="98">
        <f t="shared" si="1"/>
        <v>0</v>
      </c>
      <c r="L7" s="98">
        <f>IF(Dachówka!$C7&gt;0,2,0)</f>
        <v>0</v>
      </c>
      <c r="M7" s="99">
        <f t="shared" si="5"/>
        <v>0</v>
      </c>
      <c r="N7" s="99">
        <f t="shared" si="2"/>
        <v>0</v>
      </c>
    </row>
    <row r="8" spans="2:14">
      <c r="B8" s="98" t="s">
        <v>53</v>
      </c>
      <c r="C8" s="98">
        <f>Dachówka_blachodachówka!G27</f>
        <v>5</v>
      </c>
      <c r="D8" s="98">
        <f>IF(Dachówka!$C8&gt;0,((C8-1)*2),0)</f>
        <v>8</v>
      </c>
      <c r="E8" s="98">
        <f>IF(Dachówka!$C8&gt;0,4,0)</f>
        <v>4</v>
      </c>
      <c r="F8" s="98">
        <f>(CEILING(((Dachówka!$C8*$F$2)/4.3),1))*2</f>
        <v>4</v>
      </c>
      <c r="G8" s="98">
        <f>(IF((Dachówka!$F8&gt;2),((CEILING((Dachówka!$C8*$F$2/4.2),1))-1),0))*2</f>
        <v>2</v>
      </c>
      <c r="H8" s="98">
        <f t="shared" si="3"/>
        <v>4</v>
      </c>
      <c r="I8" s="98">
        <f t="shared" si="4"/>
        <v>16</v>
      </c>
      <c r="J8" s="98">
        <f t="shared" si="0"/>
        <v>8</v>
      </c>
      <c r="K8" s="98">
        <f t="shared" si="1"/>
        <v>4</v>
      </c>
      <c r="L8" s="98">
        <f>IF(Dachówka!$C8&gt;0,2,0)</f>
        <v>2</v>
      </c>
      <c r="M8" s="99">
        <f t="shared" si="5"/>
        <v>4</v>
      </c>
      <c r="N8" s="99">
        <f t="shared" si="2"/>
        <v>4</v>
      </c>
    </row>
    <row r="9" spans="2:14">
      <c r="B9" s="98" t="s">
        <v>54</v>
      </c>
      <c r="C9" s="98">
        <f>Dachówka_blachodachówka!G28</f>
        <v>5</v>
      </c>
      <c r="D9" s="98">
        <f>IF(Dachówka!$C9&gt;0,((C9-1)*2),0)</f>
        <v>8</v>
      </c>
      <c r="E9" s="98">
        <f>IF(Dachówka!$C9&gt;0,4,0)</f>
        <v>4</v>
      </c>
      <c r="F9" s="98">
        <f>(CEILING(((Dachówka!$C9*$F$2)/4.3),1))*2</f>
        <v>4</v>
      </c>
      <c r="G9" s="98">
        <f>(IF((Dachówka!$F9&gt;2),((CEILING((Dachówka!$C9*$F$2/4.2),1))-1),0))*2</f>
        <v>2</v>
      </c>
      <c r="H9" s="98">
        <f t="shared" si="3"/>
        <v>4</v>
      </c>
      <c r="I9" s="98">
        <f t="shared" si="4"/>
        <v>16</v>
      </c>
      <c r="J9" s="98">
        <f t="shared" si="0"/>
        <v>8</v>
      </c>
      <c r="K9" s="98">
        <f t="shared" si="1"/>
        <v>4</v>
      </c>
      <c r="L9" s="98">
        <f>IF(Dachówka!$C9&gt;0,2,0)</f>
        <v>2</v>
      </c>
      <c r="M9" s="99">
        <f t="shared" si="5"/>
        <v>4</v>
      </c>
      <c r="N9" s="99">
        <f t="shared" si="2"/>
        <v>4</v>
      </c>
    </row>
    <row r="10" spans="2:14">
      <c r="B10" s="98" t="s">
        <v>55</v>
      </c>
      <c r="C10" s="98">
        <f>Dachówka_blachodachówka!G29</f>
        <v>5</v>
      </c>
      <c r="D10" s="98">
        <f>IF(Dachówka!$C10&gt;0,((C10-1)*2),0)</f>
        <v>8</v>
      </c>
      <c r="E10" s="98">
        <f>IF(Dachówka!$C10&gt;0,4,0)</f>
        <v>4</v>
      </c>
      <c r="F10" s="98">
        <f>(CEILING(((Dachówka!$C10*$F$2)/4.3),1))*2</f>
        <v>4</v>
      </c>
      <c r="G10" s="98">
        <f>(IF((Dachówka!$F10&gt;2),((CEILING((Dachówka!$C10*$F$2/4.2),1))-1),0))*2</f>
        <v>2</v>
      </c>
      <c r="H10" s="98">
        <f t="shared" si="3"/>
        <v>4</v>
      </c>
      <c r="I10" s="98">
        <f t="shared" si="4"/>
        <v>16</v>
      </c>
      <c r="J10" s="98">
        <f t="shared" si="0"/>
        <v>8</v>
      </c>
      <c r="K10" s="98">
        <f t="shared" si="1"/>
        <v>4</v>
      </c>
      <c r="L10" s="98">
        <f>IF(Dachówka!$C10&gt;0,2,0)</f>
        <v>2</v>
      </c>
      <c r="M10" s="99">
        <f t="shared" si="5"/>
        <v>4</v>
      </c>
      <c r="N10" s="99">
        <f t="shared" si="2"/>
        <v>4</v>
      </c>
    </row>
    <row r="11" spans="2:14">
      <c r="B11" s="98" t="s">
        <v>56</v>
      </c>
      <c r="C11" s="98">
        <f>Dachówka_blachodachówka!G30</f>
        <v>0</v>
      </c>
      <c r="D11" s="98">
        <f>IF(Dachówka!$C11&gt;0,((C11-1)*2),0)</f>
        <v>0</v>
      </c>
      <c r="E11" s="98">
        <f>IF(Dachówka!$C11&gt;0,4,0)</f>
        <v>0</v>
      </c>
      <c r="F11" s="98">
        <f>(CEILING(((Dachówka!$C11*$F$2)/4.3),1))*2</f>
        <v>0</v>
      </c>
      <c r="G11" s="98">
        <f>(IF((Dachówka!$F11&gt;2),((CEILING((Dachówka!$C11*$F$2/4.2),1))-1),0))*2</f>
        <v>0</v>
      </c>
      <c r="H11" s="98">
        <f t="shared" si="3"/>
        <v>0</v>
      </c>
      <c r="I11" s="98">
        <f t="shared" si="4"/>
        <v>0</v>
      </c>
      <c r="J11" s="98">
        <f t="shared" si="0"/>
        <v>0</v>
      </c>
      <c r="K11" s="98">
        <f t="shared" si="1"/>
        <v>0</v>
      </c>
      <c r="L11" s="98">
        <f>IF(Dachówka!$C11&gt;0,2,0)</f>
        <v>0</v>
      </c>
      <c r="M11" s="99">
        <f t="shared" si="5"/>
        <v>0</v>
      </c>
      <c r="N11" s="99">
        <f t="shared" si="2"/>
        <v>0</v>
      </c>
    </row>
    <row r="12" spans="2:14">
      <c r="B12" s="98" t="s">
        <v>57</v>
      </c>
      <c r="C12" s="98">
        <f>Dachówka_blachodachówka!G31</f>
        <v>0</v>
      </c>
      <c r="D12" s="98">
        <f>IF(Dachówka!$C12&gt;0,((C12-1)*2),0)</f>
        <v>0</v>
      </c>
      <c r="E12" s="98">
        <f>IF(Dachówka!$C12&gt;0,4,0)</f>
        <v>0</v>
      </c>
      <c r="F12" s="98">
        <f>(CEILING(((Dachówka!$C12*$F$2)/4.3),1))*2</f>
        <v>0</v>
      </c>
      <c r="G12" s="98">
        <f>(IF((Dachówka!$F12&gt;2),((CEILING((Dachówka!$C12*$F$2/4.2),1))-1),0))*2</f>
        <v>0</v>
      </c>
      <c r="H12" s="98">
        <f t="shared" si="3"/>
        <v>0</v>
      </c>
      <c r="I12" s="98">
        <f t="shared" si="4"/>
        <v>0</v>
      </c>
      <c r="J12" s="98">
        <f t="shared" si="0"/>
        <v>0</v>
      </c>
      <c r="K12" s="98">
        <f t="shared" si="1"/>
        <v>0</v>
      </c>
      <c r="L12" s="98">
        <f>IF(Dachówka!$C12&gt;0,2,0)</f>
        <v>0</v>
      </c>
      <c r="M12" s="99">
        <f t="shared" si="5"/>
        <v>0</v>
      </c>
      <c r="N12" s="99">
        <f t="shared" si="2"/>
        <v>0</v>
      </c>
    </row>
    <row r="13" spans="2:14">
      <c r="B13" s="98" t="s">
        <v>58</v>
      </c>
      <c r="C13" s="98">
        <f>Dachówka_blachodachówka!G32</f>
        <v>0</v>
      </c>
      <c r="D13" s="98">
        <f>IF(Dachówka!$C13&gt;0,((C13-1)*2),0)</f>
        <v>0</v>
      </c>
      <c r="E13" s="98">
        <f>IF(Dachówka!$C13&gt;0,4,0)</f>
        <v>0</v>
      </c>
      <c r="F13" s="98">
        <f>(CEILING(((Dachówka!$C13*$F$2)/4.3),1))*2</f>
        <v>0</v>
      </c>
      <c r="G13" s="98">
        <f>(IF((Dachówka!$F13&gt;2),((CEILING((Dachówka!$C13*$F$2/4.2),1))-1),0))*2</f>
        <v>0</v>
      </c>
      <c r="H13" s="98">
        <f t="shared" si="3"/>
        <v>0</v>
      </c>
      <c r="I13" s="98">
        <f t="shared" si="4"/>
        <v>0</v>
      </c>
      <c r="J13" s="98">
        <f t="shared" si="0"/>
        <v>0</v>
      </c>
      <c r="K13" s="98">
        <f t="shared" si="1"/>
        <v>0</v>
      </c>
      <c r="L13" s="98">
        <f>IF(Dachówka!$C13&gt;0,2,0)</f>
        <v>0</v>
      </c>
      <c r="M13" s="99">
        <f t="shared" si="5"/>
        <v>0</v>
      </c>
      <c r="N13" s="99">
        <f t="shared" si="2"/>
        <v>0</v>
      </c>
    </row>
    <row r="14" spans="2:14">
      <c r="B14" s="98" t="s">
        <v>59</v>
      </c>
      <c r="C14" s="98">
        <f>Dachówka_blachodachówka!G33</f>
        <v>0</v>
      </c>
      <c r="D14" s="98">
        <f>IF(Dachówka!$C14&gt;0,((C14-1)*2),0)</f>
        <v>0</v>
      </c>
      <c r="E14" s="98">
        <f>IF(Dachówka!$C14&gt;0,4,0)</f>
        <v>0</v>
      </c>
      <c r="F14" s="98">
        <f>(CEILING(((Dachówka!$C14*$F$2)/4.3),1))*2</f>
        <v>0</v>
      </c>
      <c r="G14" s="98">
        <f>(IF((Dachówka!$F14&gt;2),((CEILING((Dachówka!$C14*$F$2/4.2),1))-1),0))*2</f>
        <v>0</v>
      </c>
      <c r="H14" s="98">
        <f t="shared" si="3"/>
        <v>0</v>
      </c>
      <c r="I14" s="98">
        <f t="shared" si="4"/>
        <v>0</v>
      </c>
      <c r="J14" s="98">
        <f t="shared" si="0"/>
        <v>0</v>
      </c>
      <c r="K14" s="98">
        <f t="shared" si="1"/>
        <v>0</v>
      </c>
      <c r="L14" s="98">
        <f>IF(Dachówka!$C14&gt;0,2,0)</f>
        <v>0</v>
      </c>
      <c r="M14" s="99">
        <f t="shared" si="5"/>
        <v>0</v>
      </c>
      <c r="N14" s="99">
        <f t="shared" si="2"/>
        <v>0</v>
      </c>
    </row>
    <row r="15" spans="2:14">
      <c r="B15" s="98" t="s">
        <v>60</v>
      </c>
      <c r="C15" s="98">
        <f>Dachówka_blachodachówka!G34</f>
        <v>0</v>
      </c>
      <c r="D15" s="98">
        <f>IF(Dachówka!$C15&gt;0,((C15-1)*2),0)</f>
        <v>0</v>
      </c>
      <c r="E15" s="98">
        <f>IF(Dachówka!$C15&gt;0,4,0)</f>
        <v>0</v>
      </c>
      <c r="F15" s="98">
        <f>(CEILING(((Dachówka!$C15*$F$2)/4.3),1))*2</f>
        <v>0</v>
      </c>
      <c r="G15" s="98">
        <f>(IF((Dachówka!$F15&gt;2),((CEILING((Dachówka!$C15*$F$2/4.2),1))-1),0))*2</f>
        <v>0</v>
      </c>
      <c r="H15" s="98">
        <f t="shared" si="3"/>
        <v>0</v>
      </c>
      <c r="I15" s="98">
        <f t="shared" si="4"/>
        <v>0</v>
      </c>
      <c r="J15" s="98">
        <f t="shared" si="0"/>
        <v>0</v>
      </c>
      <c r="K15" s="98">
        <f t="shared" si="1"/>
        <v>0</v>
      </c>
      <c r="L15" s="98">
        <f>IF(Dachówka!$C15&gt;0,2,0)</f>
        <v>0</v>
      </c>
      <c r="M15" s="99">
        <f t="shared" si="5"/>
        <v>0</v>
      </c>
      <c r="N15" s="99">
        <f t="shared" si="2"/>
        <v>0</v>
      </c>
    </row>
    <row r="16" spans="2:14">
      <c r="B16" s="98" t="s">
        <v>61</v>
      </c>
      <c r="C16" s="98">
        <f>Dachówka_blachodachówka!G35</f>
        <v>0</v>
      </c>
      <c r="D16" s="98">
        <f>IF(Dachówka!$C16&gt;0,((C16-1)*2),0)</f>
        <v>0</v>
      </c>
      <c r="E16" s="98">
        <f>IF(Dachówka!$C16&gt;0,4,0)</f>
        <v>0</v>
      </c>
      <c r="F16" s="98">
        <f>(CEILING(((Dachówka!$C16*$F$2)/4.3),1))*2</f>
        <v>0</v>
      </c>
      <c r="G16" s="98">
        <f>(IF((Dachówka!$F16&gt;2),((CEILING((Dachówka!$C16*$F$2/4.2),1))-1),0))*2</f>
        <v>0</v>
      </c>
      <c r="H16" s="98">
        <f t="shared" si="3"/>
        <v>0</v>
      </c>
      <c r="I16" s="98">
        <f t="shared" si="4"/>
        <v>0</v>
      </c>
      <c r="J16" s="98">
        <f t="shared" si="0"/>
        <v>0</v>
      </c>
      <c r="K16" s="98">
        <f t="shared" si="1"/>
        <v>0</v>
      </c>
      <c r="L16" s="98">
        <f>IF(Dachówka!$C16&gt;0,2,0)</f>
        <v>0</v>
      </c>
      <c r="M16" s="99">
        <f t="shared" si="5"/>
        <v>0</v>
      </c>
      <c r="N16" s="99">
        <f t="shared" si="2"/>
        <v>0</v>
      </c>
    </row>
    <row r="17" spans="2:14">
      <c r="B17" s="98" t="s">
        <v>62</v>
      </c>
      <c r="C17" s="98">
        <f>Dachówka_blachodachówka!G36</f>
        <v>0</v>
      </c>
      <c r="D17" s="98">
        <f>IF(Dachówka!$C17&gt;0,((C17-1)*2),0)</f>
        <v>0</v>
      </c>
      <c r="E17" s="98">
        <f>IF(Dachówka!$C17&gt;0,4,0)</f>
        <v>0</v>
      </c>
      <c r="F17" s="98">
        <f>(CEILING(((Dachówka!$C17*$F$2)/4.3),1))*2</f>
        <v>0</v>
      </c>
      <c r="G17" s="98">
        <f>(IF((Dachówka!$F17&gt;2),((CEILING((Dachówka!$C17*$F$2/4.2),1))-1),0))*2</f>
        <v>0</v>
      </c>
      <c r="H17" s="98">
        <f t="shared" si="3"/>
        <v>0</v>
      </c>
      <c r="I17" s="98">
        <f t="shared" si="4"/>
        <v>0</v>
      </c>
      <c r="J17" s="98">
        <f t="shared" si="0"/>
        <v>0</v>
      </c>
      <c r="K17" s="98">
        <f t="shared" si="1"/>
        <v>0</v>
      </c>
      <c r="L17" s="98">
        <f>IF(Dachówka!$C17&gt;0,2,0)</f>
        <v>0</v>
      </c>
      <c r="M17" s="99">
        <f t="shared" si="5"/>
        <v>0</v>
      </c>
      <c r="N17" s="99">
        <f t="shared" si="2"/>
        <v>0</v>
      </c>
    </row>
    <row r="18" spans="2:14">
      <c r="B18" s="98" t="s">
        <v>63</v>
      </c>
      <c r="C18" s="98">
        <f>Dachówka_blachodachówka!G37</f>
        <v>0</v>
      </c>
      <c r="D18" s="98">
        <f>IF(Dachówka!$C18&gt;0,((C18-1)*2),0)</f>
        <v>0</v>
      </c>
      <c r="E18" s="98">
        <f>IF(Dachówka!$C18&gt;0,4,0)</f>
        <v>0</v>
      </c>
      <c r="F18" s="98">
        <f>(CEILING(((Dachówka!$C18*$F$2)/4.3),1))*2</f>
        <v>0</v>
      </c>
      <c r="G18" s="98">
        <f>(IF((Dachówka!$F18&gt;2),((CEILING((Dachówka!$C18*$F$2/4.2),1))-1),0))*2</f>
        <v>0</v>
      </c>
      <c r="H18" s="98">
        <f t="shared" si="3"/>
        <v>0</v>
      </c>
      <c r="I18" s="98">
        <f t="shared" si="4"/>
        <v>0</v>
      </c>
      <c r="J18" s="98">
        <f t="shared" si="0"/>
        <v>0</v>
      </c>
      <c r="K18" s="98">
        <f t="shared" si="1"/>
        <v>0</v>
      </c>
      <c r="L18" s="98">
        <f>IF(Dachówka!$C18&gt;0,2,0)</f>
        <v>0</v>
      </c>
      <c r="M18" s="99">
        <f t="shared" si="5"/>
        <v>0</v>
      </c>
      <c r="N18" s="99">
        <f t="shared" si="2"/>
        <v>0</v>
      </c>
    </row>
    <row r="19" spans="2:14">
      <c r="B19" s="98" t="s">
        <v>64</v>
      </c>
      <c r="C19" s="98">
        <f>Dachówka_blachodachówka!G38</f>
        <v>0</v>
      </c>
      <c r="D19" s="98">
        <f>IF(Dachówka!$C19&gt;0,((C19-1)*2),0)</f>
        <v>0</v>
      </c>
      <c r="E19" s="98">
        <f>IF(Dachówka!$C19&gt;0,4,0)</f>
        <v>0</v>
      </c>
      <c r="F19" s="98">
        <f>(CEILING(((Dachówka!$C19*$F$2)/4.3),1))*2</f>
        <v>0</v>
      </c>
      <c r="G19" s="98">
        <f>(IF((Dachówka!$F19&gt;2),((CEILING((Dachówka!$C19*$F$2/4.2),1))-1),0))*2</f>
        <v>0</v>
      </c>
      <c r="H19" s="98">
        <f t="shared" si="3"/>
        <v>0</v>
      </c>
      <c r="I19" s="98">
        <f t="shared" si="4"/>
        <v>0</v>
      </c>
      <c r="J19" s="98">
        <f t="shared" si="0"/>
        <v>0</v>
      </c>
      <c r="K19" s="98">
        <f t="shared" si="1"/>
        <v>0</v>
      </c>
      <c r="L19" s="98">
        <f>IF(Dachówka!$C19&gt;0,2,0)</f>
        <v>0</v>
      </c>
      <c r="M19" s="99">
        <f t="shared" si="5"/>
        <v>0</v>
      </c>
      <c r="N19" s="99">
        <f t="shared" si="2"/>
        <v>0</v>
      </c>
    </row>
    <row r="20" spans="2:14">
      <c r="B20" s="98" t="s">
        <v>65</v>
      </c>
      <c r="C20" s="98">
        <f>Dachówka_blachodachówka!G39</f>
        <v>0</v>
      </c>
      <c r="D20" s="98">
        <f>IF(Dachówka!$C20&gt;0,((C20-1)*2),0)</f>
        <v>0</v>
      </c>
      <c r="E20" s="98">
        <f>IF(Dachówka!$C20&gt;0,4,0)</f>
        <v>0</v>
      </c>
      <c r="F20" s="98">
        <f>(CEILING(((Dachówka!$C20*$F$2)/4.3),1))*2</f>
        <v>0</v>
      </c>
      <c r="G20" s="98">
        <f>(IF((Dachówka!$F20&gt;2),((CEILING((Dachówka!$C20*$F$2/4.2),1))-1),0))*2</f>
        <v>0</v>
      </c>
      <c r="H20" s="98">
        <f t="shared" si="3"/>
        <v>0</v>
      </c>
      <c r="I20" s="98">
        <f t="shared" si="4"/>
        <v>0</v>
      </c>
      <c r="J20" s="98">
        <f t="shared" si="0"/>
        <v>0</v>
      </c>
      <c r="K20" s="98">
        <f t="shared" si="1"/>
        <v>0</v>
      </c>
      <c r="L20" s="98">
        <f>IF(Dachówka!$C20&gt;0,2,0)</f>
        <v>0</v>
      </c>
      <c r="M20" s="99">
        <f t="shared" si="5"/>
        <v>0</v>
      </c>
      <c r="N20" s="99">
        <f t="shared" si="2"/>
        <v>0</v>
      </c>
    </row>
    <row r="21" spans="2:14">
      <c r="B21" s="98" t="s">
        <v>66</v>
      </c>
      <c r="C21" s="98">
        <f>Dachówka_blachodachówka!G40</f>
        <v>0</v>
      </c>
      <c r="D21" s="98">
        <f>IF(Dachówka!$C21&gt;0,((C21-1)*2),0)</f>
        <v>0</v>
      </c>
      <c r="E21" s="98">
        <f>IF(Dachówka!$C21&gt;0,4,0)</f>
        <v>0</v>
      </c>
      <c r="F21" s="98">
        <f>(CEILING(((Dachówka!$C21*$F$2)/4.3),1))*2</f>
        <v>0</v>
      </c>
      <c r="G21" s="98">
        <f>(IF((Dachówka!$F21&gt;2),((CEILING((Dachówka!$C21*$F$2/4.2),1))-1),0))*2</f>
        <v>0</v>
      </c>
      <c r="H21" s="98">
        <f t="shared" si="3"/>
        <v>0</v>
      </c>
      <c r="I21" s="98">
        <f t="shared" si="4"/>
        <v>0</v>
      </c>
      <c r="J21" s="98">
        <f t="shared" si="0"/>
        <v>0</v>
      </c>
      <c r="K21" s="98">
        <f t="shared" si="1"/>
        <v>0</v>
      </c>
      <c r="L21" s="98">
        <f>IF(Dachówka!$C21&gt;0,2,0)</f>
        <v>0</v>
      </c>
      <c r="M21" s="99">
        <f t="shared" si="5"/>
        <v>0</v>
      </c>
      <c r="N21" s="99">
        <f t="shared" si="2"/>
        <v>0</v>
      </c>
    </row>
    <row r="22" spans="2:14">
      <c r="B22" s="98" t="s">
        <v>67</v>
      </c>
      <c r="C22" s="98">
        <f>Dachówka_blachodachówka!G41</f>
        <v>0</v>
      </c>
      <c r="D22" s="98">
        <f>IF(Dachówka!$C22&gt;0,((C22-1)*2),0)</f>
        <v>0</v>
      </c>
      <c r="E22" s="98">
        <f>IF(Dachówka!$C22&gt;0,4,0)</f>
        <v>0</v>
      </c>
      <c r="F22" s="98">
        <f>(CEILING(((Dachówka!$C22*$F$2)/4.3),1))*2</f>
        <v>0</v>
      </c>
      <c r="G22" s="98">
        <f>(IF((Dachówka!$F22&gt;2),((CEILING((Dachówka!$C22*$F$2/4.2),1))-1),0))*2</f>
        <v>0</v>
      </c>
      <c r="H22" s="98">
        <f t="shared" si="3"/>
        <v>0</v>
      </c>
      <c r="I22" s="98">
        <f t="shared" si="4"/>
        <v>0</v>
      </c>
      <c r="J22" s="98">
        <f t="shared" si="0"/>
        <v>0</v>
      </c>
      <c r="K22" s="98">
        <f t="shared" si="1"/>
        <v>0</v>
      </c>
      <c r="L22" s="98">
        <f>IF(Dachówka!$C22&gt;0,2,0)</f>
        <v>0</v>
      </c>
      <c r="M22" s="99">
        <f t="shared" si="5"/>
        <v>0</v>
      </c>
      <c r="N22" s="99">
        <f t="shared" si="2"/>
        <v>0</v>
      </c>
    </row>
    <row r="23" spans="2:14">
      <c r="B23" s="100" t="s">
        <v>68</v>
      </c>
      <c r="C23" s="100">
        <f t="shared" ref="C23:N23" si="6">SUM(C5:C22)</f>
        <v>29</v>
      </c>
      <c r="D23" s="100">
        <f t="shared" si="6"/>
        <v>48</v>
      </c>
      <c r="E23" s="100">
        <f t="shared" si="6"/>
        <v>20</v>
      </c>
      <c r="F23" s="100">
        <f t="shared" si="6"/>
        <v>22</v>
      </c>
      <c r="G23" s="100">
        <f t="shared" si="6"/>
        <v>12</v>
      </c>
      <c r="H23" s="100">
        <f t="shared" si="6"/>
        <v>20</v>
      </c>
      <c r="I23" s="100">
        <f t="shared" si="6"/>
        <v>80</v>
      </c>
      <c r="J23" s="100">
        <f t="shared" si="6"/>
        <v>40</v>
      </c>
      <c r="K23" s="100">
        <f t="shared" si="6"/>
        <v>20</v>
      </c>
      <c r="L23" s="100">
        <f t="shared" si="6"/>
        <v>10</v>
      </c>
      <c r="M23" s="99">
        <f t="shared" si="6"/>
        <v>20</v>
      </c>
      <c r="N23" s="99">
        <f t="shared" si="6"/>
        <v>20</v>
      </c>
    </row>
    <row r="25" spans="2:14">
      <c r="B25" s="96" t="s">
        <v>24</v>
      </c>
      <c r="C25" s="96" t="s">
        <v>25</v>
      </c>
      <c r="D25" s="96" t="s">
        <v>26</v>
      </c>
      <c r="E25" s="96" t="s">
        <v>27</v>
      </c>
      <c r="F25" s="96" t="s">
        <v>69</v>
      </c>
      <c r="G25" s="96" t="s">
        <v>28</v>
      </c>
    </row>
    <row r="26" spans="2:14">
      <c r="B26" t="str">
        <f>Dachówka_blachodachówka!D91</f>
        <v>Vitovolt 300 M405 AK Standard</v>
      </c>
      <c r="C26">
        <f>+C23</f>
        <v>29</v>
      </c>
      <c r="D26">
        <f>VLOOKUP($B$26,PV,2,FALSE)</f>
        <v>7959744</v>
      </c>
      <c r="E26" s="101">
        <f>VLOOKUP($B$26,PV,3,FALSE)</f>
        <v>700</v>
      </c>
      <c r="F26" s="102">
        <f>Dachówka_blachodachówka!M91</f>
        <v>0</v>
      </c>
      <c r="G26" s="101">
        <f t="shared" ref="G26:G43" si="7">(E26*C26)*(1-F26)</f>
        <v>20300</v>
      </c>
    </row>
    <row r="27" spans="2:14">
      <c r="B27" t="str">
        <f>Dachówka_blachodachówka!D92</f>
        <v>***FRONIUS***</v>
      </c>
      <c r="C27">
        <v>1</v>
      </c>
      <c r="D27" t="e">
        <f>VLOOKUP($B$27,Cennik!F12:H21,2,FALSE)</f>
        <v>#N/A</v>
      </c>
      <c r="E27" s="101" t="e">
        <f>VLOOKUP($B$27,Cennik!F12:H21,3,FALSE)</f>
        <v>#N/A</v>
      </c>
      <c r="F27" s="102">
        <f>Dachówka_blachodachówka!M92</f>
        <v>0</v>
      </c>
      <c r="G27" s="101" t="e">
        <f t="shared" si="7"/>
        <v>#N/A</v>
      </c>
    </row>
    <row r="28" spans="2:14">
      <c r="B28" t="str">
        <f>Dachówka_blachodachówka!D93</f>
        <v>Klemy środkowe czarne</v>
      </c>
      <c r="C28">
        <f>D23</f>
        <v>48</v>
      </c>
      <c r="D28">
        <f>VLOOKUP($B$28,Cennik!F29:H30,2,FALSE)</f>
        <v>7783978</v>
      </c>
      <c r="E28" s="101">
        <f>VLOOKUP($B$28,Cennik!F29:H30,3,FALSE)</f>
        <v>11.4</v>
      </c>
      <c r="F28" s="102">
        <f t="shared" ref="F28:F38" si="8">$G$46</f>
        <v>0</v>
      </c>
      <c r="G28" s="101">
        <f t="shared" si="7"/>
        <v>547.20000000000005</v>
      </c>
    </row>
    <row r="29" spans="2:14">
      <c r="B29" t="str">
        <f>Dachówka_blachodachówka!D94</f>
        <v>Klemy końcowe czarne</v>
      </c>
      <c r="C29">
        <f>E23</f>
        <v>20</v>
      </c>
      <c r="D29">
        <f>VLOOKUP($B$29,Cennik!F31:H32,2,FALSE)</f>
        <v>7783973</v>
      </c>
      <c r="E29" s="101">
        <f>VLOOKUP($B$29,Cennik!F31:H32,3,FALSE)</f>
        <v>11.5</v>
      </c>
      <c r="F29" s="102">
        <f t="shared" si="8"/>
        <v>0</v>
      </c>
      <c r="G29" s="101">
        <f t="shared" si="7"/>
        <v>230</v>
      </c>
    </row>
    <row r="30" spans="2:14">
      <c r="B30" t="str">
        <f>+F4</f>
        <v>Profil nośny modułu Solo light 4,4m</v>
      </c>
      <c r="C30">
        <f>F23</f>
        <v>22</v>
      </c>
      <c r="D30">
        <f>VLOOKUP($B30,Cennik,2,FALSE)</f>
        <v>7955972</v>
      </c>
      <c r="E30" s="101">
        <f>VLOOKUP($B30,Cennik,3,FALSE)</f>
        <v>189</v>
      </c>
      <c r="F30" s="102">
        <f t="shared" si="8"/>
        <v>0</v>
      </c>
      <c r="G30" s="101">
        <f t="shared" si="7"/>
        <v>4158</v>
      </c>
    </row>
    <row r="31" spans="2:14">
      <c r="B31" t="str">
        <f>G4</f>
        <v xml:space="preserve">Łącznik profili Solo5 </v>
      </c>
      <c r="C31">
        <f>G23</f>
        <v>12</v>
      </c>
      <c r="D31">
        <f>VLOOKUP(B31,Cennik,2,FALSE)</f>
        <v>7561087</v>
      </c>
      <c r="E31" s="101">
        <f>VLOOKUP($B31,Cennik,3,FALSE)</f>
        <v>17</v>
      </c>
      <c r="F31" s="102">
        <f t="shared" si="8"/>
        <v>0</v>
      </c>
      <c r="G31" s="101">
        <f t="shared" si="7"/>
        <v>204</v>
      </c>
    </row>
    <row r="32" spans="2:14">
      <c r="B32" t="str">
        <f>Dachówka_blachodachówka!D60</f>
        <v>Hak dachowy Rapid2+ Max</v>
      </c>
      <c r="C32">
        <f>H23</f>
        <v>20</v>
      </c>
      <c r="D32">
        <f>VLOOKUP($B$32,Cennik,2,FALSE)</f>
        <v>7457973</v>
      </c>
      <c r="E32" s="101">
        <f>VLOOKUP($B$32,Cennik,3,FALSE)</f>
        <v>97</v>
      </c>
      <c r="F32" s="102">
        <f t="shared" si="8"/>
        <v>0</v>
      </c>
      <c r="G32" s="101">
        <f t="shared" si="7"/>
        <v>1940</v>
      </c>
    </row>
    <row r="33" spans="2:8">
      <c r="B33" t="str">
        <f>Dachówka_blachodachówka!D77</f>
        <v>Podkładka uniwesalna 2,5/5 mm pod haki dachowe (100 szt)</v>
      </c>
      <c r="C33">
        <f>IF(B33="Podkładka VAMax Rapid Max 25 szt.",ROUNDUP(I23/25,0),ROUNDUP((I23/50),0))</f>
        <v>2</v>
      </c>
      <c r="E33" s="101"/>
      <c r="F33" s="102"/>
      <c r="G33" s="101"/>
    </row>
    <row r="34" spans="2:8">
      <c r="B34" t="str">
        <f>Cennik!F42</f>
        <v>Wkręty do drewna VA8x120mm 50St</v>
      </c>
      <c r="C34">
        <f>ROUNDUP((J23/50),0)</f>
        <v>1</v>
      </c>
      <c r="D34">
        <f>VLOOKUP($B$34,Cennik,2,FALSE)</f>
        <v>7457992</v>
      </c>
      <c r="E34" s="101">
        <f>VLOOKUP($B$34,Cennik,3,FALSE)</f>
        <v>177</v>
      </c>
      <c r="F34" s="102">
        <f t="shared" si="8"/>
        <v>0</v>
      </c>
      <c r="G34" s="101">
        <f t="shared" si="7"/>
        <v>177</v>
      </c>
    </row>
    <row r="35" spans="2:8">
      <c r="B35" t="str">
        <f>Cennik!F45</f>
        <v>Zaślepka plastikowa Profi05 20St.</v>
      </c>
      <c r="C35">
        <f>ROUNDUP((K23/20),0)</f>
        <v>1</v>
      </c>
      <c r="D35">
        <f>VLOOKUP(B35,Cennik,2,FALSE)</f>
        <v>7497891</v>
      </c>
      <c r="E35" s="101">
        <f>VLOOKUP(B35,Cennik,3,FALSE)</f>
        <v>35</v>
      </c>
      <c r="F35" s="102">
        <f t="shared" si="8"/>
        <v>0</v>
      </c>
      <c r="G35" s="101">
        <f t="shared" si="7"/>
        <v>35</v>
      </c>
    </row>
    <row r="36" spans="2:8">
      <c r="B36" t="str">
        <f>Cennik!F49</f>
        <v>Gniazda MC4 EVO2 4,0-6,0 mm2 (20 sztuk)</v>
      </c>
      <c r="C36">
        <v>1</v>
      </c>
      <c r="D36">
        <f>VLOOKUP(B36,Cennik,2,FALSE)</f>
        <v>7998634</v>
      </c>
      <c r="E36" s="101">
        <f>VLOOKUP(B36,Cennik,3,FALSE)</f>
        <v>127</v>
      </c>
      <c r="F36" s="102">
        <f t="shared" si="8"/>
        <v>0</v>
      </c>
      <c r="G36" s="101">
        <f t="shared" si="7"/>
        <v>127</v>
      </c>
    </row>
    <row r="37" spans="2:8">
      <c r="B37" t="str">
        <f>Cennik!F51</f>
        <v>Wtyczki MC4 EVO2 4,0-6,0 mm2 (20 sztuk)</v>
      </c>
      <c r="C37">
        <v>1</v>
      </c>
      <c r="D37">
        <f>VLOOKUP(B37,Cennik,2,FALSE)</f>
        <v>7998635</v>
      </c>
      <c r="E37" s="101">
        <f>VLOOKUP(B37,Cennik,3,FALSE)</f>
        <v>101</v>
      </c>
      <c r="F37" s="102">
        <f t="shared" si="8"/>
        <v>0</v>
      </c>
      <c r="G37" s="101">
        <f t="shared" si="7"/>
        <v>101</v>
      </c>
    </row>
    <row r="38" spans="2:8">
      <c r="B38" t="str">
        <f>Cennik!F40</f>
        <v>Zacisk odgromowy  8 i 10mm</v>
      </c>
      <c r="C38">
        <f>L23</f>
        <v>10</v>
      </c>
      <c r="D38">
        <f>VLOOKUP(B38,Cennik,2,FALSE)</f>
        <v>7457988</v>
      </c>
      <c r="E38" s="101">
        <f>VLOOKUP(B38,Cennik,3,FALSE)</f>
        <v>13</v>
      </c>
      <c r="F38" s="102">
        <f t="shared" si="8"/>
        <v>0</v>
      </c>
      <c r="G38" s="101">
        <f t="shared" si="7"/>
        <v>130</v>
      </c>
    </row>
    <row r="39" spans="2:8">
      <c r="B39" t="str">
        <f>Dachówka_blachodachówka!D105</f>
        <v>Kabel solarny 100 m 6mm2</v>
      </c>
      <c r="C39">
        <f>Dachówka_blachodachówka!G105</f>
        <v>1</v>
      </c>
      <c r="D39">
        <f>VLOOKUP($B$39,Cennik!F23:H26,2,FALSE)</f>
        <v>7374380</v>
      </c>
      <c r="E39" s="101">
        <f>VLOOKUP($B$39,Cennik!F23:H26,3,FALSE)</f>
        <v>549</v>
      </c>
      <c r="F39" s="102">
        <f>Dachówka_blachodachówka!M105</f>
        <v>0</v>
      </c>
      <c r="G39" s="101">
        <f t="shared" si="7"/>
        <v>549</v>
      </c>
    </row>
    <row r="40" spans="2:8">
      <c r="B40" t="e">
        <f>Dachówka_blachodachówka!#REF!</f>
        <v>#REF!</v>
      </c>
      <c r="C40" t="e">
        <f>Dachówka_blachodachówka!#REF!</f>
        <v>#REF!</v>
      </c>
      <c r="D40" t="e">
        <f>_xlfn.IFNA(VLOOKUP($B$40,Cennik!$F$10:$H$59,2,FALSE),"")</f>
        <v>#REF!</v>
      </c>
      <c r="E40" s="118" t="e">
        <f>_xlfn.IFNA(VLOOKUP($B$40,Cennik!$F$10:$H$59,3,FALSE),"")</f>
        <v>#REF!</v>
      </c>
      <c r="F40" s="102" t="e">
        <f>Dachówka_blachodachówka!#REF!</f>
        <v>#REF!</v>
      </c>
      <c r="G40" s="101" t="e">
        <f>IF(E40="","",((E40*C40)*(1-F40)))</f>
        <v>#REF!</v>
      </c>
    </row>
    <row r="41" spans="2:8">
      <c r="B41" t="s">
        <v>34</v>
      </c>
      <c r="C41">
        <v>1</v>
      </c>
      <c r="E41" s="101">
        <f>Dachówka_blachodachówka!J108</f>
        <v>0</v>
      </c>
      <c r="F41" s="102">
        <f>Dachówka_blachodachówka!M108</f>
        <v>0</v>
      </c>
      <c r="G41" s="101">
        <f t="shared" si="7"/>
        <v>0</v>
      </c>
    </row>
    <row r="42" spans="2:8">
      <c r="B42" t="s">
        <v>152</v>
      </c>
      <c r="C42">
        <v>1</v>
      </c>
      <c r="E42" s="101">
        <f>Dachówka_blachodachówka!J109</f>
        <v>0</v>
      </c>
      <c r="F42" s="102">
        <f>Dachówka_blachodachówka!M109</f>
        <v>0</v>
      </c>
      <c r="G42" s="101">
        <f t="shared" si="7"/>
        <v>0</v>
      </c>
    </row>
    <row r="43" spans="2:8">
      <c r="B43" t="s">
        <v>35</v>
      </c>
      <c r="C43">
        <v>1</v>
      </c>
      <c r="E43" s="101">
        <f>Dachówka_blachodachówka!J110</f>
        <v>0</v>
      </c>
      <c r="F43" s="102">
        <f>Dachówka_blachodachówka!M110</f>
        <v>0</v>
      </c>
      <c r="G43" s="101">
        <f t="shared" si="7"/>
        <v>0</v>
      </c>
    </row>
    <row r="44" spans="2:8">
      <c r="E44" s="101"/>
      <c r="G44" s="103"/>
    </row>
    <row r="45" spans="2:8">
      <c r="E45" s="95" t="s">
        <v>68</v>
      </c>
      <c r="F45" s="95"/>
      <c r="G45" s="103" t="e">
        <f>SUM(G26:G43)</f>
        <v>#N/A</v>
      </c>
    </row>
    <row r="46" spans="2:8" ht="18">
      <c r="B46" s="104" t="s">
        <v>37</v>
      </c>
      <c r="C46" s="105">
        <f>(C26*((VLOOKUP(B26,Cennik!F5:I8,4,FALSE))/1000))</f>
        <v>11.745000000000001</v>
      </c>
      <c r="D46" s="104" t="s">
        <v>38</v>
      </c>
      <c r="E46" s="95" t="s">
        <v>69</v>
      </c>
      <c r="F46" s="95"/>
      <c r="G46" s="106">
        <f>Dachówka_blachodachówka!P115</f>
        <v>0</v>
      </c>
    </row>
    <row r="47" spans="2:8">
      <c r="E47" s="95" t="s">
        <v>39</v>
      </c>
      <c r="F47" s="95"/>
      <c r="G47" s="103" t="e">
        <f>+G45/C46</f>
        <v>#N/A</v>
      </c>
      <c r="H47" t="e">
        <f>+G47*1.23</f>
        <v>#N/A</v>
      </c>
    </row>
    <row r="48" spans="2:8">
      <c r="E48" s="95" t="s">
        <v>40</v>
      </c>
      <c r="F48" s="95"/>
      <c r="G48" s="103" t="e">
        <f>SUM(G28:G41)</f>
        <v>#REF!</v>
      </c>
    </row>
    <row r="49" spans="2:7">
      <c r="E49" s="95" t="s">
        <v>42</v>
      </c>
      <c r="F49" s="95"/>
      <c r="G49" s="103" t="e">
        <f>G48/C46</f>
        <v>#REF!</v>
      </c>
    </row>
    <row r="50" spans="2:7">
      <c r="B50" s="107"/>
      <c r="C50" s="107"/>
      <c r="D50" s="107"/>
    </row>
    <row r="52" spans="2:7">
      <c r="B52" t="s">
        <v>6</v>
      </c>
    </row>
    <row r="53" spans="2:7">
      <c r="B53" t="s">
        <v>70</v>
      </c>
    </row>
  </sheetData>
  <pageMargins left="0.70000000000000007" right="0.70000000000000007" top="0.75" bottom="0.75" header="0.30000000000000004" footer="0.30000000000000004"/>
  <pageSetup paperSize="9" fitToWidth="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400-000001000000}">
          <x14:formula1>
            <xm:f>Cennik!$F$23:$F$26</xm:f>
          </x14:formula1>
          <xm:sqref>B39</xm:sqref>
        </x14:dataValidation>
        <x14:dataValidation type="list" allowBlank="1" showInputMessage="1" showErrorMessage="1" xr:uid="{00000000-0002-0000-0400-000002000000}">
          <x14:formula1>
            <xm:f>Cennik!$F$5:$F$8</xm:f>
          </x14:formula1>
          <xm:sqref>B26</xm:sqref>
        </x14:dataValidation>
        <x14:dataValidation type="list" allowBlank="1" showInputMessage="1" showErrorMessage="1" xr:uid="{00000000-0002-0000-0400-000000000000}">
          <x14:formula1>
            <xm:f>Cennik!$F$12:$F$21</xm:f>
          </x14:formula1>
          <xm:sqref>B27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2:M47"/>
  <sheetViews>
    <sheetView topLeftCell="C1" workbookViewId="0">
      <selection activeCell="L27" sqref="L27"/>
    </sheetView>
  </sheetViews>
  <sheetFormatPr defaultColWidth="9.109375" defaultRowHeight="14.4"/>
  <cols>
    <col min="1" max="1" width="9.109375" customWidth="1"/>
    <col min="2" max="2" width="45" bestFit="1" customWidth="1"/>
    <col min="3" max="4" width="16.88671875" customWidth="1"/>
    <col min="5" max="5" width="15.6640625" customWidth="1"/>
    <col min="6" max="6" width="13.109375" customWidth="1"/>
    <col min="7" max="7" width="14.44140625" bestFit="1" customWidth="1"/>
    <col min="8" max="8" width="24.5546875" bestFit="1" customWidth="1"/>
    <col min="9" max="9" width="27.33203125" bestFit="1" customWidth="1"/>
    <col min="10" max="10" width="24.88671875" bestFit="1" customWidth="1"/>
    <col min="11" max="11" width="19.88671875" bestFit="1" customWidth="1"/>
    <col min="12" max="12" width="43" bestFit="1" customWidth="1"/>
    <col min="13" max="13" width="17.109375" bestFit="1" customWidth="1"/>
    <col min="14" max="14" width="9.109375" customWidth="1"/>
  </cols>
  <sheetData>
    <row r="2" spans="2:13">
      <c r="B2" t="s">
        <v>44</v>
      </c>
      <c r="C2">
        <f>Dachówka_blachodachówka!I17</f>
        <v>805</v>
      </c>
      <c r="D2" t="s">
        <v>45</v>
      </c>
      <c r="E2" t="s">
        <v>46</v>
      </c>
      <c r="F2" s="95">
        <f>Dachówka!F2</f>
        <v>1.153</v>
      </c>
      <c r="G2" t="s">
        <v>47</v>
      </c>
    </row>
    <row r="4" spans="2:13">
      <c r="B4" s="96" t="s">
        <v>48</v>
      </c>
      <c r="C4" s="96" t="s">
        <v>49</v>
      </c>
      <c r="D4" s="96" t="s">
        <v>13</v>
      </c>
      <c r="E4" s="96" t="s">
        <v>14</v>
      </c>
      <c r="F4" s="96" t="str">
        <f>Dachówka!F4</f>
        <v>Profil nośny modułu Solo light 4,4m</v>
      </c>
      <c r="G4" s="96" t="str">
        <f>Cennik!F52</f>
        <v xml:space="preserve">Łącznik profili Solo5 </v>
      </c>
      <c r="H4" s="96" t="s">
        <v>71</v>
      </c>
      <c r="I4" s="96" t="s">
        <v>72</v>
      </c>
      <c r="J4" s="96" t="s">
        <v>73</v>
      </c>
      <c r="K4" s="96" t="str">
        <f>B37</f>
        <v>Zacisk odgromowy  8 i 10mm</v>
      </c>
      <c r="L4" s="97" t="s">
        <v>21</v>
      </c>
      <c r="M4" s="97" t="s">
        <v>23</v>
      </c>
    </row>
    <row r="5" spans="2:13">
      <c r="B5" s="98" t="s">
        <v>50</v>
      </c>
      <c r="C5" s="98">
        <f>Dachówka_blachodachówka!G24</f>
        <v>8</v>
      </c>
      <c r="D5" s="98">
        <f>IF(Dachówka!$C5&gt;0,((C5-1)*2),0)</f>
        <v>14</v>
      </c>
      <c r="E5" s="98">
        <f>IF(Dachówka!$C5&gt;0,4,0)</f>
        <v>4</v>
      </c>
      <c r="F5" s="98">
        <f>(CEILING(((Dachówka!$C5*$F$2)/4.2),1))*2</f>
        <v>6</v>
      </c>
      <c r="G5" s="98">
        <f>(IF((Dachówka!$F5&gt;2),((CEILING((Dachówka!$C5*$F$2/4.2),1))-1),0))*2</f>
        <v>4</v>
      </c>
      <c r="H5" s="98">
        <f>IF(C5=0,0,ROUNDUP((C5/($C$2/100)+1),0)*2)</f>
        <v>4</v>
      </c>
      <c r="I5" s="98">
        <f t="shared" ref="I5:I22" si="0">+H5*2</f>
        <v>8</v>
      </c>
      <c r="J5" s="98">
        <f t="shared" ref="J5:J22" si="1">+E5</f>
        <v>4</v>
      </c>
      <c r="K5" s="98">
        <f>IF(Dachówka!$C5&gt;0,2,0)</f>
        <v>2</v>
      </c>
      <c r="L5" s="99">
        <f>IF(C5=0,0,ROUNDUP((C5/($C$2/100)+1),0)*2)</f>
        <v>4</v>
      </c>
      <c r="M5" s="99">
        <f t="shared" ref="M5:M22" si="2">L5</f>
        <v>4</v>
      </c>
    </row>
    <row r="6" spans="2:13">
      <c r="B6" s="98" t="s">
        <v>51</v>
      </c>
      <c r="C6" s="98">
        <f>Dachówka_blachodachówka!G25</f>
        <v>6</v>
      </c>
      <c r="D6" s="98">
        <f>IF(Dachówka!$C6&gt;0,((C6-1)*2),0)</f>
        <v>10</v>
      </c>
      <c r="E6" s="98">
        <f>IF(Dachówka!$C6&gt;0,4,0)</f>
        <v>4</v>
      </c>
      <c r="F6" s="98">
        <f>(CEILING(((Dachówka!$C6*$F$2)/4.2),1))*2</f>
        <v>4</v>
      </c>
      <c r="G6" s="98">
        <f>(IF((Dachówka!$F6&gt;2),((CEILING((Dachówka!$C6*$F$2/4.2),1))-1),0))*2</f>
        <v>2</v>
      </c>
      <c r="H6" s="98">
        <f t="shared" ref="H6:H22" si="3">IF(C6=0,0,ROUNDUP((C6/($C$2/100)+1),0)*2)</f>
        <v>4</v>
      </c>
      <c r="I6" s="98">
        <f t="shared" si="0"/>
        <v>8</v>
      </c>
      <c r="J6" s="98">
        <f t="shared" si="1"/>
        <v>4</v>
      </c>
      <c r="K6" s="98">
        <f>IF(Dachówka!$C6&gt;0,2,0)</f>
        <v>2</v>
      </c>
      <c r="L6" s="99">
        <f t="shared" ref="L6:L22" si="4">IF(C6=0,0,ROUNDUP((C6/($C$2/100)+1),0)*2)</f>
        <v>4</v>
      </c>
      <c r="M6" s="99">
        <f t="shared" si="2"/>
        <v>4</v>
      </c>
    </row>
    <row r="7" spans="2:13">
      <c r="B7" s="98" t="s">
        <v>52</v>
      </c>
      <c r="C7" s="98">
        <f>Dachówka_blachodachówka!G26</f>
        <v>0</v>
      </c>
      <c r="D7" s="98">
        <f>IF(Dachówka!$C7&gt;0,((C7-1)*2),0)</f>
        <v>0</v>
      </c>
      <c r="E7" s="98">
        <f>IF(Dachówka!$C7&gt;0,4,0)</f>
        <v>0</v>
      </c>
      <c r="F7" s="98">
        <f>(CEILING(((Dachówka!$C7*$F$2)/4.2),1))*2</f>
        <v>0</v>
      </c>
      <c r="G7" s="98">
        <f>(IF((Dachówka!$F7&gt;2),((CEILING((Dachówka!$C7*$F$2/4.2),1))-1),0))*2</f>
        <v>0</v>
      </c>
      <c r="H7" s="98">
        <f t="shared" si="3"/>
        <v>0</v>
      </c>
      <c r="I7" s="98">
        <f t="shared" si="0"/>
        <v>0</v>
      </c>
      <c r="J7" s="98">
        <f t="shared" si="1"/>
        <v>0</v>
      </c>
      <c r="K7" s="98">
        <f>IF(Dachówka!$C7&gt;0,2,0)</f>
        <v>0</v>
      </c>
      <c r="L7" s="99">
        <f t="shared" si="4"/>
        <v>0</v>
      </c>
      <c r="M7" s="99">
        <f t="shared" si="2"/>
        <v>0</v>
      </c>
    </row>
    <row r="8" spans="2:13">
      <c r="B8" s="98" t="s">
        <v>53</v>
      </c>
      <c r="C8" s="98">
        <f>Dachówka_blachodachówka!G27</f>
        <v>5</v>
      </c>
      <c r="D8" s="98">
        <f>IF(Dachówka!$C8&gt;0,((C8-1)*2),0)</f>
        <v>8</v>
      </c>
      <c r="E8" s="98">
        <f>IF(Dachówka!$C8&gt;0,4,0)</f>
        <v>4</v>
      </c>
      <c r="F8" s="98">
        <f>(CEILING(((Dachówka!$C8*$F$2)/4.2),1))*2</f>
        <v>4</v>
      </c>
      <c r="G8" s="98">
        <f>(IF((Dachówka!$F8&gt;2),((CEILING((Dachówka!$C8*$F$2/4.2),1))-1),0))*2</f>
        <v>2</v>
      </c>
      <c r="H8" s="98">
        <f t="shared" si="3"/>
        <v>4</v>
      </c>
      <c r="I8" s="98">
        <f t="shared" si="0"/>
        <v>8</v>
      </c>
      <c r="J8" s="98">
        <f t="shared" si="1"/>
        <v>4</v>
      </c>
      <c r="K8" s="98">
        <f>IF(Dachówka!$C8&gt;0,2,0)</f>
        <v>2</v>
      </c>
      <c r="L8" s="99">
        <f t="shared" si="4"/>
        <v>4</v>
      </c>
      <c r="M8" s="99">
        <f t="shared" si="2"/>
        <v>4</v>
      </c>
    </row>
    <row r="9" spans="2:13">
      <c r="B9" s="98" t="s">
        <v>54</v>
      </c>
      <c r="C9" s="98">
        <f>Dachówka_blachodachówka!G28</f>
        <v>5</v>
      </c>
      <c r="D9" s="98">
        <f>IF(Dachówka!$C9&gt;0,((C9-1)*2),0)</f>
        <v>8</v>
      </c>
      <c r="E9" s="98">
        <f>IF(Dachówka!$C9&gt;0,4,0)</f>
        <v>4</v>
      </c>
      <c r="F9" s="98">
        <f>(CEILING(((Dachówka!$C9*$F$2)/4.2),1))*2</f>
        <v>4</v>
      </c>
      <c r="G9" s="98">
        <f>(IF((Dachówka!$F9&gt;2),((CEILING((Dachówka!$C9*$F$2/4.2),1))-1),0))*2</f>
        <v>2</v>
      </c>
      <c r="H9" s="98">
        <f t="shared" si="3"/>
        <v>4</v>
      </c>
      <c r="I9" s="98">
        <f t="shared" si="0"/>
        <v>8</v>
      </c>
      <c r="J9" s="98">
        <f t="shared" si="1"/>
        <v>4</v>
      </c>
      <c r="K9" s="98">
        <f>IF(Dachówka!$C9&gt;0,2,0)</f>
        <v>2</v>
      </c>
      <c r="L9" s="99">
        <f t="shared" si="4"/>
        <v>4</v>
      </c>
      <c r="M9" s="99">
        <f t="shared" si="2"/>
        <v>4</v>
      </c>
    </row>
    <row r="10" spans="2:13">
      <c r="B10" s="98" t="s">
        <v>55</v>
      </c>
      <c r="C10" s="98">
        <f>Dachówka_blachodachówka!G29</f>
        <v>5</v>
      </c>
      <c r="D10" s="98">
        <f>IF(Dachówka!$C10&gt;0,((C10-1)*2),0)</f>
        <v>8</v>
      </c>
      <c r="E10" s="98">
        <f>IF(Dachówka!$C10&gt;0,4,0)</f>
        <v>4</v>
      </c>
      <c r="F10" s="98">
        <f>(CEILING(((Dachówka!$C10*$F$2)/4.2),1))*2</f>
        <v>4</v>
      </c>
      <c r="G10" s="98">
        <f>(IF((Dachówka!$F10&gt;2),((CEILING((Dachówka!$C10*$F$2/4.2),1))-1),0))*2</f>
        <v>2</v>
      </c>
      <c r="H10" s="98">
        <f t="shared" si="3"/>
        <v>4</v>
      </c>
      <c r="I10" s="98">
        <f t="shared" si="0"/>
        <v>8</v>
      </c>
      <c r="J10" s="98">
        <f t="shared" si="1"/>
        <v>4</v>
      </c>
      <c r="K10" s="98">
        <f>IF(Dachówka!$C10&gt;0,2,0)</f>
        <v>2</v>
      </c>
      <c r="L10" s="99">
        <f t="shared" si="4"/>
        <v>4</v>
      </c>
      <c r="M10" s="99">
        <f t="shared" si="2"/>
        <v>4</v>
      </c>
    </row>
    <row r="11" spans="2:13">
      <c r="B11" s="98" t="s">
        <v>56</v>
      </c>
      <c r="C11" s="98">
        <f>Dachówka_blachodachówka!G30</f>
        <v>0</v>
      </c>
      <c r="D11" s="98">
        <f>IF(Dachówka!$C11&gt;0,((C11-1)*2),0)</f>
        <v>0</v>
      </c>
      <c r="E11" s="98">
        <f>IF(Dachówka!$C11&gt;0,4,0)</f>
        <v>0</v>
      </c>
      <c r="F11" s="98">
        <f>(CEILING(((Dachówka!$C11*$F$2)/4.2),1))*2</f>
        <v>0</v>
      </c>
      <c r="G11" s="98">
        <f>(IF((Dachówka!$F11&gt;2),((CEILING((Dachówka!$C11*$F$2/4.2),1))-1),0))*2</f>
        <v>0</v>
      </c>
      <c r="H11" s="98">
        <f t="shared" si="3"/>
        <v>0</v>
      </c>
      <c r="I11" s="98">
        <f t="shared" si="0"/>
        <v>0</v>
      </c>
      <c r="J11" s="98">
        <f t="shared" si="1"/>
        <v>0</v>
      </c>
      <c r="K11" s="98">
        <f>IF(Dachówka!$C11&gt;0,2,0)</f>
        <v>0</v>
      </c>
      <c r="L11" s="99">
        <f t="shared" si="4"/>
        <v>0</v>
      </c>
      <c r="M11" s="99">
        <f t="shared" si="2"/>
        <v>0</v>
      </c>
    </row>
    <row r="12" spans="2:13">
      <c r="B12" s="98" t="s">
        <v>57</v>
      </c>
      <c r="C12" s="98">
        <f>Dachówka_blachodachówka!G31</f>
        <v>0</v>
      </c>
      <c r="D12" s="98">
        <f>IF(Dachówka!$C12&gt;0,((C12-1)*2),0)</f>
        <v>0</v>
      </c>
      <c r="E12" s="98">
        <f>IF(Dachówka!$C12&gt;0,4,0)</f>
        <v>0</v>
      </c>
      <c r="F12" s="98">
        <f>(CEILING(((Dachówka!$C12*$F$2)/4.2),1))*2</f>
        <v>0</v>
      </c>
      <c r="G12" s="98">
        <f>(IF((Dachówka!$F12&gt;2),((CEILING((Dachówka!$C12*$F$2/4.2),1))-1),0))*2</f>
        <v>0</v>
      </c>
      <c r="H12" s="98">
        <f t="shared" si="3"/>
        <v>0</v>
      </c>
      <c r="I12" s="98">
        <f t="shared" si="0"/>
        <v>0</v>
      </c>
      <c r="J12" s="98">
        <f t="shared" si="1"/>
        <v>0</v>
      </c>
      <c r="K12" s="98">
        <f>IF(Dachówka!$C12&gt;0,2,0)</f>
        <v>0</v>
      </c>
      <c r="L12" s="99">
        <f t="shared" si="4"/>
        <v>0</v>
      </c>
      <c r="M12" s="99">
        <f t="shared" si="2"/>
        <v>0</v>
      </c>
    </row>
    <row r="13" spans="2:13">
      <c r="B13" s="98" t="s">
        <v>58</v>
      </c>
      <c r="C13" s="98">
        <f>Dachówka_blachodachówka!G32</f>
        <v>0</v>
      </c>
      <c r="D13" s="98">
        <f>IF(Dachówka!$C13&gt;0,((C13-1)*2),0)</f>
        <v>0</v>
      </c>
      <c r="E13" s="98">
        <f>IF(Dachówka!$C13&gt;0,4,0)</f>
        <v>0</v>
      </c>
      <c r="F13" s="98">
        <f>(CEILING(((Dachówka!$C13*$F$2)/4.2),1))*2</f>
        <v>0</v>
      </c>
      <c r="G13" s="98">
        <f>(IF((Dachówka!$F13&gt;2),((CEILING((Dachówka!$C13*$F$2/4.2),1))-1),0))*2</f>
        <v>0</v>
      </c>
      <c r="H13" s="98">
        <f t="shared" si="3"/>
        <v>0</v>
      </c>
      <c r="I13" s="98">
        <f t="shared" si="0"/>
        <v>0</v>
      </c>
      <c r="J13" s="98">
        <f t="shared" si="1"/>
        <v>0</v>
      </c>
      <c r="K13" s="98">
        <f>IF(Dachówka!$C13&gt;0,2,0)</f>
        <v>0</v>
      </c>
      <c r="L13" s="99">
        <f t="shared" si="4"/>
        <v>0</v>
      </c>
      <c r="M13" s="99">
        <f t="shared" si="2"/>
        <v>0</v>
      </c>
    </row>
    <row r="14" spans="2:13">
      <c r="B14" s="98" t="s">
        <v>59</v>
      </c>
      <c r="C14" s="98">
        <f>Dachówka_blachodachówka!G33</f>
        <v>0</v>
      </c>
      <c r="D14" s="98">
        <f>IF(Dachówka!$C14&gt;0,((C14-1)*2),0)</f>
        <v>0</v>
      </c>
      <c r="E14" s="98">
        <f>IF(Dachówka!$C14&gt;0,4,0)</f>
        <v>0</v>
      </c>
      <c r="F14" s="98">
        <f>(CEILING(((Dachówka!$C14*$F$2)/4.2),1))*2</f>
        <v>0</v>
      </c>
      <c r="G14" s="98">
        <f>(IF((Dachówka!$F14&gt;2),((CEILING((Dachówka!$C14*$F$2/4.2),1))-1),0))*2</f>
        <v>0</v>
      </c>
      <c r="H14" s="98">
        <f t="shared" si="3"/>
        <v>0</v>
      </c>
      <c r="I14" s="98">
        <f t="shared" si="0"/>
        <v>0</v>
      </c>
      <c r="J14" s="98">
        <f t="shared" si="1"/>
        <v>0</v>
      </c>
      <c r="K14" s="98">
        <f>IF(Dachówka!$C14&gt;0,2,0)</f>
        <v>0</v>
      </c>
      <c r="L14" s="99">
        <f t="shared" si="4"/>
        <v>0</v>
      </c>
      <c r="M14" s="99">
        <f t="shared" si="2"/>
        <v>0</v>
      </c>
    </row>
    <row r="15" spans="2:13">
      <c r="B15" s="98" t="s">
        <v>60</v>
      </c>
      <c r="C15" s="98">
        <f>Dachówka_blachodachówka!G34</f>
        <v>0</v>
      </c>
      <c r="D15" s="98">
        <f>IF(Dachówka!$C15&gt;0,((C15-1)*2),0)</f>
        <v>0</v>
      </c>
      <c r="E15" s="98">
        <f>IF(Dachówka!$C15&gt;0,4,0)</f>
        <v>0</v>
      </c>
      <c r="F15" s="98">
        <f>(CEILING(((Dachówka!$C15*$F$2)/4.2),1))*2</f>
        <v>0</v>
      </c>
      <c r="G15" s="98">
        <f>(IF((Dachówka!$F15&gt;2),((CEILING((Dachówka!$C15*$F$2/4.2),1))-1),0))*2</f>
        <v>0</v>
      </c>
      <c r="H15" s="98">
        <f t="shared" si="3"/>
        <v>0</v>
      </c>
      <c r="I15" s="98">
        <f t="shared" si="0"/>
        <v>0</v>
      </c>
      <c r="J15" s="98">
        <f t="shared" si="1"/>
        <v>0</v>
      </c>
      <c r="K15" s="98">
        <f>IF(Dachówka!$C15&gt;0,2,0)</f>
        <v>0</v>
      </c>
      <c r="L15" s="99">
        <f t="shared" si="4"/>
        <v>0</v>
      </c>
      <c r="M15" s="99">
        <f t="shared" si="2"/>
        <v>0</v>
      </c>
    </row>
    <row r="16" spans="2:13">
      <c r="B16" s="98" t="s">
        <v>61</v>
      </c>
      <c r="C16" s="98">
        <f>Dachówka_blachodachówka!G41</f>
        <v>0</v>
      </c>
      <c r="D16" s="98">
        <f>IF(Dachówka!$C16&gt;0,((C16-1)*2),0)</f>
        <v>0</v>
      </c>
      <c r="E16" s="98">
        <f>IF(Dachówka!$C16&gt;0,4,0)</f>
        <v>0</v>
      </c>
      <c r="F16" s="98">
        <f>(CEILING(((Dachówka!$C16*$F$2)/4.2),1))*2</f>
        <v>0</v>
      </c>
      <c r="G16" s="98">
        <f>(IF((Dachówka!$F16&gt;2),((CEILING((Dachówka!$C16*$F$2/4.2),1))-1),0))*2</f>
        <v>0</v>
      </c>
      <c r="H16" s="98">
        <f t="shared" si="3"/>
        <v>0</v>
      </c>
      <c r="I16" s="98">
        <f t="shared" si="0"/>
        <v>0</v>
      </c>
      <c r="J16" s="98">
        <f t="shared" si="1"/>
        <v>0</v>
      </c>
      <c r="K16" s="98">
        <f>IF(Dachówka!$C16&gt;0,2,0)</f>
        <v>0</v>
      </c>
      <c r="L16" s="99">
        <f t="shared" si="4"/>
        <v>0</v>
      </c>
      <c r="M16" s="99">
        <f t="shared" si="2"/>
        <v>0</v>
      </c>
    </row>
    <row r="17" spans="2:13">
      <c r="B17" s="98" t="s">
        <v>62</v>
      </c>
      <c r="C17" s="98">
        <f>Dachówka_blachodachówka!G42</f>
        <v>0</v>
      </c>
      <c r="D17" s="98">
        <f>IF(Dachówka!$C17&gt;0,((C17-1)*2),0)</f>
        <v>0</v>
      </c>
      <c r="E17" s="98">
        <f>IF(Dachówka!$C17&gt;0,4,0)</f>
        <v>0</v>
      </c>
      <c r="F17" s="98">
        <f>(CEILING(((Dachówka!$C17*$F$2)/4.2),1))*2</f>
        <v>0</v>
      </c>
      <c r="G17" s="98">
        <f>(IF((Dachówka!$F17&gt;2),((CEILING((Dachówka!$C17*$F$2/4.2),1))-1),0))*2</f>
        <v>0</v>
      </c>
      <c r="H17" s="98">
        <f t="shared" si="3"/>
        <v>0</v>
      </c>
      <c r="I17" s="98">
        <f t="shared" si="0"/>
        <v>0</v>
      </c>
      <c r="J17" s="98">
        <f t="shared" si="1"/>
        <v>0</v>
      </c>
      <c r="K17" s="98">
        <f>IF(Dachówka!$C17&gt;0,2,0)</f>
        <v>0</v>
      </c>
      <c r="L17" s="99">
        <f t="shared" si="4"/>
        <v>0</v>
      </c>
      <c r="M17" s="99">
        <f t="shared" si="2"/>
        <v>0</v>
      </c>
    </row>
    <row r="18" spans="2:13">
      <c r="B18" s="98" t="s">
        <v>63</v>
      </c>
      <c r="C18" s="98">
        <f>Dachówka_blachodachówka!G43</f>
        <v>0</v>
      </c>
      <c r="D18" s="98">
        <f>IF(Dachówka!$C18&gt;0,((C18-1)*2),0)</f>
        <v>0</v>
      </c>
      <c r="E18" s="98">
        <f>IF(Dachówka!$C18&gt;0,4,0)</f>
        <v>0</v>
      </c>
      <c r="F18" s="98">
        <f>(CEILING(((Dachówka!$C18*$F$2)/4.2),1))*2</f>
        <v>0</v>
      </c>
      <c r="G18" s="98">
        <f>(IF((Dachówka!$F18&gt;2),((CEILING((Dachówka!$C18*$F$2/4.2),1))-1),0))*2</f>
        <v>0</v>
      </c>
      <c r="H18" s="98">
        <f t="shared" si="3"/>
        <v>0</v>
      </c>
      <c r="I18" s="98">
        <f t="shared" si="0"/>
        <v>0</v>
      </c>
      <c r="J18" s="98">
        <f t="shared" si="1"/>
        <v>0</v>
      </c>
      <c r="K18" s="98">
        <f>IF(Dachówka!$C18&gt;0,2,0)</f>
        <v>0</v>
      </c>
      <c r="L18" s="99">
        <f t="shared" si="4"/>
        <v>0</v>
      </c>
      <c r="M18" s="99">
        <f t="shared" si="2"/>
        <v>0</v>
      </c>
    </row>
    <row r="19" spans="2:13">
      <c r="B19" s="98" t="s">
        <v>64</v>
      </c>
      <c r="C19" s="98">
        <f>Dachówka_blachodachówka!G44</f>
        <v>0</v>
      </c>
      <c r="D19" s="98">
        <f>IF(Dachówka!$C19&gt;0,((C19-1)*2),0)</f>
        <v>0</v>
      </c>
      <c r="E19" s="98">
        <f>IF(Dachówka!$C19&gt;0,4,0)</f>
        <v>0</v>
      </c>
      <c r="F19" s="98">
        <f>(CEILING(((Dachówka!$C19*$F$2)/4.2),1))*2</f>
        <v>0</v>
      </c>
      <c r="G19" s="98">
        <f>(IF((Dachówka!$F19&gt;2),((CEILING((Dachówka!$C19*$F$2/4.2),1))-1),0))*2</f>
        <v>0</v>
      </c>
      <c r="H19" s="98">
        <f t="shared" si="3"/>
        <v>0</v>
      </c>
      <c r="I19" s="98">
        <f t="shared" si="0"/>
        <v>0</v>
      </c>
      <c r="J19" s="98">
        <f t="shared" si="1"/>
        <v>0</v>
      </c>
      <c r="K19" s="98">
        <f>IF(Dachówka!$C19&gt;0,2,0)</f>
        <v>0</v>
      </c>
      <c r="L19" s="99">
        <f t="shared" si="4"/>
        <v>0</v>
      </c>
      <c r="M19" s="99">
        <f t="shared" si="2"/>
        <v>0</v>
      </c>
    </row>
    <row r="20" spans="2:13">
      <c r="B20" s="98" t="s">
        <v>65</v>
      </c>
      <c r="C20" s="98">
        <f>Dachówka_blachodachówka!G45</f>
        <v>0</v>
      </c>
      <c r="D20" s="98">
        <f>IF(Dachówka!$C20&gt;0,((C20-1)*2),0)</f>
        <v>0</v>
      </c>
      <c r="E20" s="98">
        <f>IF(Dachówka!$C20&gt;0,4,0)</f>
        <v>0</v>
      </c>
      <c r="F20" s="98">
        <f>(CEILING(((Dachówka!$C20*$F$2)/4.2),1))*2</f>
        <v>0</v>
      </c>
      <c r="G20" s="98">
        <f>(IF((Dachówka!$F20&gt;2),((CEILING((Dachówka!$C20*$F$2/4.2),1))-1),0))*2</f>
        <v>0</v>
      </c>
      <c r="H20" s="98">
        <f t="shared" si="3"/>
        <v>0</v>
      </c>
      <c r="I20" s="98">
        <f t="shared" si="0"/>
        <v>0</v>
      </c>
      <c r="J20" s="98">
        <f t="shared" si="1"/>
        <v>0</v>
      </c>
      <c r="K20" s="98">
        <f>IF(Dachówka!$C20&gt;0,2,0)</f>
        <v>0</v>
      </c>
      <c r="L20" s="99">
        <f t="shared" si="4"/>
        <v>0</v>
      </c>
      <c r="M20" s="99">
        <f t="shared" si="2"/>
        <v>0</v>
      </c>
    </row>
    <row r="21" spans="2:13">
      <c r="B21" s="98" t="s">
        <v>66</v>
      </c>
      <c r="C21" s="98">
        <f>Dachówka_blachodachówka!G46</f>
        <v>0</v>
      </c>
      <c r="D21" s="98">
        <f>IF(Dachówka!$C21&gt;0,((C21-1)*2),0)</f>
        <v>0</v>
      </c>
      <c r="E21" s="98">
        <f>IF(Dachówka!$C21&gt;0,4,0)</f>
        <v>0</v>
      </c>
      <c r="F21" s="98">
        <f>(CEILING(((Dachówka!$C21*$F$2)/4.2),1))*2</f>
        <v>0</v>
      </c>
      <c r="G21" s="98">
        <f>(IF((Dachówka!$F21&gt;2),((CEILING((Dachówka!$C21*$F$2/4.2),1))-1),0))*2</f>
        <v>0</v>
      </c>
      <c r="H21" s="98">
        <f t="shared" si="3"/>
        <v>0</v>
      </c>
      <c r="I21" s="98">
        <f t="shared" si="0"/>
        <v>0</v>
      </c>
      <c r="J21" s="98">
        <f t="shared" si="1"/>
        <v>0</v>
      </c>
      <c r="K21" s="98">
        <f>IF(Dachówka!$C21&gt;0,2,0)</f>
        <v>0</v>
      </c>
      <c r="L21" s="99">
        <f t="shared" si="4"/>
        <v>0</v>
      </c>
      <c r="M21" s="99">
        <f t="shared" si="2"/>
        <v>0</v>
      </c>
    </row>
    <row r="22" spans="2:13">
      <c r="B22" s="98" t="s">
        <v>67</v>
      </c>
      <c r="C22" s="98">
        <f>Dachówka_blachodachówka!G47</f>
        <v>0</v>
      </c>
      <c r="D22" s="98">
        <f>IF(Dachówka!$C22&gt;0,((C22-1)*2),0)</f>
        <v>0</v>
      </c>
      <c r="E22" s="98">
        <f>IF(Dachówka!$C22&gt;0,4,0)</f>
        <v>0</v>
      </c>
      <c r="F22" s="98">
        <f>(CEILING(((Dachówka!$C22*$F$2)/4.2),1))*2</f>
        <v>0</v>
      </c>
      <c r="G22" s="98">
        <f>(IF((Dachówka!$F22&gt;2),((CEILING((Dachówka!$C22*$F$2/4.2),1))-1),0))*2</f>
        <v>0</v>
      </c>
      <c r="H22" s="98">
        <f t="shared" si="3"/>
        <v>0</v>
      </c>
      <c r="I22" s="98">
        <f t="shared" si="0"/>
        <v>0</v>
      </c>
      <c r="J22" s="98">
        <f t="shared" si="1"/>
        <v>0</v>
      </c>
      <c r="K22" s="98">
        <f>IF(Dachówka!$C22&gt;0,2,0)</f>
        <v>0</v>
      </c>
      <c r="L22" s="99">
        <f t="shared" si="4"/>
        <v>0</v>
      </c>
      <c r="M22" s="99">
        <f t="shared" si="2"/>
        <v>0</v>
      </c>
    </row>
    <row r="23" spans="2:13">
      <c r="B23" s="100" t="s">
        <v>68</v>
      </c>
      <c r="C23" s="100">
        <f t="shared" ref="C23:M23" si="5">SUM(C5:C22)</f>
        <v>29</v>
      </c>
      <c r="D23" s="100">
        <f t="shared" si="5"/>
        <v>48</v>
      </c>
      <c r="E23" s="100">
        <f t="shared" si="5"/>
        <v>20</v>
      </c>
      <c r="F23" s="100">
        <f t="shared" si="5"/>
        <v>22</v>
      </c>
      <c r="G23" s="100">
        <f t="shared" si="5"/>
        <v>12</v>
      </c>
      <c r="H23" s="100">
        <f t="shared" si="5"/>
        <v>20</v>
      </c>
      <c r="I23" s="100">
        <f t="shared" si="5"/>
        <v>40</v>
      </c>
      <c r="J23" s="100">
        <f t="shared" si="5"/>
        <v>20</v>
      </c>
      <c r="K23" s="100">
        <f t="shared" si="5"/>
        <v>10</v>
      </c>
      <c r="L23" s="99">
        <f t="shared" si="5"/>
        <v>20</v>
      </c>
      <c r="M23" s="99">
        <f t="shared" si="5"/>
        <v>20</v>
      </c>
    </row>
    <row r="25" spans="2:13">
      <c r="B25" s="96" t="s">
        <v>24</v>
      </c>
      <c r="C25" s="96" t="s">
        <v>25</v>
      </c>
      <c r="D25" s="96" t="s">
        <v>26</v>
      </c>
      <c r="E25" s="96" t="s">
        <v>27</v>
      </c>
      <c r="F25" s="96" t="s">
        <v>69</v>
      </c>
      <c r="G25" s="96" t="s">
        <v>28</v>
      </c>
    </row>
    <row r="26" spans="2:13">
      <c r="B26" t="str">
        <f>Dachówka!B26</f>
        <v>Vitovolt 300 M405 AK Standard</v>
      </c>
      <c r="C26">
        <f>+C23</f>
        <v>29</v>
      </c>
      <c r="D26">
        <f>VLOOKUP($B$26,PV,2,FALSE)</f>
        <v>7959744</v>
      </c>
      <c r="E26" s="101">
        <f>VLOOKUP($B$26,PV,3,FALSE)</f>
        <v>700</v>
      </c>
      <c r="F26" s="102">
        <f t="shared" ref="F26:F38" si="6">$G$43</f>
        <v>0</v>
      </c>
      <c r="G26" s="101">
        <f t="shared" ref="G26:G40" si="7">(E26*C26)*(1-F26)</f>
        <v>20300</v>
      </c>
    </row>
    <row r="27" spans="2:13">
      <c r="B27" t="str">
        <f>Dachówka_blachodachówka!D92</f>
        <v>***FRONIUS***</v>
      </c>
      <c r="C27">
        <v>1</v>
      </c>
      <c r="D27" t="e">
        <f>VLOOKUP($B$27,Cennik!F12:H21,2,FALSE)</f>
        <v>#N/A</v>
      </c>
      <c r="E27" s="101" t="e">
        <f>VLOOKUP($B$27,Cennik!F12:H21,3,FALSE)</f>
        <v>#N/A</v>
      </c>
      <c r="F27" s="102">
        <f t="shared" si="6"/>
        <v>0</v>
      </c>
      <c r="G27" s="101" t="e">
        <f t="shared" si="7"/>
        <v>#N/A</v>
      </c>
    </row>
    <row r="28" spans="2:13">
      <c r="B28" t="str">
        <f>Dachówka!B28</f>
        <v>Klemy środkowe czarne</v>
      </c>
      <c r="C28">
        <f>D23</f>
        <v>48</v>
      </c>
      <c r="D28">
        <f>VLOOKUP($B$28,Cennik,2,FALSE)</f>
        <v>7783978</v>
      </c>
      <c r="E28" s="101">
        <f>VLOOKUP($B$28,Cennik!F29:H30,3,FALSE)</f>
        <v>11.4</v>
      </c>
      <c r="F28" s="102">
        <f t="shared" si="6"/>
        <v>0</v>
      </c>
      <c r="G28" s="101">
        <f t="shared" si="7"/>
        <v>547.20000000000005</v>
      </c>
    </row>
    <row r="29" spans="2:13">
      <c r="B29" t="str">
        <f>Dachówka!B29</f>
        <v>Klemy końcowe czarne</v>
      </c>
      <c r="C29">
        <f>E23</f>
        <v>20</v>
      </c>
      <c r="D29">
        <f>VLOOKUP($B$29,Cennik,2,FALSE)</f>
        <v>7783973</v>
      </c>
      <c r="E29" s="101">
        <f>VLOOKUP($B$29,Cennik!F31:H32,3,FALSE)</f>
        <v>11.5</v>
      </c>
      <c r="F29" s="102">
        <f t="shared" si="6"/>
        <v>0</v>
      </c>
      <c r="G29" s="101">
        <f t="shared" si="7"/>
        <v>230</v>
      </c>
    </row>
    <row r="30" spans="2:13">
      <c r="B30" t="str">
        <f>+F4</f>
        <v>Profil nośny modułu Solo light 4,4m</v>
      </c>
      <c r="C30">
        <f>F23</f>
        <v>22</v>
      </c>
      <c r="D30">
        <f>VLOOKUP($B30,Cennik,2,FALSE)</f>
        <v>7955972</v>
      </c>
      <c r="E30" s="101">
        <f>VLOOKUP($B30,Cennik,3,FALSE)</f>
        <v>189</v>
      </c>
      <c r="F30" s="102">
        <f t="shared" si="6"/>
        <v>0</v>
      </c>
      <c r="G30" s="101">
        <f t="shared" si="7"/>
        <v>4158</v>
      </c>
    </row>
    <row r="31" spans="2:13">
      <c r="B31" t="str">
        <f>G4</f>
        <v xml:space="preserve">Łącznik profili Solo5 </v>
      </c>
      <c r="C31">
        <f>G23</f>
        <v>12</v>
      </c>
      <c r="D31">
        <f>VLOOKUP(B31,Cennik,2,FALSE)</f>
        <v>7561087</v>
      </c>
      <c r="E31" s="101">
        <f>VLOOKUP($B31,Cennik,3,FALSE)</f>
        <v>17</v>
      </c>
      <c r="F31" s="102">
        <f t="shared" si="6"/>
        <v>0</v>
      </c>
      <c r="G31" s="101">
        <f t="shared" si="7"/>
        <v>204</v>
      </c>
    </row>
    <row r="32" spans="2:13">
      <c r="B32" t="str">
        <f>Cennik!F37</f>
        <v>Zest. mocujący do pokryć falistych 10x200</v>
      </c>
      <c r="C32">
        <f>L23</f>
        <v>20</v>
      </c>
      <c r="D32">
        <f>VLOOKUP($B$32,Cennik,2,FALSE)</f>
        <v>7736574</v>
      </c>
      <c r="E32" s="101">
        <f>VLOOKUP($B$32,Cennik,3,FALSE)</f>
        <v>11.5</v>
      </c>
      <c r="F32" s="102">
        <f t="shared" si="6"/>
        <v>0</v>
      </c>
      <c r="G32" s="101">
        <f t="shared" si="7"/>
        <v>230</v>
      </c>
    </row>
    <row r="33" spans="2:8">
      <c r="B33" t="s">
        <v>23</v>
      </c>
      <c r="C33">
        <f>M23</f>
        <v>20</v>
      </c>
      <c r="D33">
        <f>VLOOKUP($B$33,Cennik,2,FALSE)</f>
        <v>7164821</v>
      </c>
      <c r="E33" s="101">
        <f>VLOOKUP($B$33,Cennik,3,FALSE)</f>
        <v>15.2</v>
      </c>
      <c r="F33" s="102">
        <f t="shared" si="6"/>
        <v>0</v>
      </c>
      <c r="G33" s="101">
        <f t="shared" si="7"/>
        <v>304</v>
      </c>
    </row>
    <row r="34" spans="2:8">
      <c r="B34" t="str">
        <f>Dachówka!B35</f>
        <v>Zaślepka plastikowa Profi05 20St.</v>
      </c>
      <c r="C34">
        <f>ROUNDUP((J23/20),0)</f>
        <v>1</v>
      </c>
      <c r="D34">
        <f>VLOOKUP(B34,Cennik,2,FALSE)</f>
        <v>7497891</v>
      </c>
      <c r="E34" s="101">
        <f>VLOOKUP(B34,Cennik,3,FALSE)</f>
        <v>35</v>
      </c>
      <c r="F34" s="102">
        <f t="shared" si="6"/>
        <v>0</v>
      </c>
      <c r="G34" s="101">
        <f t="shared" si="7"/>
        <v>35</v>
      </c>
    </row>
    <row r="35" spans="2:8">
      <c r="B35" t="str">
        <f>Dachówka!B36</f>
        <v>Gniazda MC4 EVO2 4,0-6,0 mm2 (20 sztuk)</v>
      </c>
      <c r="C35">
        <v>1</v>
      </c>
      <c r="D35">
        <f>VLOOKUP(B35,Cennik,2,FALSE)</f>
        <v>7998634</v>
      </c>
      <c r="E35" s="101">
        <f>VLOOKUP(B35,Cennik,3,FALSE)</f>
        <v>127</v>
      </c>
      <c r="F35" s="102">
        <f t="shared" si="6"/>
        <v>0</v>
      </c>
      <c r="G35" s="101">
        <f t="shared" si="7"/>
        <v>127</v>
      </c>
    </row>
    <row r="36" spans="2:8">
      <c r="B36" t="str">
        <f>Dachówka!B37</f>
        <v>Wtyczki MC4 EVO2 4,0-6,0 mm2 (20 sztuk)</v>
      </c>
      <c r="C36">
        <v>1</v>
      </c>
      <c r="D36">
        <f>VLOOKUP(B36,Cennik,2,FALSE)</f>
        <v>7998635</v>
      </c>
      <c r="E36" s="101">
        <f>VLOOKUP(B36,Cennik,3,FALSE)</f>
        <v>101</v>
      </c>
      <c r="F36" s="102">
        <f t="shared" si="6"/>
        <v>0</v>
      </c>
      <c r="G36" s="101">
        <f t="shared" si="7"/>
        <v>101</v>
      </c>
    </row>
    <row r="37" spans="2:8">
      <c r="B37" t="str">
        <f>Dachówka!B38</f>
        <v>Zacisk odgromowy  8 i 10mm</v>
      </c>
      <c r="C37">
        <f>K23</f>
        <v>10</v>
      </c>
      <c r="D37">
        <f>VLOOKUP(B37,Cennik,2,FALSE)</f>
        <v>7457988</v>
      </c>
      <c r="E37" s="101">
        <f>VLOOKUP(B37,Cennik,3,FALSE)</f>
        <v>13</v>
      </c>
      <c r="F37" s="102">
        <f t="shared" si="6"/>
        <v>0</v>
      </c>
      <c r="G37" s="101">
        <f t="shared" si="7"/>
        <v>130</v>
      </c>
    </row>
    <row r="38" spans="2:8">
      <c r="B38" t="s">
        <v>75</v>
      </c>
      <c r="C38">
        <v>1</v>
      </c>
      <c r="D38">
        <f>VLOOKUP($B$38,Cennik!F23:H26,2,FALSE)</f>
        <v>7510780</v>
      </c>
      <c r="E38" s="101">
        <f>VLOOKUP($B$38,Cennik!F23:H26,3,FALSE)</f>
        <v>2626</v>
      </c>
      <c r="F38" s="102">
        <f t="shared" si="6"/>
        <v>0</v>
      </c>
      <c r="G38" s="101">
        <f t="shared" si="7"/>
        <v>2626</v>
      </c>
    </row>
    <row r="39" spans="2:8">
      <c r="B39" t="s">
        <v>34</v>
      </c>
      <c r="C39">
        <v>1</v>
      </c>
      <c r="E39" s="101">
        <f>Dachówka_blachodachówka!J108</f>
        <v>0</v>
      </c>
      <c r="F39" s="102">
        <f>Dachówka_blachodachówka!M108</f>
        <v>0</v>
      </c>
      <c r="G39" s="101">
        <f t="shared" si="7"/>
        <v>0</v>
      </c>
    </row>
    <row r="40" spans="2:8">
      <c r="B40" t="s">
        <v>35</v>
      </c>
      <c r="C40">
        <v>1</v>
      </c>
      <c r="E40" s="101">
        <f>Dachówka_blachodachówka!J110</f>
        <v>0</v>
      </c>
      <c r="F40" s="102">
        <f>Dachówka_blachodachówka!M110</f>
        <v>0</v>
      </c>
      <c r="G40" s="101">
        <f t="shared" si="7"/>
        <v>0</v>
      </c>
    </row>
    <row r="41" spans="2:8">
      <c r="E41" s="101"/>
      <c r="G41" s="103"/>
    </row>
    <row r="42" spans="2:8">
      <c r="E42" s="95" t="s">
        <v>68</v>
      </c>
      <c r="F42" s="95"/>
      <c r="G42" s="103" t="e">
        <f>SUM(G26:G40)</f>
        <v>#N/A</v>
      </c>
    </row>
    <row r="43" spans="2:8" ht="18">
      <c r="B43" s="104" t="s">
        <v>37</v>
      </c>
      <c r="C43" s="105">
        <f>(C26*((VLOOKUP(B26,Cennik!F5:I8,4,FALSE))/1000))</f>
        <v>11.745000000000001</v>
      </c>
      <c r="D43" s="104" t="s">
        <v>38</v>
      </c>
      <c r="E43" s="95" t="s">
        <v>69</v>
      </c>
      <c r="F43" s="95"/>
      <c r="G43" s="106">
        <f>Dachówka_blachodachówka!P115</f>
        <v>0</v>
      </c>
    </row>
    <row r="44" spans="2:8">
      <c r="E44" s="95" t="s">
        <v>39</v>
      </c>
      <c r="F44" s="95"/>
      <c r="G44" s="103" t="e">
        <f>+G42/C43</f>
        <v>#N/A</v>
      </c>
      <c r="H44" t="e">
        <f>+G44*1.23</f>
        <v>#N/A</v>
      </c>
    </row>
    <row r="45" spans="2:8">
      <c r="E45" s="95" t="s">
        <v>40</v>
      </c>
      <c r="F45" s="95"/>
      <c r="G45" s="103">
        <f>SUM(G28:G39)</f>
        <v>8692.2000000000007</v>
      </c>
    </row>
    <row r="46" spans="2:8">
      <c r="E46" s="95" t="s">
        <v>42</v>
      </c>
      <c r="F46" s="95"/>
      <c r="G46" s="103">
        <f>G45/C43</f>
        <v>740.07662835249039</v>
      </c>
    </row>
    <row r="47" spans="2:8">
      <c r="B47" s="107"/>
      <c r="C47" s="107"/>
      <c r="D47" s="107"/>
    </row>
  </sheetData>
  <pageMargins left="0.70000000000000007" right="0.70000000000000007" top="0.75" bottom="0.75" header="0.30000000000000004" footer="0.3000000000000000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1000000}">
          <x14:formula1>
            <xm:f>Cennik!$F$5:$F$8</xm:f>
          </x14:formula1>
          <xm:sqref>B26</xm:sqref>
        </x14:dataValidation>
        <x14:dataValidation type="list" allowBlank="1" showInputMessage="1" showErrorMessage="1" xr:uid="{00000000-0002-0000-0500-000000000000}">
          <x14:formula1>
            <xm:f>Cennik!$F$12:$F$15</xm:f>
          </x14:formula1>
          <xm:sqref>B27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A4:Q60"/>
  <sheetViews>
    <sheetView topLeftCell="C1" workbookViewId="0">
      <selection activeCell="G33" sqref="G33"/>
    </sheetView>
  </sheetViews>
  <sheetFormatPr defaultColWidth="9.109375" defaultRowHeight="14.4"/>
  <cols>
    <col min="1" max="5" width="9.109375" style="25" customWidth="1"/>
    <col min="6" max="6" width="41.44140625" style="25" customWidth="1"/>
    <col min="7" max="7" width="22.5546875" style="25" bestFit="1" customWidth="1"/>
    <col min="8" max="8" width="19" style="249" customWidth="1"/>
    <col min="9" max="9" width="9.109375" style="25" customWidth="1"/>
    <col min="10" max="10" width="10.109375" style="25" bestFit="1" customWidth="1"/>
    <col min="11" max="11" width="9.109375" style="25" customWidth="1"/>
    <col min="12" max="13" width="9.109375" style="180" customWidth="1"/>
    <col min="14" max="14" width="29.5546875" style="180" customWidth="1"/>
    <col min="15" max="15" width="9.109375" style="180" customWidth="1"/>
    <col min="16" max="17" width="9.109375" style="180"/>
    <col min="18" max="16384" width="9.109375" style="25"/>
  </cols>
  <sheetData>
    <row r="4" spans="6:16">
      <c r="F4" s="108" t="s">
        <v>76</v>
      </c>
      <c r="G4" s="108" t="s">
        <v>26</v>
      </c>
      <c r="H4" s="244" t="s">
        <v>77</v>
      </c>
      <c r="I4" s="108" t="s">
        <v>158</v>
      </c>
      <c r="J4" s="25" t="s">
        <v>78</v>
      </c>
      <c r="K4" s="25" t="s">
        <v>79</v>
      </c>
    </row>
    <row r="5" spans="6:16">
      <c r="F5" s="120" t="s">
        <v>161</v>
      </c>
      <c r="G5" s="121">
        <v>7998593</v>
      </c>
      <c r="H5" s="245">
        <v>789</v>
      </c>
      <c r="I5" s="108">
        <v>405</v>
      </c>
      <c r="J5" s="109">
        <v>1.1399999999999999</v>
      </c>
      <c r="K5" s="109">
        <v>1.7190000000000001</v>
      </c>
    </row>
    <row r="6" spans="6:16">
      <c r="F6" s="108" t="s">
        <v>162</v>
      </c>
      <c r="G6" s="119">
        <v>7959744</v>
      </c>
      <c r="H6" s="246">
        <v>700</v>
      </c>
      <c r="I6" s="108">
        <v>405</v>
      </c>
      <c r="J6" s="109">
        <v>1.133</v>
      </c>
      <c r="K6" s="109">
        <v>1.708</v>
      </c>
    </row>
    <row r="7" spans="6:16">
      <c r="F7" s="175" t="s">
        <v>151</v>
      </c>
      <c r="G7" s="176">
        <v>7719816</v>
      </c>
      <c r="H7" s="247">
        <v>500</v>
      </c>
      <c r="I7" s="177">
        <v>375</v>
      </c>
      <c r="J7" s="178">
        <v>1.038</v>
      </c>
      <c r="K7" s="178">
        <v>1.7549999999999999</v>
      </c>
    </row>
    <row r="8" spans="6:16">
      <c r="F8" s="177" t="s">
        <v>81</v>
      </c>
      <c r="G8" s="179">
        <v>7731047</v>
      </c>
      <c r="H8" s="248">
        <v>518</v>
      </c>
      <c r="I8" s="177">
        <v>340</v>
      </c>
      <c r="J8" s="178">
        <v>1.0680000000000001</v>
      </c>
      <c r="K8" s="178">
        <v>1.6220000000000001</v>
      </c>
    </row>
    <row r="9" spans="6:16">
      <c r="K9" s="25" t="s">
        <v>82</v>
      </c>
      <c r="M9" s="242"/>
      <c r="N9" s="242"/>
      <c r="O9" s="242"/>
      <c r="P9" s="242"/>
    </row>
    <row r="10" spans="6:16">
      <c r="F10" s="108" t="s">
        <v>76</v>
      </c>
      <c r="G10" s="108" t="s">
        <v>26</v>
      </c>
      <c r="H10" s="244" t="s">
        <v>83</v>
      </c>
      <c r="I10" s="108" t="s">
        <v>157</v>
      </c>
      <c r="M10" s="242"/>
      <c r="N10" s="242"/>
      <c r="O10" s="242"/>
      <c r="P10" s="242"/>
    </row>
    <row r="11" spans="6:16">
      <c r="F11" s="108" t="s">
        <v>84</v>
      </c>
      <c r="G11" s="108"/>
      <c r="H11" s="244"/>
      <c r="I11" s="108"/>
      <c r="M11" s="242"/>
      <c r="N11" s="242"/>
      <c r="O11" s="242"/>
      <c r="P11" s="242"/>
    </row>
    <row r="12" spans="6:16">
      <c r="F12" s="108" t="s">
        <v>85</v>
      </c>
      <c r="G12" s="108">
        <v>7202628</v>
      </c>
      <c r="H12" s="244">
        <v>5730</v>
      </c>
      <c r="I12" s="108">
        <v>3</v>
      </c>
      <c r="M12" s="242"/>
      <c r="N12" s="242"/>
      <c r="O12" s="242"/>
      <c r="P12" s="242"/>
    </row>
    <row r="13" spans="6:16">
      <c r="F13" s="108" t="s">
        <v>86</v>
      </c>
      <c r="G13" s="108">
        <v>7202629</v>
      </c>
      <c r="H13" s="244">
        <v>6288</v>
      </c>
      <c r="I13" s="108">
        <v>3.7</v>
      </c>
      <c r="M13" s="243">
        <v>7202628</v>
      </c>
      <c r="N13" s="243" t="s">
        <v>85</v>
      </c>
      <c r="O13" s="243">
        <v>4500</v>
      </c>
      <c r="P13" s="242"/>
    </row>
    <row r="14" spans="6:16">
      <c r="F14" s="108" t="s">
        <v>90</v>
      </c>
      <c r="G14" s="108">
        <v>7202638</v>
      </c>
      <c r="H14" s="244">
        <v>11889</v>
      </c>
      <c r="I14" s="108">
        <v>17.5</v>
      </c>
      <c r="M14" s="243">
        <v>7202637</v>
      </c>
      <c r="N14" s="243" t="s">
        <v>89</v>
      </c>
      <c r="O14" s="243">
        <v>9750</v>
      </c>
      <c r="P14" s="242"/>
    </row>
    <row r="15" spans="6:16">
      <c r="F15" s="108" t="s">
        <v>91</v>
      </c>
      <c r="G15" s="108">
        <v>7202639</v>
      </c>
      <c r="H15" s="244">
        <v>12575</v>
      </c>
      <c r="I15" s="108">
        <v>20</v>
      </c>
      <c r="M15" s="243">
        <v>7202638</v>
      </c>
      <c r="N15" s="243" t="s">
        <v>90</v>
      </c>
      <c r="O15" s="243">
        <v>10500</v>
      </c>
      <c r="P15" s="242"/>
    </row>
    <row r="16" spans="6:16">
      <c r="F16" s="108" t="s">
        <v>92</v>
      </c>
      <c r="G16" s="108"/>
      <c r="H16" s="244"/>
      <c r="I16" s="108"/>
      <c r="M16" s="243">
        <v>7202639</v>
      </c>
      <c r="N16" s="243" t="s">
        <v>91</v>
      </c>
      <c r="O16" s="243">
        <v>11000</v>
      </c>
      <c r="P16" s="242"/>
    </row>
    <row r="17" spans="1:16">
      <c r="F17" s="108" t="s">
        <v>93</v>
      </c>
      <c r="G17" s="108">
        <v>7561032</v>
      </c>
      <c r="H17" s="244">
        <v>3375</v>
      </c>
      <c r="I17" s="108">
        <v>1.5</v>
      </c>
      <c r="M17" s="243">
        <v>7561032</v>
      </c>
      <c r="N17" s="243" t="s">
        <v>94</v>
      </c>
      <c r="O17" s="243">
        <v>2832</v>
      </c>
      <c r="P17" s="242"/>
    </row>
    <row r="18" spans="1:16">
      <c r="F18" s="108" t="s">
        <v>163</v>
      </c>
      <c r="G18" s="108">
        <v>7561033</v>
      </c>
      <c r="H18" s="244">
        <v>4550</v>
      </c>
      <c r="I18" s="108">
        <v>2.5</v>
      </c>
      <c r="M18" s="243">
        <v>7561033</v>
      </c>
      <c r="N18" s="243" t="s">
        <v>95</v>
      </c>
      <c r="O18" s="243">
        <v>3200</v>
      </c>
      <c r="P18" s="242"/>
    </row>
    <row r="19" spans="1:16">
      <c r="F19" s="108" t="s">
        <v>96</v>
      </c>
      <c r="G19" s="108">
        <v>7724635</v>
      </c>
      <c r="H19" s="244">
        <v>6864</v>
      </c>
      <c r="I19" s="108">
        <v>4</v>
      </c>
      <c r="M19" s="243">
        <v>7724635</v>
      </c>
      <c r="N19" s="243" t="s">
        <v>97</v>
      </c>
      <c r="O19" s="243">
        <v>4740</v>
      </c>
      <c r="P19" s="242"/>
    </row>
    <row r="20" spans="1:16">
      <c r="F20" s="108" t="s">
        <v>98</v>
      </c>
      <c r="G20" s="108">
        <v>7724636</v>
      </c>
      <c r="H20" s="244">
        <v>7316</v>
      </c>
      <c r="I20" s="108">
        <v>5</v>
      </c>
      <c r="M20" s="243">
        <v>7724636</v>
      </c>
      <c r="N20" s="243" t="s">
        <v>99</v>
      </c>
      <c r="O20" s="243">
        <v>5040</v>
      </c>
      <c r="P20" s="242"/>
    </row>
    <row r="21" spans="1:16">
      <c r="F21" s="108" t="s">
        <v>100</v>
      </c>
      <c r="G21" s="108">
        <v>7724637</v>
      </c>
      <c r="H21" s="244">
        <v>8179</v>
      </c>
      <c r="I21" s="108">
        <v>6</v>
      </c>
      <c r="M21" s="243">
        <v>7724637</v>
      </c>
      <c r="N21" s="243" t="s">
        <v>101</v>
      </c>
      <c r="O21" s="243">
        <v>5450</v>
      </c>
      <c r="P21" s="242"/>
    </row>
    <row r="22" spans="1:16">
      <c r="F22" s="108"/>
      <c r="G22" s="108"/>
      <c r="H22" s="244"/>
      <c r="I22" s="108"/>
      <c r="M22" s="242"/>
      <c r="N22" s="242"/>
      <c r="O22" s="242"/>
      <c r="P22" s="242"/>
    </row>
    <row r="23" spans="1:16">
      <c r="F23" s="108" t="s">
        <v>102</v>
      </c>
      <c r="G23" s="108">
        <v>7185800</v>
      </c>
      <c r="H23" s="244">
        <v>395</v>
      </c>
      <c r="I23" s="108"/>
      <c r="M23" s="243">
        <v>7457972</v>
      </c>
      <c r="N23" s="243" t="s">
        <v>17</v>
      </c>
      <c r="O23" s="243">
        <v>32</v>
      </c>
      <c r="P23" s="242"/>
    </row>
    <row r="24" spans="1:16">
      <c r="F24" s="108" t="s">
        <v>33</v>
      </c>
      <c r="G24" s="108">
        <v>7374380</v>
      </c>
      <c r="H24" s="244">
        <v>549</v>
      </c>
      <c r="I24" s="108"/>
      <c r="M24" s="243">
        <v>7457973</v>
      </c>
      <c r="N24" s="243" t="s">
        <v>103</v>
      </c>
      <c r="O24" s="243">
        <v>49</v>
      </c>
      <c r="P24" s="242"/>
    </row>
    <row r="25" spans="1:16">
      <c r="A25" s="180"/>
      <c r="B25" s="180"/>
      <c r="C25" s="180"/>
      <c r="D25" s="180"/>
      <c r="F25" s="108" t="s">
        <v>104</v>
      </c>
      <c r="G25" s="108">
        <v>7510779</v>
      </c>
      <c r="H25" s="244">
        <v>1937</v>
      </c>
      <c r="I25" s="108"/>
      <c r="M25" s="243">
        <v>7457976</v>
      </c>
      <c r="N25" s="243" t="s">
        <v>105</v>
      </c>
      <c r="O25" s="243">
        <v>14</v>
      </c>
      <c r="P25" s="242"/>
    </row>
    <row r="26" spans="1:16">
      <c r="A26" s="180"/>
      <c r="B26" s="180"/>
      <c r="C26" s="180"/>
      <c r="D26" s="180"/>
      <c r="F26" s="108" t="s">
        <v>75</v>
      </c>
      <c r="G26" s="108">
        <v>7510780</v>
      </c>
      <c r="H26" s="244">
        <v>2626</v>
      </c>
      <c r="I26" s="108"/>
      <c r="M26" s="243">
        <v>7457988</v>
      </c>
      <c r="N26" s="243" t="s">
        <v>106</v>
      </c>
      <c r="O26" s="243">
        <v>8</v>
      </c>
      <c r="P26" s="242"/>
    </row>
    <row r="27" spans="1:16">
      <c r="A27" s="180"/>
      <c r="B27" s="180"/>
      <c r="C27" s="180"/>
      <c r="D27" s="180"/>
      <c r="F27" s="108"/>
      <c r="G27" s="108"/>
      <c r="H27" s="244"/>
      <c r="I27" s="108"/>
      <c r="M27" s="243">
        <v>7457990</v>
      </c>
      <c r="N27" s="243" t="s">
        <v>107</v>
      </c>
      <c r="O27" s="243">
        <v>31</v>
      </c>
      <c r="P27" s="242"/>
    </row>
    <row r="28" spans="1:16">
      <c r="A28" s="180"/>
      <c r="B28" s="180"/>
      <c r="C28" s="180"/>
      <c r="D28" s="180"/>
      <c r="F28" s="108"/>
      <c r="G28" s="108"/>
      <c r="H28" s="244"/>
      <c r="I28" s="108"/>
      <c r="M28" s="243">
        <v>7457991</v>
      </c>
      <c r="N28" s="243" t="s">
        <v>108</v>
      </c>
      <c r="O28" s="243">
        <v>42</v>
      </c>
      <c r="P28" s="242"/>
    </row>
    <row r="29" spans="1:16">
      <c r="A29" s="180"/>
      <c r="B29" s="180"/>
      <c r="C29" s="180"/>
      <c r="D29" s="180"/>
      <c r="F29" s="108" t="s">
        <v>29</v>
      </c>
      <c r="G29" s="108">
        <v>7783976</v>
      </c>
      <c r="H29" s="244">
        <v>7</v>
      </c>
      <c r="I29" s="108"/>
      <c r="M29" s="243">
        <v>7457992</v>
      </c>
      <c r="N29" s="243" t="s">
        <v>18</v>
      </c>
      <c r="O29" s="243">
        <v>109</v>
      </c>
      <c r="P29" s="242"/>
    </row>
    <row r="30" spans="1:16">
      <c r="A30" s="180"/>
      <c r="B30" s="180"/>
      <c r="C30" s="180"/>
      <c r="D30" s="180"/>
      <c r="F30" s="108" t="s">
        <v>109</v>
      </c>
      <c r="G30" s="108">
        <v>7783978</v>
      </c>
      <c r="H30" s="244">
        <v>11.4</v>
      </c>
      <c r="I30" s="108"/>
      <c r="M30" s="243">
        <v>7457993</v>
      </c>
      <c r="N30" s="243" t="s">
        <v>110</v>
      </c>
      <c r="O30" s="243">
        <v>128</v>
      </c>
      <c r="P30" s="242"/>
    </row>
    <row r="31" spans="1:16">
      <c r="A31" s="180"/>
      <c r="B31" s="180"/>
      <c r="C31" s="180"/>
      <c r="D31" s="180"/>
      <c r="F31" s="108" t="s">
        <v>111</v>
      </c>
      <c r="G31" s="108">
        <v>7783970</v>
      </c>
      <c r="H31" s="244">
        <v>7</v>
      </c>
      <c r="I31" s="108"/>
      <c r="M31" s="243">
        <v>7457994</v>
      </c>
      <c r="N31" s="243" t="s">
        <v>112</v>
      </c>
      <c r="O31" s="243">
        <v>64</v>
      </c>
      <c r="P31" s="242"/>
    </row>
    <row r="32" spans="1:16">
      <c r="A32" s="180"/>
      <c r="B32" s="180"/>
      <c r="C32" s="180"/>
      <c r="D32" s="180"/>
      <c r="F32" s="108" t="s">
        <v>30</v>
      </c>
      <c r="G32" s="108">
        <v>7783973</v>
      </c>
      <c r="H32" s="244">
        <v>11.5</v>
      </c>
      <c r="I32" s="108"/>
      <c r="M32" s="242"/>
      <c r="N32" s="242"/>
      <c r="O32" s="242"/>
      <c r="P32" s="242"/>
    </row>
    <row r="33" spans="1:16">
      <c r="A33" s="180"/>
      <c r="B33" s="180"/>
      <c r="C33" s="180"/>
      <c r="D33" s="180"/>
      <c r="F33" s="108" t="s">
        <v>23</v>
      </c>
      <c r="G33" s="108">
        <v>7164821</v>
      </c>
      <c r="H33" s="244">
        <v>15.2</v>
      </c>
      <c r="I33" s="108"/>
      <c r="M33" s="243">
        <v>7185800</v>
      </c>
      <c r="N33" s="243" t="s">
        <v>113</v>
      </c>
      <c r="O33" s="243">
        <v>247</v>
      </c>
      <c r="P33" s="242"/>
    </row>
    <row r="34" spans="1:16">
      <c r="A34" s="180"/>
      <c r="B34" s="180"/>
      <c r="C34" s="180"/>
      <c r="D34" s="180"/>
      <c r="F34" s="108" t="s">
        <v>17</v>
      </c>
      <c r="G34" s="108">
        <v>7457972</v>
      </c>
      <c r="H34" s="244">
        <v>63</v>
      </c>
      <c r="I34" s="108"/>
      <c r="M34" s="243">
        <v>7374380</v>
      </c>
      <c r="N34" s="243" t="s">
        <v>114</v>
      </c>
      <c r="O34" s="243">
        <v>338</v>
      </c>
      <c r="P34" s="242"/>
    </row>
    <row r="35" spans="1:16">
      <c r="A35" s="180"/>
      <c r="B35" s="180"/>
      <c r="C35" s="180"/>
      <c r="D35" s="180"/>
      <c r="F35" s="108" t="s">
        <v>103</v>
      </c>
      <c r="G35" s="108">
        <v>7457973</v>
      </c>
      <c r="H35" s="244">
        <v>97</v>
      </c>
      <c r="I35" s="108"/>
      <c r="M35" s="243">
        <v>7497891</v>
      </c>
      <c r="N35" s="243" t="s">
        <v>19</v>
      </c>
      <c r="O35" s="243">
        <v>14</v>
      </c>
      <c r="P35" s="242"/>
    </row>
    <row r="36" spans="1:16">
      <c r="A36" s="180"/>
      <c r="B36" s="180"/>
      <c r="C36" s="180"/>
      <c r="D36" s="180"/>
      <c r="F36" s="108" t="s">
        <v>131</v>
      </c>
      <c r="G36" s="108">
        <v>7721229</v>
      </c>
      <c r="H36" s="244">
        <v>95</v>
      </c>
      <c r="I36" s="108"/>
      <c r="M36" s="243"/>
      <c r="N36" s="243"/>
      <c r="O36" s="243"/>
      <c r="P36" s="242"/>
    </row>
    <row r="37" spans="1:16">
      <c r="A37" s="180"/>
      <c r="B37" s="180"/>
      <c r="C37" s="180"/>
      <c r="D37" s="180"/>
      <c r="F37" s="108" t="s">
        <v>74</v>
      </c>
      <c r="G37" s="108">
        <v>7736574</v>
      </c>
      <c r="H37" s="244">
        <v>11.5</v>
      </c>
      <c r="I37" s="108"/>
      <c r="M37" s="243">
        <v>7510779</v>
      </c>
      <c r="N37" s="243" t="s">
        <v>115</v>
      </c>
      <c r="O37" s="243">
        <v>1190</v>
      </c>
      <c r="P37" s="242"/>
    </row>
    <row r="38" spans="1:16">
      <c r="A38" s="180"/>
      <c r="B38" s="180"/>
      <c r="C38" s="180"/>
      <c r="D38" s="180"/>
      <c r="F38" s="108" t="s">
        <v>133</v>
      </c>
      <c r="G38" s="108">
        <v>7736575</v>
      </c>
      <c r="H38" s="244">
        <v>19.2</v>
      </c>
      <c r="I38" s="108"/>
      <c r="M38" s="243">
        <v>7510780</v>
      </c>
      <c r="N38" s="243" t="s">
        <v>116</v>
      </c>
      <c r="O38" s="243">
        <v>1550</v>
      </c>
      <c r="P38" s="242"/>
    </row>
    <row r="39" spans="1:16">
      <c r="A39" s="180"/>
      <c r="B39" s="180"/>
      <c r="C39" s="180"/>
      <c r="D39" s="180"/>
      <c r="F39" s="108" t="s">
        <v>134</v>
      </c>
      <c r="G39" s="108">
        <v>7736576</v>
      </c>
      <c r="H39" s="244">
        <v>22.7</v>
      </c>
      <c r="I39" s="108"/>
      <c r="M39" s="243">
        <v>7510838</v>
      </c>
      <c r="N39" s="243" t="s">
        <v>117</v>
      </c>
      <c r="O39" s="243">
        <v>144</v>
      </c>
      <c r="P39" s="242"/>
    </row>
    <row r="40" spans="1:16">
      <c r="A40" s="180"/>
      <c r="B40" s="180"/>
      <c r="C40" s="180"/>
      <c r="D40" s="180"/>
      <c r="F40" s="108" t="s">
        <v>164</v>
      </c>
      <c r="G40" s="108">
        <v>7457988</v>
      </c>
      <c r="H40" s="244">
        <v>13</v>
      </c>
      <c r="I40" s="108"/>
      <c r="M40" s="242"/>
      <c r="N40" s="242"/>
      <c r="O40" s="242"/>
      <c r="P40" s="242"/>
    </row>
    <row r="41" spans="1:16">
      <c r="A41" s="180"/>
      <c r="B41" s="180"/>
      <c r="C41" s="180"/>
      <c r="D41" s="180"/>
      <c r="F41" s="108" t="s">
        <v>159</v>
      </c>
      <c r="G41" s="108">
        <v>7955978</v>
      </c>
      <c r="H41" s="244">
        <v>294</v>
      </c>
      <c r="I41" s="108"/>
      <c r="M41" s="243">
        <v>7552775</v>
      </c>
      <c r="N41" s="243" t="s">
        <v>118</v>
      </c>
      <c r="O41" s="243">
        <v>20</v>
      </c>
      <c r="P41" s="242"/>
    </row>
    <row r="42" spans="1:16">
      <c r="A42" s="180"/>
      <c r="B42" s="180"/>
      <c r="C42" s="180"/>
      <c r="D42" s="180"/>
      <c r="F42" s="108" t="s">
        <v>18</v>
      </c>
      <c r="G42" s="108">
        <v>7457992</v>
      </c>
      <c r="H42" s="244">
        <v>177</v>
      </c>
      <c r="I42" s="108"/>
      <c r="M42" s="243">
        <v>7552793</v>
      </c>
      <c r="N42" s="243" t="s">
        <v>119</v>
      </c>
      <c r="O42" s="243">
        <v>100</v>
      </c>
      <c r="P42" s="242"/>
    </row>
    <row r="43" spans="1:16">
      <c r="A43" s="180"/>
      <c r="B43" s="180"/>
      <c r="C43" s="180"/>
      <c r="D43" s="180"/>
      <c r="F43" s="108" t="s">
        <v>110</v>
      </c>
      <c r="G43" s="108">
        <v>7457993</v>
      </c>
      <c r="H43" s="244">
        <v>201</v>
      </c>
      <c r="I43" s="108"/>
      <c r="M43" s="243">
        <v>7552797</v>
      </c>
      <c r="N43" s="243" t="s">
        <v>120</v>
      </c>
      <c r="O43" s="243">
        <v>80</v>
      </c>
      <c r="P43" s="242"/>
    </row>
    <row r="44" spans="1:16">
      <c r="A44" s="180"/>
      <c r="B44" s="180"/>
      <c r="C44" s="180"/>
      <c r="D44" s="180"/>
      <c r="F44" s="108" t="s">
        <v>112</v>
      </c>
      <c r="G44" s="108">
        <v>7457994</v>
      </c>
      <c r="H44" s="244">
        <v>112</v>
      </c>
      <c r="I44" s="108"/>
      <c r="M44" s="243">
        <v>7552823</v>
      </c>
      <c r="N44" s="243" t="s">
        <v>31</v>
      </c>
      <c r="O44" s="243">
        <v>100</v>
      </c>
      <c r="P44" s="242"/>
    </row>
    <row r="45" spans="1:16">
      <c r="F45" s="108" t="s">
        <v>19</v>
      </c>
      <c r="G45" s="108">
        <v>7497891</v>
      </c>
      <c r="H45" s="244">
        <v>35</v>
      </c>
      <c r="I45" s="108"/>
      <c r="M45" s="243">
        <v>7552824</v>
      </c>
      <c r="N45" s="243" t="s">
        <v>32</v>
      </c>
      <c r="O45" s="243">
        <v>80</v>
      </c>
      <c r="P45" s="242"/>
    </row>
    <row r="46" spans="1:16">
      <c r="F46" s="108" t="s">
        <v>117</v>
      </c>
      <c r="G46" s="108">
        <v>7510838</v>
      </c>
      <c r="H46" s="244">
        <v>208</v>
      </c>
      <c r="I46" s="108"/>
      <c r="M46" s="242"/>
      <c r="N46" s="242"/>
      <c r="O46" s="242"/>
      <c r="P46" s="242"/>
    </row>
    <row r="47" spans="1:16">
      <c r="F47" s="108" t="s">
        <v>118</v>
      </c>
      <c r="G47" s="108">
        <v>7552775</v>
      </c>
      <c r="H47" s="244">
        <v>24.2</v>
      </c>
      <c r="I47" s="108"/>
      <c r="M47" s="243">
        <v>7561087</v>
      </c>
      <c r="N47" s="243" t="s">
        <v>121</v>
      </c>
      <c r="O47" s="243">
        <v>9</v>
      </c>
      <c r="P47" s="242"/>
    </row>
    <row r="48" spans="1:16" ht="16.2">
      <c r="F48" s="108" t="s">
        <v>165</v>
      </c>
      <c r="G48" s="108">
        <v>7552823</v>
      </c>
      <c r="H48" s="244">
        <v>127</v>
      </c>
      <c r="I48" s="108"/>
      <c r="M48" s="242"/>
      <c r="N48" s="242"/>
      <c r="O48" s="242"/>
      <c r="P48" s="242"/>
    </row>
    <row r="49" spans="6:16" ht="16.2">
      <c r="F49" s="108" t="s">
        <v>167</v>
      </c>
      <c r="G49" s="108">
        <v>7998634</v>
      </c>
      <c r="H49" s="244">
        <v>127</v>
      </c>
      <c r="I49" s="108"/>
      <c r="M49" s="243">
        <v>7731035</v>
      </c>
      <c r="N49" s="243" t="s">
        <v>122</v>
      </c>
      <c r="O49" s="243">
        <v>485</v>
      </c>
      <c r="P49" s="242"/>
    </row>
    <row r="50" spans="6:16" ht="16.2">
      <c r="F50" s="108" t="s">
        <v>166</v>
      </c>
      <c r="G50" s="108">
        <v>7552824</v>
      </c>
      <c r="H50" s="244">
        <v>101</v>
      </c>
      <c r="I50" s="108"/>
      <c r="M50" s="243">
        <v>7731047</v>
      </c>
      <c r="N50" s="243" t="s">
        <v>123</v>
      </c>
      <c r="O50" s="243">
        <v>560</v>
      </c>
      <c r="P50" s="242"/>
    </row>
    <row r="51" spans="6:16" ht="16.2">
      <c r="F51" s="108" t="s">
        <v>168</v>
      </c>
      <c r="G51" s="108">
        <v>7998635</v>
      </c>
      <c r="H51" s="244">
        <v>101</v>
      </c>
      <c r="I51" s="108"/>
      <c r="M51" s="243">
        <v>7731807</v>
      </c>
      <c r="N51" s="243" t="s">
        <v>124</v>
      </c>
      <c r="O51" s="243">
        <v>599</v>
      </c>
      <c r="P51" s="242"/>
    </row>
    <row r="52" spans="6:16">
      <c r="F52" s="108" t="s">
        <v>16</v>
      </c>
      <c r="G52" s="108">
        <v>7561087</v>
      </c>
      <c r="H52" s="244">
        <v>17</v>
      </c>
      <c r="I52" s="108"/>
      <c r="M52" s="243">
        <v>7731811</v>
      </c>
      <c r="N52" s="243" t="s">
        <v>125</v>
      </c>
      <c r="O52" s="243">
        <v>483</v>
      </c>
      <c r="P52" s="242"/>
    </row>
    <row r="53" spans="6:16">
      <c r="F53" s="108" t="s">
        <v>128</v>
      </c>
      <c r="G53" s="108">
        <v>7737174</v>
      </c>
      <c r="H53" s="244">
        <v>16.100000000000001</v>
      </c>
      <c r="I53" s="108"/>
      <c r="M53" s="243">
        <v>7731819</v>
      </c>
      <c r="N53" s="243" t="s">
        <v>126</v>
      </c>
      <c r="O53" s="243">
        <v>524</v>
      </c>
      <c r="P53" s="242"/>
    </row>
    <row r="54" spans="6:16">
      <c r="F54" s="108" t="s">
        <v>138</v>
      </c>
      <c r="G54" s="108">
        <v>7938240</v>
      </c>
      <c r="H54" s="244">
        <v>913</v>
      </c>
      <c r="I54" s="108"/>
      <c r="M54" s="243">
        <v>7733596</v>
      </c>
      <c r="N54" s="243" t="s">
        <v>127</v>
      </c>
      <c r="O54" s="243">
        <v>500</v>
      </c>
      <c r="P54" s="242"/>
    </row>
    <row r="55" spans="6:16">
      <c r="F55" s="108" t="s">
        <v>132</v>
      </c>
      <c r="G55" s="108">
        <v>7737174</v>
      </c>
      <c r="H55" s="244">
        <v>16.100000000000001</v>
      </c>
      <c r="I55" s="108"/>
      <c r="M55" s="242"/>
      <c r="N55" s="242"/>
      <c r="O55" s="242"/>
      <c r="P55" s="242"/>
    </row>
    <row r="56" spans="6:16">
      <c r="F56" s="108" t="s">
        <v>135</v>
      </c>
      <c r="G56" s="108">
        <v>7721228</v>
      </c>
      <c r="H56" s="244">
        <v>17.3</v>
      </c>
      <c r="I56" s="108"/>
      <c r="M56" s="243">
        <v>7737174</v>
      </c>
      <c r="N56" s="243" t="s">
        <v>128</v>
      </c>
      <c r="O56" s="243">
        <v>13</v>
      </c>
      <c r="P56" s="242"/>
    </row>
    <row r="57" spans="6:16">
      <c r="F57" s="108" t="s">
        <v>136</v>
      </c>
      <c r="G57" s="108">
        <v>7721227</v>
      </c>
      <c r="H57" s="244">
        <v>17.3</v>
      </c>
      <c r="I57" s="108"/>
      <c r="M57" s="242"/>
      <c r="N57" s="242"/>
      <c r="O57" s="242"/>
      <c r="P57" s="242"/>
    </row>
    <row r="58" spans="6:16">
      <c r="F58" s="108" t="s">
        <v>137</v>
      </c>
      <c r="G58" s="108">
        <v>7533470</v>
      </c>
      <c r="H58" s="244">
        <v>17.600000000000001</v>
      </c>
      <c r="I58" s="108"/>
      <c r="M58" s="243">
        <v>7737175</v>
      </c>
      <c r="N58" s="243" t="s">
        <v>129</v>
      </c>
      <c r="O58" s="243">
        <v>18</v>
      </c>
      <c r="P58" s="242"/>
    </row>
    <row r="59" spans="6:16">
      <c r="F59" s="108" t="s">
        <v>160</v>
      </c>
      <c r="G59" s="108">
        <v>7955972</v>
      </c>
      <c r="H59" s="244">
        <v>189</v>
      </c>
      <c r="I59" s="108"/>
      <c r="M59" s="243">
        <v>7997571</v>
      </c>
      <c r="N59" s="243" t="s">
        <v>15</v>
      </c>
      <c r="O59" s="243">
        <v>90</v>
      </c>
      <c r="P59" s="242"/>
    </row>
    <row r="60" spans="6:16">
      <c r="M60" s="242"/>
      <c r="N60" s="242"/>
      <c r="O60" s="242"/>
      <c r="P60" s="242"/>
    </row>
  </sheetData>
  <sheetProtection algorithmName="SHA-512" hashValue="0yXIt8IYWau3WPUhQM44dcealH2jQts2TgHO1+hNck814ttVLMgzkVA/Bms5Zy2/NuV2XtRhpWx6e4Nb7l0t2g==" saltValue="lHB4vzt/uhCFYDJpx5aQaA==" spinCount="100000" sheet="1" objects="1" scenarios="1"/>
  <protectedRanges>
    <protectedRange sqref="H5:H8 H12:H59" name="Rozstęp1"/>
  </protectedRanges>
  <phoneticPr fontId="39" type="noConversion"/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1DD6CE6A3E65147B87E4C45A7B8516C" ma:contentTypeVersion="0" ma:contentTypeDescription="Ein neues Dokument erstellen." ma:contentTypeScope="" ma:versionID="7001c37aafb2dc0e3d0bc102b781548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42459c4e2bf6670640834a23a0cc819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0E03D46-5B02-47D1-8383-006BD893FAC6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160FB35-EC69-4FE0-8ACE-C1DBDF5992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B98D73A-C3D9-4E87-89A4-B17543E147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11</vt:i4>
      </vt:variant>
    </vt:vector>
  </HeadingPairs>
  <TitlesOfParts>
    <vt:vector size="18" baseType="lpstr">
      <vt:lpstr>PV poziomo</vt:lpstr>
      <vt:lpstr>Rąbek_kalzip</vt:lpstr>
      <vt:lpstr>KalZip_Rąbek</vt:lpstr>
      <vt:lpstr>Dachówka_blachodachówka</vt:lpstr>
      <vt:lpstr>Dachówka</vt:lpstr>
      <vt:lpstr>Blachodachowka</vt:lpstr>
      <vt:lpstr>Cennik</vt:lpstr>
      <vt:lpstr>Cennik!_GoBack</vt:lpstr>
      <vt:lpstr>Cennik</vt:lpstr>
      <vt:lpstr>KalZip_Rąbek!klient</vt:lpstr>
      <vt:lpstr>'PV poziomo'!klient</vt:lpstr>
      <vt:lpstr>klient</vt:lpstr>
      <vt:lpstr>moduly</vt:lpstr>
      <vt:lpstr>moduł</vt:lpstr>
      <vt:lpstr>Dachówka_blachodachówka!Obszar_wydruku</vt:lpstr>
      <vt:lpstr>KalZip_Rąbek!Obszar_wydruku</vt:lpstr>
      <vt:lpstr>'PV poziomo'!Obszar_wydruku</vt:lpstr>
      <vt:lpstr>PV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 Gołoś</dc:creator>
  <cp:lastModifiedBy>Karol_Golos</cp:lastModifiedBy>
  <cp:lastPrinted>2020-09-21T08:50:30Z</cp:lastPrinted>
  <dcterms:created xsi:type="dcterms:W3CDTF">2019-12-11T13:37:25Z</dcterms:created>
  <dcterms:modified xsi:type="dcterms:W3CDTF">2023-06-19T13:03:10Z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0x01010081DD6CE6A3E65147B87E4C45A7B8516C</vt:lpwstr>
  </property>
</Properties>
</file>