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onM\kalkulatory\"/>
    </mc:Choice>
  </mc:AlternateContent>
  <xr:revisionPtr revIDLastSave="0" documentId="8_{D811ACD6-8D2C-4F62-85EA-C7E11BB5ED19}" xr6:coauthVersionLast="41" xr6:coauthVersionMax="41" xr10:uidLastSave="{00000000-0000-0000-0000-000000000000}"/>
  <workbookProtection workbookAlgorithmName="SHA-512" workbookHashValue="Kq+fUw5kdis57qx1RtolAIj8ebM/YjjdMyk/7kxtWpH671h8jsl3DuCVWqC5DBHyfycdscwG8ZCktXBq1I54BA==" workbookSaltValue="qOGtscQ01+9OwVLD56pxyg==" workbookSpinCount="100000" lockStructure="1"/>
  <bookViews>
    <workbookView xWindow="-120" yWindow="-120" windowWidth="29040" windowHeight="15840" firstSheet="1" activeTab="1" xr2:uid="{00000000-000D-0000-FFFF-FFFF00000000}"/>
  </bookViews>
  <sheets>
    <sheet name="Admin" sheetId="3" state="hidden" r:id="rId1"/>
    <sheet name="Wyniki" sheetId="2" r:id="rId2"/>
  </sheets>
  <externalReferences>
    <externalReference r:id="rId3"/>
  </externalReferences>
  <definedNames>
    <definedName name="budynek">[1]Dane!$H$65:$H$70</definedName>
    <definedName name="dane_bud">Wyniki!$D$63:$D$68</definedName>
    <definedName name="_xlnm.Print_Area" localSheetId="1">Wyniki!$A$1:$AN$53</definedName>
    <definedName name="pasuje1" comment="pasuje11" localSheetId="1">"pasuje"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" i="3" l="1"/>
  <c r="C32" i="3"/>
  <c r="D31" i="3"/>
  <c r="D32" i="3"/>
  <c r="E31" i="3"/>
  <c r="E32" i="3"/>
  <c r="F31" i="3"/>
  <c r="F32" i="3"/>
  <c r="G31" i="3"/>
  <c r="G32" i="3"/>
  <c r="H31" i="3"/>
  <c r="H32" i="3"/>
  <c r="I31" i="3"/>
  <c r="I32" i="3"/>
  <c r="J31" i="3"/>
  <c r="J32" i="3"/>
  <c r="J30" i="3"/>
  <c r="I30" i="3"/>
  <c r="H30" i="3"/>
  <c r="G30" i="3"/>
  <c r="F30" i="3"/>
  <c r="E30" i="3"/>
  <c r="D30" i="3"/>
  <c r="C30" i="3"/>
  <c r="K55" i="2" l="1"/>
  <c r="D33" i="3" l="1"/>
  <c r="E33" i="3"/>
  <c r="F33" i="3"/>
  <c r="G33" i="3"/>
  <c r="H33" i="3"/>
  <c r="I33" i="3"/>
  <c r="J33" i="3"/>
  <c r="C33" i="3"/>
  <c r="C34" i="3"/>
  <c r="AT11" i="2" s="1"/>
  <c r="D34" i="3"/>
  <c r="AV11" i="2" s="1"/>
  <c r="E34" i="3"/>
  <c r="AY11" i="2" s="1"/>
  <c r="F34" i="3"/>
  <c r="BA11" i="2" s="1"/>
  <c r="G34" i="3"/>
  <c r="BC11" i="2" s="1"/>
  <c r="H34" i="3"/>
  <c r="BF11" i="2" s="1"/>
  <c r="I34" i="3"/>
  <c r="BG11" i="2" s="1"/>
  <c r="J34" i="3"/>
  <c r="BH11" i="2" s="1"/>
  <c r="R8" i="2"/>
  <c r="R10" i="2"/>
  <c r="G14" i="3"/>
  <c r="G13" i="3"/>
  <c r="G12" i="3"/>
  <c r="G11" i="3"/>
  <c r="G10" i="3"/>
  <c r="G9" i="3"/>
  <c r="G8" i="3"/>
  <c r="G7" i="3"/>
  <c r="J12" i="3"/>
  <c r="E11" i="2"/>
  <c r="E10" i="2" s="1"/>
  <c r="G2" i="3"/>
  <c r="J14" i="3" l="1"/>
  <c r="J13" i="3"/>
  <c r="J11" i="3"/>
  <c r="P11" i="3" s="1"/>
  <c r="J10" i="3"/>
  <c r="P10" i="3" s="1"/>
  <c r="J9" i="3"/>
  <c r="P9" i="3" s="1"/>
  <c r="J8" i="3"/>
  <c r="P8" i="3" s="1"/>
  <c r="J7" i="3"/>
  <c r="P7" i="3" s="1"/>
  <c r="H8" i="3"/>
  <c r="L8" i="3" s="1"/>
  <c r="H9" i="3"/>
  <c r="L9" i="3" s="1"/>
  <c r="H10" i="3"/>
  <c r="L10" i="3" s="1"/>
  <c r="H11" i="3"/>
  <c r="H12" i="3"/>
  <c r="L12" i="3" s="1"/>
  <c r="P12" i="3" s="1"/>
  <c r="H13" i="3"/>
  <c r="L13" i="3" s="1"/>
  <c r="H14" i="3"/>
  <c r="H7" i="3"/>
  <c r="N10" i="3" l="1"/>
  <c r="N14" i="3"/>
  <c r="N9" i="3"/>
  <c r="N13" i="3"/>
  <c r="N7" i="3"/>
  <c r="O13" i="3"/>
  <c r="P13" i="3"/>
  <c r="N11" i="3"/>
  <c r="N12" i="3"/>
  <c r="N8" i="3"/>
  <c r="O9" i="3"/>
  <c r="O8" i="3"/>
  <c r="O12" i="3"/>
  <c r="I10" i="3"/>
  <c r="O10" i="3"/>
  <c r="I12" i="3"/>
  <c r="I14" i="3"/>
  <c r="I13" i="3"/>
  <c r="I11" i="3"/>
  <c r="I8" i="3"/>
  <c r="I7" i="3"/>
  <c r="L14" i="3"/>
  <c r="P14" i="3" s="1"/>
  <c r="L11" i="3"/>
  <c r="O11" i="3" s="1"/>
  <c r="I9" i="3"/>
  <c r="L7" i="3"/>
  <c r="O7" i="3" s="1"/>
  <c r="P17" i="3" l="1"/>
  <c r="K73" i="2" s="1"/>
  <c r="G17" i="3"/>
  <c r="N22" i="3"/>
  <c r="N24" i="3" s="1"/>
  <c r="N26" i="3" s="1"/>
  <c r="O14" i="3"/>
  <c r="O19" i="3" s="1"/>
  <c r="I17" i="3"/>
  <c r="L17" i="3"/>
  <c r="K70" i="2" l="1"/>
  <c r="H35" i="2" s="1"/>
  <c r="AS15" i="2"/>
  <c r="K74" i="2"/>
  <c r="K71" i="2"/>
  <c r="R17" i="3"/>
  <c r="AD26" i="2" l="1"/>
  <c r="H41" i="2"/>
  <c r="AD32" i="2"/>
  <c r="AD11" i="2"/>
  <c r="AD23" i="2"/>
  <c r="H29" i="2"/>
  <c r="AD14" i="2"/>
  <c r="AD35" i="2"/>
  <c r="O34" i="2"/>
  <c r="N34" i="2"/>
  <c r="M34" i="2"/>
  <c r="N28" i="2"/>
  <c r="M28" i="2"/>
  <c r="O28" i="2"/>
  <c r="AJ25" i="2"/>
  <c r="AJ13" i="2"/>
  <c r="M40" i="2"/>
  <c r="AI13" i="2"/>
  <c r="N40" i="2"/>
  <c r="AH10" i="2"/>
  <c r="AI34" i="2"/>
  <c r="O40" i="2"/>
  <c r="AH31" i="2"/>
  <c r="AI25" i="2"/>
  <c r="AH22" i="2"/>
  <c r="AJ34" i="2"/>
  <c r="K75" i="2"/>
  <c r="K72" i="2"/>
</calcChain>
</file>

<file path=xl/sharedStrings.xml><?xml version="1.0" encoding="utf-8"?>
<sst xmlns="http://schemas.openxmlformats.org/spreadsheetml/2006/main" count="158" uniqueCount="103">
  <si>
    <t>Wh</t>
  </si>
  <si>
    <t>litry</t>
  </si>
  <si>
    <t>Temperatura</t>
  </si>
  <si>
    <t>Czas poboru</t>
  </si>
  <si>
    <t>min</t>
  </si>
  <si>
    <t>Zużycie</t>
  </si>
  <si>
    <t>Energia</t>
  </si>
  <si>
    <t>120 litrów</t>
  </si>
  <si>
    <t>16 - 32 kW</t>
  </si>
  <si>
    <t>160 litrów</t>
  </si>
  <si>
    <t>200 litrów</t>
  </si>
  <si>
    <t>Wyposażenie:</t>
  </si>
  <si>
    <t>Zlew</t>
  </si>
  <si>
    <t>Umywalka</t>
  </si>
  <si>
    <t>Natryk oszczędny</t>
  </si>
  <si>
    <t>Natryk normalny</t>
  </si>
  <si>
    <t>Natryk komfortowy</t>
  </si>
  <si>
    <t>Wanna 140 litrów</t>
  </si>
  <si>
    <t>Wanna 200 litrów</t>
  </si>
  <si>
    <t>Wanna 160 litrów</t>
  </si>
  <si>
    <t>Wymagany minimalny NL</t>
  </si>
  <si>
    <t>Łączna ilość osób korzystających z wody:</t>
  </si>
  <si>
    <t>Ilość punktów poboru możliwych do wykorzystania w jednej chwili</t>
  </si>
  <si>
    <t>Wylewka</t>
  </si>
  <si>
    <t>litry/min</t>
  </si>
  <si>
    <t>100 litrów</t>
  </si>
  <si>
    <t>17 kW</t>
  </si>
  <si>
    <t>Czas poboru [min]</t>
  </si>
  <si>
    <t>Litry/min</t>
  </si>
  <si>
    <t>Litry/min/zużcyie</t>
  </si>
  <si>
    <t>Maksymalne zużycie chwilowe litry/10min</t>
  </si>
  <si>
    <t>Litry</t>
  </si>
  <si>
    <t>Wanna</t>
  </si>
  <si>
    <t>Natrysk</t>
  </si>
  <si>
    <t>Koszt przygotowania (jednorazowo)</t>
  </si>
  <si>
    <t>Koszt przygotowania (rocznie)</t>
  </si>
  <si>
    <t>Energia [Wh]</t>
  </si>
  <si>
    <t>Energia [kWh]</t>
  </si>
  <si>
    <t>Litry/10min</t>
  </si>
  <si>
    <t>Wydatek po 10min</t>
  </si>
  <si>
    <t>Moc [kW]</t>
  </si>
  <si>
    <t>Wymagany NL</t>
  </si>
  <si>
    <t>Wymagana wydajność stała</t>
  </si>
  <si>
    <t>Wymagana moc grzewcza kotła</t>
  </si>
  <si>
    <t>Wymagana całkowita ilość wody</t>
  </si>
  <si>
    <t>Rodzaj budynku</t>
  </si>
  <si>
    <t>Powierzchnia ogrzewana [m²]</t>
  </si>
  <si>
    <t>Nowe budownictwo szeregowe (60 W/m²)</t>
  </si>
  <si>
    <t>▼</t>
  </si>
  <si>
    <t>Ilość mieszkańców</t>
  </si>
  <si>
    <t>Pozostała ilość wody po 10min</t>
  </si>
  <si>
    <t>Normalny</t>
  </si>
  <si>
    <t>140 litrów</t>
  </si>
  <si>
    <t>Komfort</t>
  </si>
  <si>
    <t>Oszczędny</t>
  </si>
  <si>
    <t>Wymagana wydajność chwilowa przez 10min</t>
  </si>
  <si>
    <t>NL=</t>
  </si>
  <si>
    <t>°C</t>
  </si>
  <si>
    <t>Moc Q =</t>
  </si>
  <si>
    <t>[ litry / 10min ]</t>
  </si>
  <si>
    <t>[ litry / h ]</t>
  </si>
  <si>
    <t>[ kW ]</t>
  </si>
  <si>
    <t>NL</t>
  </si>
  <si>
    <t>Spełnione warunki brzegowe =&gt; zapewniony komfort korzystania z wody</t>
  </si>
  <si>
    <t>Nie spełnione warunki brzegowe</t>
  </si>
  <si>
    <t>Możliwość obniżenia komfortu przy jednoczesnym poborze wody ze wskazanych punktów</t>
  </si>
  <si>
    <t>Możliwość obniżenia komfortu przy dłuższym czasie korzystania w wody</t>
  </si>
  <si>
    <t>Moc kotła grzewczego</t>
  </si>
  <si>
    <t>Dane dotyczące budynku</t>
  </si>
  <si>
    <t>Pasywny (10 W/m²)</t>
  </si>
  <si>
    <t>Niskoenergetyczny (40 W/m²)</t>
  </si>
  <si>
    <t>Nowe budownictwo (70 W/m²)</t>
  </si>
  <si>
    <t>Izolowany, rok budowy &lt; 1995 (80 W/m²)</t>
  </si>
  <si>
    <t>Starszy bez izolacji (120 W/m²)</t>
  </si>
  <si>
    <t>300 litrów</t>
  </si>
  <si>
    <r>
      <t xml:space="preserve">Wyposażenie </t>
    </r>
    <r>
      <rPr>
        <sz val="11"/>
        <color theme="1"/>
        <rFont val="Czcionka tekstu podstawowego"/>
        <charset val="238"/>
      </rPr>
      <t>( wszystkie punkty podobru wody, które dopuszcza się do pracy</t>
    </r>
    <r>
      <rPr>
        <b/>
        <sz val="11"/>
        <color rgb="FFFF0000"/>
        <rFont val="Czcionka tekstu podstawowego"/>
        <charset val="238"/>
      </rPr>
      <t xml:space="preserve"> </t>
    </r>
    <r>
      <rPr>
        <b/>
        <sz val="11"/>
        <color rgb="FFC00000"/>
        <rFont val="Czcionka tekstu podstawowego"/>
        <charset val="238"/>
      </rPr>
      <t>jednoczesnej</t>
    </r>
    <r>
      <rPr>
        <sz val="11"/>
        <color theme="1"/>
        <rFont val="Czcionka tekstu podstawowego"/>
        <charset val="238"/>
      </rPr>
      <t xml:space="preserve"> )</t>
    </r>
  </si>
  <si>
    <t>Jednostka</t>
  </si>
  <si>
    <t>Arkusz doborowy podgrzewacza wody użytkowej</t>
  </si>
  <si>
    <t>Objaśnienia</t>
  </si>
  <si>
    <t>Warunek nie spełniony</t>
  </si>
  <si>
    <t>Warunek spełniony co najmniej w 90%</t>
  </si>
  <si>
    <t>Warunek spełniony</t>
  </si>
  <si>
    <t>Założenia</t>
  </si>
  <si>
    <t>Komfortowy</t>
  </si>
  <si>
    <t>Zużycie [ litry ]</t>
  </si>
  <si>
    <t>Wyleka [ litry / min ]</t>
  </si>
  <si>
    <t>Czas poboru [ min ]</t>
  </si>
  <si>
    <r>
      <t>Temperatura [ °</t>
    </r>
    <r>
      <rPr>
        <sz val="8.5"/>
        <color theme="0"/>
        <rFont val="Czcionka tekstu podstawowego"/>
        <charset val="238"/>
      </rPr>
      <t>C ]</t>
    </r>
  </si>
  <si>
    <t>Akademia Viessmann 11'2012</t>
  </si>
  <si>
    <t>Dane poprawne</t>
  </si>
  <si>
    <t>Niespójność danych (sprawdzić czy ilość punktów poboru jest zgodna z ilością mieszkańców)</t>
  </si>
  <si>
    <t>Dane dotyczące punktów poboru wody</t>
  </si>
  <si>
    <t>Moce kotłów 1-f na CWU</t>
  </si>
  <si>
    <t>150 litrów</t>
  </si>
  <si>
    <t>pola edytowalne</t>
  </si>
  <si>
    <t>100-W CUG / CUGA / CUGA-A</t>
  </si>
  <si>
    <t>Vitocell</t>
  </si>
  <si>
    <t>100-W CVA / CVAA / CVAA-A</t>
  </si>
  <si>
    <r>
      <t xml:space="preserve">Vitodens o mocy </t>
    </r>
    <r>
      <rPr>
        <b/>
        <sz val="10"/>
        <color theme="1"/>
        <rFont val="Czcionka tekstu podstawowego"/>
        <charset val="238"/>
      </rPr>
      <t>11 kW</t>
    </r>
    <r>
      <rPr>
        <sz val="10"/>
        <color theme="1"/>
        <rFont val="Czcionka tekstu podstawowego"/>
        <charset val="238"/>
      </rPr>
      <t xml:space="preserve"> na CO ►moc na CWU = </t>
    </r>
    <r>
      <rPr>
        <b/>
        <sz val="10"/>
        <color theme="1"/>
        <rFont val="Czcionka tekstu podstawowego"/>
        <charset val="238"/>
      </rPr>
      <t>17,3 kW</t>
    </r>
  </si>
  <si>
    <r>
      <t xml:space="preserve">Vitodens o mocy </t>
    </r>
    <r>
      <rPr>
        <b/>
        <sz val="10"/>
        <color theme="1"/>
        <rFont val="Czcionka tekstu podstawowego"/>
        <charset val="238"/>
      </rPr>
      <t xml:space="preserve">19 kW </t>
    </r>
    <r>
      <rPr>
        <sz val="10"/>
        <color theme="1"/>
        <rFont val="Czcionka tekstu podstawowego"/>
        <charset val="238"/>
      </rPr>
      <t xml:space="preserve">na CO ►moc na CWU = </t>
    </r>
    <r>
      <rPr>
        <b/>
        <sz val="10"/>
        <color theme="1"/>
        <rFont val="Czcionka tekstu podstawowego"/>
        <charset val="238"/>
      </rPr>
      <t>17,3 kW</t>
    </r>
  </si>
  <si>
    <r>
      <t xml:space="preserve">Vitodens o mocy </t>
    </r>
    <r>
      <rPr>
        <b/>
        <sz val="10"/>
        <color theme="1"/>
        <rFont val="Czcionka tekstu podstawowego"/>
        <charset val="238"/>
      </rPr>
      <t>25 kW</t>
    </r>
    <r>
      <rPr>
        <sz val="10"/>
        <color theme="1"/>
        <rFont val="Czcionka tekstu podstawowego"/>
        <charset val="238"/>
      </rPr>
      <t xml:space="preserve"> na CO ►moc na CWU = </t>
    </r>
    <r>
      <rPr>
        <b/>
        <sz val="10"/>
        <color theme="1"/>
        <rFont val="Czcionka tekstu podstawowego"/>
        <charset val="238"/>
      </rPr>
      <t>22,7 kW</t>
    </r>
  </si>
  <si>
    <r>
      <t xml:space="preserve">Vitodens o mocy </t>
    </r>
    <r>
      <rPr>
        <b/>
        <sz val="10"/>
        <color theme="1"/>
        <rFont val="Czcionka tekstu podstawowego"/>
        <charset val="238"/>
      </rPr>
      <t xml:space="preserve">32 kW </t>
    </r>
    <r>
      <rPr>
        <sz val="10"/>
        <color theme="1"/>
        <rFont val="Czcionka tekstu podstawowego"/>
        <charset val="238"/>
      </rPr>
      <t xml:space="preserve">na CO ►moc na CWU = </t>
    </r>
    <r>
      <rPr>
        <b/>
        <sz val="10"/>
        <color theme="1"/>
        <rFont val="Czcionka tekstu podstawowego"/>
        <charset val="238"/>
      </rPr>
      <t>29,1 kW</t>
    </r>
  </si>
  <si>
    <t>&gt;22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</si>
</sst>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l&quot;"/>
  </numFmts>
  <fonts count="27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0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0"/>
      <name val="Czcionka tekstu podstawowego"/>
      <family val="2"/>
      <charset val="238"/>
    </font>
    <font>
      <sz val="8"/>
      <color theme="1" tint="0.499984740745262"/>
      <name val="Czcionka tekstu podstawowego"/>
      <charset val="238"/>
    </font>
    <font>
      <sz val="10"/>
      <color theme="0"/>
      <name val="Czcionka tekstu podstawowego"/>
      <charset val="238"/>
    </font>
    <font>
      <sz val="11"/>
      <color theme="1"/>
      <name val="Czcionka tekstu podstawowego"/>
      <charset val="238"/>
    </font>
    <font>
      <sz val="26"/>
      <color theme="1"/>
      <name val="Wingdings"/>
      <charset val="2"/>
    </font>
    <font>
      <b/>
      <sz val="11"/>
      <color theme="1" tint="0.34998626667073579"/>
      <name val="Czcionka tekstu podstawowego"/>
      <charset val="238"/>
    </font>
    <font>
      <b/>
      <sz val="11"/>
      <color theme="0"/>
      <name val="Czcionka tekstu podstawowego"/>
      <charset val="238"/>
    </font>
    <font>
      <b/>
      <sz val="10"/>
      <color theme="1" tint="0.34998626667073579"/>
      <name val="Czcionka tekstu podstawowego"/>
      <charset val="238"/>
    </font>
    <font>
      <sz val="1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rgb="FFC00000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0"/>
      <color theme="0"/>
      <name val="Czcionka tekstu podstawowego"/>
      <family val="2"/>
      <charset val="238"/>
    </font>
    <font>
      <b/>
      <sz val="14"/>
      <color theme="0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0"/>
      <name val="Czcionka tekstu podstawowego"/>
      <charset val="238"/>
    </font>
    <font>
      <sz val="8.5"/>
      <color theme="0"/>
      <name val="Czcionka tekstu podstawowego"/>
      <charset val="238"/>
    </font>
    <font>
      <b/>
      <sz val="10"/>
      <color theme="1"/>
      <name val="Czcionka tekstu podstawowego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family val="2"/>
      <charset val="238"/>
    </font>
    <font>
      <b/>
      <sz val="10"/>
      <color rgb="FFFF0000"/>
      <name val="Czcionka tekstu podstawowego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FE1E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442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/>
    <xf numFmtId="0" fontId="6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right" vertical="center"/>
    </xf>
    <xf numFmtId="164" fontId="4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wrapText="1"/>
    </xf>
    <xf numFmtId="0" fontId="20" fillId="2" borderId="3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9" borderId="3" xfId="0" applyFont="1" applyFill="1" applyBorder="1" applyAlignment="1" applyProtection="1">
      <alignment horizontal="center"/>
    </xf>
    <xf numFmtId="0" fontId="7" fillId="10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3" fillId="6" borderId="0" xfId="0" applyFont="1" applyFill="1" applyBorder="1" applyAlignment="1" applyProtection="1">
      <alignment horizontal="center"/>
    </xf>
    <xf numFmtId="0" fontId="3" fillId="6" borderId="0" xfId="0" applyFont="1" applyFill="1" applyBorder="1" applyProtection="1"/>
    <xf numFmtId="0" fontId="3" fillId="4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9" fillId="6" borderId="0" xfId="0" applyFont="1" applyFill="1" applyBorder="1" applyProtection="1"/>
    <xf numFmtId="0" fontId="1" fillId="6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vertical="center"/>
    </xf>
    <xf numFmtId="0" fontId="3" fillId="8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7" fillId="8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7" borderId="0" xfId="0" applyFont="1" applyFill="1" applyBorder="1" applyProtection="1"/>
    <xf numFmtId="0" fontId="1" fillId="8" borderId="0" xfId="0" applyFont="1" applyFill="1" applyBorder="1" applyProtection="1"/>
    <xf numFmtId="0" fontId="1" fillId="2" borderId="4" xfId="0" applyFont="1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/>
    <xf numFmtId="0" fontId="1" fillId="2" borderId="0" xfId="0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7" fillId="7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top"/>
    </xf>
    <xf numFmtId="0" fontId="1" fillId="7" borderId="0" xfId="0" applyFont="1" applyFill="1" applyBorder="1" applyAlignment="1" applyProtection="1">
      <alignment horizontal="center"/>
    </xf>
    <xf numFmtId="2" fontId="21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21" fillId="2" borderId="0" xfId="0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/>
    </xf>
    <xf numFmtId="0" fontId="7" fillId="7" borderId="0" xfId="0" applyFont="1" applyFill="1" applyBorder="1" applyProtection="1"/>
    <xf numFmtId="0" fontId="7" fillId="8" borderId="0" xfId="0" applyFont="1" applyFill="1" applyBorder="1" applyProtection="1"/>
    <xf numFmtId="0" fontId="7" fillId="2" borderId="5" xfId="0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2" fontId="21" fillId="2" borderId="0" xfId="0" applyNumberFormat="1" applyFont="1" applyFill="1" applyBorder="1" applyAlignment="1" applyProtection="1">
      <alignment vertical="center"/>
    </xf>
    <xf numFmtId="0" fontId="21" fillId="2" borderId="0" xfId="0" applyFont="1" applyFill="1" applyBorder="1" applyProtection="1"/>
    <xf numFmtId="0" fontId="1" fillId="2" borderId="0" xfId="0" applyFont="1" applyFill="1" applyBorder="1" applyProtection="1"/>
    <xf numFmtId="0" fontId="18" fillId="2" borderId="0" xfId="0" applyFont="1" applyFill="1" applyProtection="1"/>
    <xf numFmtId="0" fontId="5" fillId="2" borderId="0" xfId="0" applyFont="1" applyFill="1" applyProtection="1"/>
    <xf numFmtId="0" fontId="1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/>
    </xf>
    <xf numFmtId="0" fontId="1" fillId="2" borderId="10" xfId="0" applyFont="1" applyFill="1" applyBorder="1" applyAlignment="1" applyProtection="1"/>
    <xf numFmtId="0" fontId="1" fillId="2" borderId="1" xfId="0" applyFont="1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164" fontId="4" fillId="2" borderId="5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20" fillId="2" borderId="5" xfId="0" applyFont="1" applyFill="1" applyBorder="1" applyAlignment="1" applyProtection="1">
      <alignment horizontal="left" vertical="center"/>
    </xf>
    <xf numFmtId="164" fontId="4" fillId="2" borderId="5" xfId="0" applyNumberFormat="1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164" fontId="1" fillId="2" borderId="5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164" fontId="23" fillId="2" borderId="5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Border="1"/>
    <xf numFmtId="0" fontId="24" fillId="2" borderId="0" xfId="0" applyFont="1" applyFill="1" applyBorder="1" applyAlignment="1">
      <alignment horizontal="center"/>
    </xf>
    <xf numFmtId="2" fontId="24" fillId="2" borderId="0" xfId="0" applyNumberFormat="1" applyFont="1" applyFill="1" applyBorder="1" applyAlignment="1">
      <alignment horizontal="center"/>
    </xf>
    <xf numFmtId="2" fontId="24" fillId="2" borderId="0" xfId="0" applyNumberFormat="1" applyFont="1" applyFill="1" applyBorder="1"/>
    <xf numFmtId="2" fontId="24" fillId="2" borderId="0" xfId="0" applyNumberFormat="1" applyFont="1" applyFill="1" applyBorder="1" applyAlignment="1">
      <alignment horizontal="right"/>
    </xf>
    <xf numFmtId="1" fontId="24" fillId="2" borderId="0" xfId="0" applyNumberFormat="1" applyFont="1" applyFill="1" applyBorder="1" applyAlignment="1">
      <alignment horizontal="center"/>
    </xf>
    <xf numFmtId="2" fontId="25" fillId="2" borderId="0" xfId="0" applyNumberFormat="1" applyFont="1" applyFill="1" applyBorder="1"/>
    <xf numFmtId="164" fontId="25" fillId="2" borderId="0" xfId="0" applyNumberFormat="1" applyFont="1" applyFill="1" applyBorder="1"/>
    <xf numFmtId="1" fontId="25" fillId="2" borderId="0" xfId="0" applyNumberFormat="1" applyFont="1" applyFill="1" applyBorder="1"/>
    <xf numFmtId="165" fontId="25" fillId="2" borderId="0" xfId="0" applyNumberFormat="1" applyFont="1" applyFill="1" applyBorder="1"/>
    <xf numFmtId="1" fontId="24" fillId="2" borderId="0" xfId="0" applyNumberFormat="1" applyFont="1" applyFill="1" applyBorder="1"/>
    <xf numFmtId="0" fontId="1" fillId="12" borderId="0" xfId="0" applyFont="1" applyFill="1" applyAlignment="1" applyProtection="1">
      <alignment horizontal="left"/>
    </xf>
    <xf numFmtId="0" fontId="1" fillId="12" borderId="0" xfId="0" applyFont="1" applyFill="1" applyProtection="1"/>
    <xf numFmtId="0" fontId="1" fillId="12" borderId="0" xfId="0" applyFont="1" applyFill="1" applyAlignment="1" applyProtection="1">
      <alignment horizontal="center"/>
    </xf>
    <xf numFmtId="2" fontId="26" fillId="12" borderId="0" xfId="0" applyNumberFormat="1" applyFont="1" applyFill="1" applyProtection="1"/>
    <xf numFmtId="0" fontId="1" fillId="2" borderId="4" xfId="0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13" borderId="12" xfId="0" applyFont="1" applyFill="1" applyBorder="1" applyAlignment="1" applyProtection="1">
      <alignment horizontal="center"/>
    </xf>
    <xf numFmtId="0" fontId="1" fillId="13" borderId="11" xfId="0" applyFont="1" applyFill="1" applyBorder="1" applyAlignment="1" applyProtection="1">
      <alignment horizontal="center"/>
    </xf>
    <xf numFmtId="0" fontId="1" fillId="13" borderId="3" xfId="0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 vertical="center"/>
    </xf>
    <xf numFmtId="1" fontId="1" fillId="6" borderId="3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1" fillId="2" borderId="13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3" fillId="6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1" fillId="14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24" fillId="2" borderId="0" xfId="0" applyFont="1" applyFill="1" applyBorder="1" applyAlignment="1">
      <alignment horizontal="center"/>
    </xf>
    <xf numFmtId="0" fontId="11" fillId="14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1" fillId="14" borderId="0" xfId="0" applyFont="1" applyFill="1" applyBorder="1" applyAlignment="1" applyProtection="1">
      <alignment horizontal="left" vertical="center"/>
    </xf>
    <xf numFmtId="0" fontId="11" fillId="14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2" fontId="17" fillId="2" borderId="0" xfId="0" applyNumberFormat="1" applyFont="1" applyFill="1" applyBorder="1" applyAlignment="1" applyProtection="1">
      <alignment horizontal="center" vertical="center"/>
    </xf>
    <xf numFmtId="2" fontId="17" fillId="2" borderId="5" xfId="0" applyNumberFormat="1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center"/>
    </xf>
    <xf numFmtId="1" fontId="18" fillId="2" borderId="0" xfId="0" applyNumberFormat="1" applyFont="1" applyFill="1" applyAlignment="1" applyProtection="1">
      <alignment horizontal="center"/>
    </xf>
    <xf numFmtId="2" fontId="21" fillId="2" borderId="0" xfId="0" applyNumberFormat="1" applyFont="1" applyFill="1" applyBorder="1" applyAlignment="1" applyProtection="1">
      <alignment horizontal="center" vertical="center"/>
    </xf>
    <xf numFmtId="2" fontId="21" fillId="2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left" vertical="center"/>
    </xf>
    <xf numFmtId="2" fontId="18" fillId="2" borderId="0" xfId="0" applyNumberFormat="1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center"/>
    </xf>
    <xf numFmtId="0" fontId="11" fillId="6" borderId="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19" fillId="14" borderId="0" xfId="0" applyFont="1" applyFill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 vertical="center"/>
    </xf>
    <xf numFmtId="0" fontId="2" fillId="8" borderId="0" xfId="0" applyFont="1" applyFill="1" applyAlignment="1" applyProtection="1">
      <alignment horizontal="left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2" fillId="5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11" fillId="14" borderId="1" xfId="0" applyFont="1" applyFill="1" applyBorder="1" applyAlignment="1" applyProtection="1">
      <alignment horizontal="center" vertical="center"/>
    </xf>
    <xf numFmtId="0" fontId="11" fillId="14" borderId="0" xfId="0" applyFont="1" applyFill="1" applyAlignment="1" applyProtection="1">
      <alignment horizontal="left"/>
    </xf>
    <xf numFmtId="0" fontId="11" fillId="14" borderId="0" xfId="0" applyFont="1" applyFill="1" applyBorder="1" applyAlignment="1" applyProtection="1">
      <alignment horizontal="left" vertical="top"/>
    </xf>
    <xf numFmtId="0" fontId="1" fillId="13" borderId="3" xfId="0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7" fillId="11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3" fillId="11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left" vertical="center"/>
    </xf>
  </cellXfs>
  <cellStyles count="1">
    <cellStyle name="Normalny" xfId="0" builtinId="0"/>
  </cellStyles>
  <dxfs count="4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EF4423"/>
      <color rgb="FF008000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146237</xdr:colOff>
      <xdr:row>3</xdr:row>
      <xdr:rowOff>145676</xdr:rowOff>
    </xdr:from>
    <xdr:to>
      <xdr:col>5</xdr:col>
      <xdr:colOff>291915</xdr:colOff>
      <xdr:row>8</xdr:row>
      <xdr:rowOff>25670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884" y="638735"/>
          <a:ext cx="1154207" cy="686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50106</xdr:colOff>
      <xdr:row>8</xdr:row>
      <xdr:rowOff>64191</xdr:rowOff>
    </xdr:from>
    <xdr:to>
      <xdr:col>7</xdr:col>
      <xdr:colOff>224118</xdr:colOff>
      <xdr:row>10</xdr:row>
      <xdr:rowOff>110344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13694" y="1117544"/>
          <a:ext cx="174012" cy="371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40457</xdr:colOff>
      <xdr:row>16</xdr:row>
      <xdr:rowOff>68832</xdr:rowOff>
    </xdr:from>
    <xdr:to>
      <xdr:col>5</xdr:col>
      <xdr:colOff>293067</xdr:colOff>
      <xdr:row>18</xdr:row>
      <xdr:rowOff>72635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6250" t="9804" r="6250" b="4902"/>
        <a:stretch>
          <a:fillRect/>
        </a:stretch>
      </xdr:blipFill>
      <xdr:spPr bwMode="auto">
        <a:xfrm>
          <a:off x="1205869" y="2724626"/>
          <a:ext cx="566374" cy="3511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79946</xdr:colOff>
      <xdr:row>16</xdr:row>
      <xdr:rowOff>102819</xdr:rowOff>
    </xdr:from>
    <xdr:to>
      <xdr:col>2</xdr:col>
      <xdr:colOff>261268</xdr:colOff>
      <xdr:row>18</xdr:row>
      <xdr:rowOff>40499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9804" t="12821" r="9804" b="12821"/>
        <a:stretch>
          <a:fillRect/>
        </a:stretch>
      </xdr:blipFill>
      <xdr:spPr bwMode="auto">
        <a:xfrm>
          <a:off x="315270" y="2758613"/>
          <a:ext cx="416645" cy="285062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37351</xdr:colOff>
      <xdr:row>16</xdr:row>
      <xdr:rowOff>30437</xdr:rowOff>
    </xdr:from>
    <xdr:to>
      <xdr:col>10</xdr:col>
      <xdr:colOff>253999</xdr:colOff>
      <xdr:row>18</xdr:row>
      <xdr:rowOff>1552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6173" t="4902" r="6173" b="9804"/>
        <a:stretch>
          <a:fillRect/>
        </a:stretch>
      </xdr:blipFill>
      <xdr:spPr bwMode="auto">
        <a:xfrm>
          <a:off x="2771586" y="2686231"/>
          <a:ext cx="530413" cy="318497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7020</xdr:colOff>
      <xdr:row>16</xdr:row>
      <xdr:rowOff>59110</xdr:rowOff>
    </xdr:from>
    <xdr:to>
      <xdr:col>17</xdr:col>
      <xdr:colOff>254856</xdr:colOff>
      <xdr:row>18</xdr:row>
      <xdr:rowOff>3328</xdr:rowOff>
    </xdr:to>
    <xdr:pic>
      <xdr:nvPicPr>
        <xdr:cNvPr id="16" name="Pictur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5682" t="10417" r="5682" b="5208"/>
        <a:stretch>
          <a:fillRect/>
        </a:stretch>
      </xdr:blipFill>
      <xdr:spPr bwMode="auto">
        <a:xfrm>
          <a:off x="4960020" y="2714904"/>
          <a:ext cx="561600" cy="291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15357</xdr:colOff>
      <xdr:row>26</xdr:row>
      <xdr:rowOff>22416</xdr:rowOff>
    </xdr:from>
    <xdr:to>
      <xdr:col>3</xdr:col>
      <xdr:colOff>123265</xdr:colOff>
      <xdr:row>30</xdr:row>
      <xdr:rowOff>14617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5748" y="4486742"/>
          <a:ext cx="464060" cy="706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17927</xdr:colOff>
      <xdr:row>32</xdr:row>
      <xdr:rowOff>11594</xdr:rowOff>
    </xdr:from>
    <xdr:to>
      <xdr:col>3</xdr:col>
      <xdr:colOff>112060</xdr:colOff>
      <xdr:row>36</xdr:row>
      <xdr:rowOff>145045</xdr:rowOff>
    </xdr:to>
    <xdr:pic>
      <xdr:nvPicPr>
        <xdr:cNvPr id="26" name="Picture 7" descr="http://www.sklep.piece.pl/img/1339408650_Vitocell100W00010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98318" y="5552659"/>
          <a:ext cx="450285" cy="796059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145683</xdr:colOff>
      <xdr:row>8</xdr:row>
      <xdr:rowOff>37116</xdr:rowOff>
    </xdr:from>
    <xdr:to>
      <xdr:col>24</xdr:col>
      <xdr:colOff>290780</xdr:colOff>
      <xdr:row>13</xdr:row>
      <xdr:rowOff>128930</xdr:rowOff>
    </xdr:to>
    <xdr:pic>
      <xdr:nvPicPr>
        <xdr:cNvPr id="19" name="Picture 6" descr="http://www.sklep.piece.pl/img/1339408635_Vitocell100V00005.jp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880418" y="1303381"/>
          <a:ext cx="458862" cy="9210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100855</xdr:colOff>
      <xdr:row>19</xdr:row>
      <xdr:rowOff>29720</xdr:rowOff>
    </xdr:from>
    <xdr:to>
      <xdr:col>24</xdr:col>
      <xdr:colOff>303310</xdr:colOff>
      <xdr:row>25</xdr:row>
      <xdr:rowOff>102196</xdr:rowOff>
    </xdr:to>
    <xdr:pic>
      <xdr:nvPicPr>
        <xdr:cNvPr id="18" name="Picture 6" descr="http://www.sklep.piece.pl/img/1339408635_Vitocell100V00005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835590" y="3257014"/>
          <a:ext cx="516220" cy="1036182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89646</xdr:colOff>
      <xdr:row>29</xdr:row>
      <xdr:rowOff>113085</xdr:rowOff>
    </xdr:from>
    <xdr:to>
      <xdr:col>25</xdr:col>
      <xdr:colOff>35695</xdr:colOff>
      <xdr:row>36</xdr:row>
      <xdr:rowOff>121398</xdr:rowOff>
    </xdr:to>
    <xdr:pic>
      <xdr:nvPicPr>
        <xdr:cNvPr id="20" name="Picture 6" descr="http://www.sklep.piece.pl/img/1339408635_Vitocell100V00005.jp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824381" y="4998850"/>
          <a:ext cx="573578" cy="1151313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161391</xdr:colOff>
      <xdr:row>1</xdr:row>
      <xdr:rowOff>19147</xdr:rowOff>
    </xdr:from>
    <xdr:to>
      <xdr:col>19</xdr:col>
      <xdr:colOff>268944</xdr:colOff>
      <xdr:row>9</xdr:row>
      <xdr:rowOff>152376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 l="417"/>
        <a:stretch>
          <a:fillRect/>
        </a:stretch>
      </xdr:blipFill>
      <xdr:spPr bwMode="auto">
        <a:xfrm rot="16200000">
          <a:off x="5174391" y="743558"/>
          <a:ext cx="1444318" cy="309259"/>
        </a:xfrm>
        <a:prstGeom prst="rect">
          <a:avLst/>
        </a:prstGeom>
        <a:noFill/>
        <a:ln w="9525" algn="ctr">
          <a:noFill/>
          <a:prstDash val="dash"/>
          <a:miter lim="800000"/>
          <a:headEnd/>
          <a:tailEnd/>
        </a:ln>
        <a:effectLst/>
      </xdr:spPr>
    </xdr:pic>
    <xdr:clientData/>
  </xdr:twoCellAnchor>
  <xdr:twoCellAnchor editAs="oneCell">
    <xdr:from>
      <xdr:col>1</xdr:col>
      <xdr:colOff>233861</xdr:colOff>
      <xdr:row>38</xdr:row>
      <xdr:rowOff>58266</xdr:rowOff>
    </xdr:from>
    <xdr:to>
      <xdr:col>3</xdr:col>
      <xdr:colOff>129990</xdr:colOff>
      <xdr:row>42</xdr:row>
      <xdr:rowOff>156881</xdr:rowOff>
    </xdr:to>
    <xdr:pic>
      <xdr:nvPicPr>
        <xdr:cNvPr id="15" name="Picture 7" descr="http://www.sklep.piece.pl/img/1339408650_Vitocell100W00010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69185" y="7241237"/>
          <a:ext cx="478834" cy="81579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PanD/TT/2012_06%20Kalkulator%202xx_3xx-G/Dobor_pompy_2xx-G_3xx-G_06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iczenia"/>
      <sheetName val="ATS"/>
      <sheetName val="Dane"/>
    </sheetNames>
    <sheetDataSet>
      <sheetData sheetId="0"/>
      <sheetData sheetId="1"/>
      <sheetData sheetId="2">
        <row r="65">
          <cell r="H65" t="str">
            <v>Pasywny (10 W/m²)</v>
          </cell>
        </row>
        <row r="66">
          <cell r="H66" t="str">
            <v>Niskoenergetyczny (40 W/m²)</v>
          </cell>
        </row>
        <row r="67">
          <cell r="H67" t="str">
            <v>Nowe budownictwo szeregowe (60 W/m²)</v>
          </cell>
        </row>
        <row r="68">
          <cell r="H68" t="str">
            <v>Nowe budownictwo (70 W/m²)</v>
          </cell>
        </row>
        <row r="69">
          <cell r="H69" t="str">
            <v>Izolowany, rok budowy &lt; 1995 (80 W/m²)</v>
          </cell>
        </row>
        <row r="70">
          <cell r="H70" t="str">
            <v>Starszy bez izolacji (120 W/m²)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2:R34"/>
  <sheetViews>
    <sheetView zoomScale="85" zoomScaleNormal="85" workbookViewId="0">
      <selection activeCell="R7" sqref="R7"/>
    </sheetView>
  </sheetViews>
  <sheetFormatPr defaultRowHeight="12.75"/>
  <cols>
    <col min="1" max="3" width="9" style="104"/>
    <col min="4" max="4" width="8.875" style="104" customWidth="1"/>
    <col min="5" max="5" width="8.125" style="104" customWidth="1"/>
    <col min="6" max="6" width="8.25" style="104" customWidth="1"/>
    <col min="7" max="7" width="8.875" style="104" customWidth="1"/>
    <col min="8" max="13" width="9" style="104"/>
    <col min="14" max="14" width="14.5" style="104" bestFit="1" customWidth="1"/>
    <col min="15" max="15" width="9.125" style="104" customWidth="1"/>
    <col min="16" max="16" width="9.25" style="104" bestFit="1" customWidth="1"/>
    <col min="17" max="16384" width="9" style="104"/>
  </cols>
  <sheetData>
    <row r="2" spans="2:18" ht="23.25" customHeight="1">
      <c r="B2" s="102" t="s">
        <v>21</v>
      </c>
      <c r="C2" s="102"/>
      <c r="D2" s="102"/>
      <c r="E2" s="102"/>
      <c r="F2" s="102"/>
      <c r="G2" s="103">
        <f>Wyniki!P10</f>
        <v>2</v>
      </c>
      <c r="H2" s="102"/>
      <c r="I2" s="102"/>
      <c r="J2" s="102"/>
      <c r="K2" s="102"/>
    </row>
    <row r="4" spans="2:18">
      <c r="B4" s="104" t="s">
        <v>22</v>
      </c>
    </row>
    <row r="6" spans="2:18">
      <c r="B6" s="104" t="s">
        <v>11</v>
      </c>
      <c r="H6" s="105" t="s">
        <v>28</v>
      </c>
      <c r="I6" s="105" t="s">
        <v>31</v>
      </c>
      <c r="J6" s="104" t="s">
        <v>27</v>
      </c>
      <c r="L6" s="104" t="s">
        <v>29</v>
      </c>
      <c r="N6" s="104" t="s">
        <v>36</v>
      </c>
      <c r="O6" s="104" t="s">
        <v>38</v>
      </c>
      <c r="P6" s="104" t="s">
        <v>39</v>
      </c>
      <c r="R6" s="104" t="s">
        <v>40</v>
      </c>
    </row>
    <row r="7" spans="2:18">
      <c r="B7" s="104" t="s">
        <v>13</v>
      </c>
      <c r="G7" s="105">
        <f>Wyniki!B20</f>
        <v>0</v>
      </c>
      <c r="H7" s="105">
        <f>Admin!C34</f>
        <v>6</v>
      </c>
      <c r="I7" s="105">
        <f>G7*H7*J7</f>
        <v>0</v>
      </c>
      <c r="J7" s="105">
        <f>Admin!C31</f>
        <v>1.5</v>
      </c>
      <c r="K7" s="105"/>
      <c r="L7" s="106">
        <f>G7*H7</f>
        <v>0</v>
      </c>
      <c r="N7" s="107">
        <f>G7*Admin!C33</f>
        <v>0</v>
      </c>
      <c r="O7" s="107">
        <f>IF(J7&lt;10,L7*J7,L7*10)</f>
        <v>0</v>
      </c>
      <c r="P7" s="108" t="str">
        <f t="shared" ref="P7:P14" si="0">IF(J7&lt;11,"nd",L7)</f>
        <v>nd</v>
      </c>
    </row>
    <row r="8" spans="2:18">
      <c r="B8" s="104" t="s">
        <v>12</v>
      </c>
      <c r="G8" s="105">
        <f>Wyniki!E20</f>
        <v>0</v>
      </c>
      <c r="H8" s="109">
        <f>Admin!D34</f>
        <v>6</v>
      </c>
      <c r="I8" s="105">
        <f>G8*H8*J8</f>
        <v>0</v>
      </c>
      <c r="J8" s="105">
        <f>Admin!D31</f>
        <v>5</v>
      </c>
      <c r="K8" s="105"/>
      <c r="L8" s="106">
        <f t="shared" ref="L8:L14" si="1">G8*H8</f>
        <v>0</v>
      </c>
      <c r="N8" s="107">
        <f>G8*Admin!D33</f>
        <v>0</v>
      </c>
      <c r="O8" s="107">
        <f t="shared" ref="O8:O14" si="2">IF(J8&lt;10,L8*J8,L8*10)</f>
        <v>0</v>
      </c>
      <c r="P8" s="108" t="str">
        <f t="shared" si="0"/>
        <v>nd</v>
      </c>
    </row>
    <row r="9" spans="2:18">
      <c r="B9" s="104" t="s">
        <v>14</v>
      </c>
      <c r="G9" s="105">
        <f>Wyniki!H20</f>
        <v>1</v>
      </c>
      <c r="H9" s="109">
        <f>Admin!E34</f>
        <v>8.8888888888888893</v>
      </c>
      <c r="I9" s="105">
        <f t="shared" ref="I9:I14" si="3">G9*H9*J9</f>
        <v>40</v>
      </c>
      <c r="J9" s="105">
        <f>Admin!E31</f>
        <v>4.5</v>
      </c>
      <c r="K9" s="105"/>
      <c r="L9" s="106">
        <f t="shared" si="1"/>
        <v>8.8888888888888893</v>
      </c>
      <c r="N9" s="107">
        <f>G9*Admin!E33</f>
        <v>1489.664</v>
      </c>
      <c r="O9" s="107">
        <f t="shared" si="2"/>
        <v>40</v>
      </c>
      <c r="P9" s="108" t="str">
        <f t="shared" si="0"/>
        <v>nd</v>
      </c>
    </row>
    <row r="10" spans="2:18">
      <c r="B10" s="104" t="s">
        <v>15</v>
      </c>
      <c r="G10" s="105">
        <f>Wyniki!J20</f>
        <v>0</v>
      </c>
      <c r="H10" s="109">
        <f>Admin!F34</f>
        <v>10</v>
      </c>
      <c r="I10" s="105">
        <f t="shared" si="3"/>
        <v>0</v>
      </c>
      <c r="J10" s="105">
        <f>Admin!F31</f>
        <v>6</v>
      </c>
      <c r="K10" s="105"/>
      <c r="L10" s="106">
        <f t="shared" si="1"/>
        <v>0</v>
      </c>
      <c r="N10" s="107">
        <f>G10*Admin!F33</f>
        <v>0</v>
      </c>
      <c r="O10" s="107">
        <f t="shared" si="2"/>
        <v>0</v>
      </c>
      <c r="P10" s="108" t="str">
        <f t="shared" si="0"/>
        <v>nd</v>
      </c>
    </row>
    <row r="11" spans="2:18">
      <c r="B11" s="104" t="s">
        <v>16</v>
      </c>
      <c r="G11" s="105">
        <f>Wyniki!L20</f>
        <v>0</v>
      </c>
      <c r="H11" s="109">
        <f>Admin!G34</f>
        <v>15</v>
      </c>
      <c r="I11" s="105">
        <f t="shared" si="3"/>
        <v>0</v>
      </c>
      <c r="J11" s="105">
        <f>Admin!G31</f>
        <v>6</v>
      </c>
      <c r="K11" s="105"/>
      <c r="L11" s="106">
        <f t="shared" si="1"/>
        <v>0</v>
      </c>
      <c r="N11" s="107">
        <f>G11*Admin!G33</f>
        <v>0</v>
      </c>
      <c r="O11" s="107">
        <f>IF(J11&lt;10,L11*J11,L11*10)</f>
        <v>0</v>
      </c>
      <c r="P11" s="108" t="str">
        <f t="shared" si="0"/>
        <v>nd</v>
      </c>
    </row>
    <row r="12" spans="2:18">
      <c r="B12" s="104" t="s">
        <v>17</v>
      </c>
      <c r="G12" s="105">
        <f>Wyniki!O20</f>
        <v>1</v>
      </c>
      <c r="H12" s="109">
        <f>Admin!H34</f>
        <v>7.6923076923076925</v>
      </c>
      <c r="I12" s="105">
        <f t="shared" si="3"/>
        <v>100</v>
      </c>
      <c r="J12" s="105">
        <f>Admin!H31</f>
        <v>13</v>
      </c>
      <c r="K12" s="105"/>
      <c r="L12" s="106">
        <f t="shared" si="1"/>
        <v>7.6923076923076925</v>
      </c>
      <c r="N12" s="107">
        <f>G12*Admin!H33</f>
        <v>4073.2999999999997</v>
      </c>
      <c r="O12" s="107">
        <f t="shared" si="2"/>
        <v>76.92307692307692</v>
      </c>
      <c r="P12" s="108">
        <f t="shared" si="0"/>
        <v>7.6923076923076925</v>
      </c>
    </row>
    <row r="13" spans="2:18">
      <c r="B13" s="104" t="s">
        <v>19</v>
      </c>
      <c r="G13" s="105">
        <f>Wyniki!Q20</f>
        <v>0</v>
      </c>
      <c r="H13" s="109">
        <f>Admin!I34</f>
        <v>8</v>
      </c>
      <c r="I13" s="105">
        <f t="shared" si="3"/>
        <v>0</v>
      </c>
      <c r="J13" s="105">
        <f>Admin!I31</f>
        <v>15</v>
      </c>
      <c r="K13" s="105"/>
      <c r="L13" s="106">
        <f t="shared" si="1"/>
        <v>0</v>
      </c>
      <c r="N13" s="107">
        <f>G13*Admin!I33</f>
        <v>0</v>
      </c>
      <c r="O13" s="107">
        <f t="shared" si="2"/>
        <v>0</v>
      </c>
      <c r="P13" s="108">
        <f t="shared" si="0"/>
        <v>0</v>
      </c>
    </row>
    <row r="14" spans="2:18">
      <c r="B14" s="104" t="s">
        <v>18</v>
      </c>
      <c r="G14" s="105">
        <f>Wyniki!S20</f>
        <v>0</v>
      </c>
      <c r="H14" s="109">
        <f>Admin!J34</f>
        <v>10</v>
      </c>
      <c r="I14" s="105">
        <f t="shared" si="3"/>
        <v>0</v>
      </c>
      <c r="J14" s="105">
        <f>Admin!J31</f>
        <v>16</v>
      </c>
      <c r="K14" s="105"/>
      <c r="L14" s="106">
        <f t="shared" si="1"/>
        <v>0</v>
      </c>
      <c r="N14" s="107">
        <f>G14*Admin!J33</f>
        <v>0</v>
      </c>
      <c r="O14" s="107">
        <f t="shared" si="2"/>
        <v>0</v>
      </c>
      <c r="P14" s="108">
        <f t="shared" si="0"/>
        <v>0</v>
      </c>
    </row>
    <row r="17" spans="2:18">
      <c r="B17" s="104" t="s">
        <v>20</v>
      </c>
      <c r="G17" s="110">
        <f>(G2*(G7*Admin!C33+G8*Admin!D33+G9*Admin!E33+G10*Admin!F33+G11*Admin!G33+G12*Admin!H33+G13*Admin!I33+G14*Admin!J33))/(3.5*5820)</f>
        <v>0.54619185076092291</v>
      </c>
      <c r="I17" s="111">
        <f>SUM(I7:I14)</f>
        <v>140</v>
      </c>
      <c r="L17" s="111">
        <f>SUM(L7:L14)</f>
        <v>16.581196581196583</v>
      </c>
      <c r="P17" s="111">
        <f>INT(SUM(P7:P14))</f>
        <v>7</v>
      </c>
      <c r="R17" s="112">
        <f>P17*60/860*35</f>
        <v>17.093023255813954</v>
      </c>
    </row>
    <row r="19" spans="2:18" ht="20.25" customHeight="1">
      <c r="B19" s="104" t="s">
        <v>30</v>
      </c>
      <c r="L19" s="111"/>
      <c r="O19" s="111">
        <f>SUM(O7:O14)</f>
        <v>116.92307692307692</v>
      </c>
    </row>
    <row r="20" spans="2:18" ht="20.25" customHeight="1">
      <c r="L20" s="111"/>
      <c r="O20" s="111"/>
    </row>
    <row r="22" spans="2:18">
      <c r="B22" s="104" t="s">
        <v>37</v>
      </c>
      <c r="N22" s="110">
        <f>SUM(N7:N14)/1000</f>
        <v>5.562964</v>
      </c>
    </row>
    <row r="24" spans="2:18">
      <c r="B24" s="104" t="s">
        <v>34</v>
      </c>
      <c r="N24" s="113">
        <f>N22/9.71*2.2</f>
        <v>1.2604037899073119</v>
      </c>
    </row>
    <row r="26" spans="2:18">
      <c r="B26" s="104" t="s">
        <v>35</v>
      </c>
      <c r="N26" s="113">
        <f>N24*365</f>
        <v>460.04738331616886</v>
      </c>
    </row>
    <row r="29" spans="2:18">
      <c r="C29" s="105" t="s">
        <v>13</v>
      </c>
      <c r="D29" s="105" t="s">
        <v>12</v>
      </c>
      <c r="E29" s="143" t="s">
        <v>33</v>
      </c>
      <c r="F29" s="143"/>
      <c r="G29" s="143"/>
      <c r="H29" s="143" t="s">
        <v>32</v>
      </c>
      <c r="I29" s="143"/>
      <c r="J29" s="143"/>
    </row>
    <row r="30" spans="2:18">
      <c r="B30" s="104" t="s">
        <v>2</v>
      </c>
      <c r="C30" s="104">
        <f>Wyniki!AT8</f>
        <v>38</v>
      </c>
      <c r="D30" s="104">
        <f>Wyniki!AV8</f>
        <v>45</v>
      </c>
      <c r="E30" s="104">
        <f>Wyniki!AY8</f>
        <v>42</v>
      </c>
      <c r="F30" s="104">
        <f>Wyniki!BA8</f>
        <v>42</v>
      </c>
      <c r="G30" s="104">
        <f>Wyniki!BC8</f>
        <v>42</v>
      </c>
      <c r="H30" s="104">
        <f>Wyniki!BF8</f>
        <v>45</v>
      </c>
      <c r="I30" s="104">
        <f>Wyniki!BG8</f>
        <v>45</v>
      </c>
      <c r="J30" s="104">
        <f>Wyniki!BH8</f>
        <v>45</v>
      </c>
      <c r="K30" s="104" t="s">
        <v>57</v>
      </c>
    </row>
    <row r="31" spans="2:18">
      <c r="B31" s="104" t="s">
        <v>3</v>
      </c>
      <c r="C31" s="104">
        <f>Wyniki!AT9</f>
        <v>1.5</v>
      </c>
      <c r="D31" s="104">
        <f>Wyniki!AV9</f>
        <v>5</v>
      </c>
      <c r="E31" s="104">
        <f>Wyniki!AY9</f>
        <v>4.5</v>
      </c>
      <c r="F31" s="104">
        <f>Wyniki!BA9</f>
        <v>6</v>
      </c>
      <c r="G31" s="104">
        <f>Wyniki!BC9</f>
        <v>6</v>
      </c>
      <c r="H31" s="104">
        <f>Wyniki!BF9</f>
        <v>13</v>
      </c>
      <c r="I31" s="104">
        <f>Wyniki!BG9</f>
        <v>15</v>
      </c>
      <c r="J31" s="104">
        <f>Wyniki!BH9</f>
        <v>16</v>
      </c>
      <c r="K31" s="104" t="s">
        <v>4</v>
      </c>
    </row>
    <row r="32" spans="2:18">
      <c r="B32" s="104" t="s">
        <v>5</v>
      </c>
      <c r="C32" s="104">
        <f>Wyniki!AT10</f>
        <v>9</v>
      </c>
      <c r="D32" s="104">
        <f>Wyniki!AV10</f>
        <v>30</v>
      </c>
      <c r="E32" s="104">
        <f>Wyniki!AY10</f>
        <v>40</v>
      </c>
      <c r="F32" s="104">
        <f>Wyniki!BA10</f>
        <v>60</v>
      </c>
      <c r="G32" s="104">
        <f>Wyniki!BC10</f>
        <v>90</v>
      </c>
      <c r="H32" s="104">
        <f>Wyniki!BF10</f>
        <v>100</v>
      </c>
      <c r="I32" s="104">
        <f>Wyniki!BG10</f>
        <v>120</v>
      </c>
      <c r="J32" s="104">
        <f>Wyniki!BH10</f>
        <v>160</v>
      </c>
      <c r="K32" s="104" t="s">
        <v>1</v>
      </c>
      <c r="N32" s="104">
        <v>1.1638E-3</v>
      </c>
    </row>
    <row r="33" spans="2:11">
      <c r="B33" s="104" t="s">
        <v>6</v>
      </c>
      <c r="C33" s="107">
        <f>(C30-10)*$N$32*1000*C32</f>
        <v>293.27760000000006</v>
      </c>
      <c r="D33" s="107">
        <f t="shared" ref="D33:J33" si="4">(D30-10)*$N$32*1000*D32</f>
        <v>1221.99</v>
      </c>
      <c r="E33" s="107">
        <f t="shared" si="4"/>
        <v>1489.664</v>
      </c>
      <c r="F33" s="107">
        <f t="shared" si="4"/>
        <v>2234.4960000000001</v>
      </c>
      <c r="G33" s="107">
        <f t="shared" si="4"/>
        <v>3351.7439999999997</v>
      </c>
      <c r="H33" s="107">
        <f t="shared" si="4"/>
        <v>4073.2999999999997</v>
      </c>
      <c r="I33" s="107">
        <f t="shared" si="4"/>
        <v>4887.96</v>
      </c>
      <c r="J33" s="107">
        <f t="shared" si="4"/>
        <v>6517.28</v>
      </c>
      <c r="K33" s="104" t="s">
        <v>0</v>
      </c>
    </row>
    <row r="34" spans="2:11">
      <c r="B34" s="104" t="s">
        <v>23</v>
      </c>
      <c r="C34" s="114">
        <f t="shared" ref="C34:J34" si="5">C32/C31</f>
        <v>6</v>
      </c>
      <c r="D34" s="114">
        <f t="shared" si="5"/>
        <v>6</v>
      </c>
      <c r="E34" s="114">
        <f t="shared" si="5"/>
        <v>8.8888888888888893</v>
      </c>
      <c r="F34" s="114">
        <f t="shared" si="5"/>
        <v>10</v>
      </c>
      <c r="G34" s="114">
        <f t="shared" si="5"/>
        <v>15</v>
      </c>
      <c r="H34" s="114">
        <f t="shared" si="5"/>
        <v>7.6923076923076925</v>
      </c>
      <c r="I34" s="114">
        <f t="shared" si="5"/>
        <v>8</v>
      </c>
      <c r="J34" s="114">
        <f t="shared" si="5"/>
        <v>10</v>
      </c>
      <c r="K34" s="104" t="s">
        <v>24</v>
      </c>
    </row>
  </sheetData>
  <mergeCells count="2">
    <mergeCell ref="E29:G29"/>
    <mergeCell ref="H29:J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2:BY75"/>
  <sheetViews>
    <sheetView tabSelected="1" topLeftCell="A4" zoomScale="85" zoomScaleNormal="85" workbookViewId="0">
      <selection activeCell="AA26" sqref="AA26:AC26"/>
    </sheetView>
  </sheetViews>
  <sheetFormatPr defaultRowHeight="12.75"/>
  <cols>
    <col min="1" max="2" width="3.125" style="1" customWidth="1"/>
    <col min="3" max="4" width="4.625" style="1" customWidth="1"/>
    <col min="5" max="11" width="4.125" style="2" customWidth="1"/>
    <col min="12" max="12" width="4.25" style="2" customWidth="1"/>
    <col min="13" max="15" width="5.125" style="2" customWidth="1"/>
    <col min="16" max="18" width="4.125" style="2" customWidth="1"/>
    <col min="19" max="19" width="2.625" style="2" customWidth="1"/>
    <col min="20" max="20" width="4.875" style="2" customWidth="1"/>
    <col min="21" max="21" width="2.625" style="2" customWidth="1"/>
    <col min="22" max="22" width="0.875" style="2" customWidth="1"/>
    <col min="23" max="33" width="4.125" style="2" customWidth="1"/>
    <col min="34" max="36" width="5.125" style="2" customWidth="1"/>
    <col min="37" max="40" width="4.125" style="2" customWidth="1"/>
    <col min="41" max="41" width="4.25" style="2" customWidth="1"/>
    <col min="42" max="49" width="4.125" style="2" customWidth="1"/>
    <col min="50" max="50" width="1" style="2" customWidth="1"/>
    <col min="51" max="52" width="4.125" style="2" customWidth="1"/>
    <col min="53" max="53" width="4.625" style="2" customWidth="1"/>
    <col min="54" max="55" width="4.125" style="2" customWidth="1"/>
    <col min="56" max="56" width="4.375" style="2" customWidth="1"/>
    <col min="57" max="57" width="1" style="2" customWidth="1"/>
    <col min="58" max="58" width="3.75" style="2" customWidth="1"/>
    <col min="59" max="77" width="4.125" style="2" customWidth="1"/>
    <col min="78" max="16384" width="9" style="1"/>
  </cols>
  <sheetData>
    <row r="2" spans="1:77" ht="14.25" customHeight="1">
      <c r="B2" s="169" t="s">
        <v>77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W2" s="180" t="s">
        <v>96</v>
      </c>
      <c r="X2" s="149"/>
      <c r="Y2" s="149"/>
      <c r="Z2" s="149"/>
      <c r="AA2" s="149"/>
      <c r="AB2" s="149"/>
      <c r="AC2" s="141"/>
      <c r="AD2" s="149"/>
      <c r="AE2" s="149"/>
      <c r="AF2" s="181"/>
      <c r="AG2" s="181"/>
      <c r="AH2" s="182"/>
      <c r="AI2" s="182"/>
      <c r="AJ2" s="182"/>
      <c r="AK2" s="182"/>
      <c r="AL2" s="144"/>
      <c r="AM2" s="144"/>
      <c r="AN2" s="144"/>
      <c r="AP2" s="170" t="s">
        <v>82</v>
      </c>
      <c r="AQ2" s="171"/>
      <c r="AR2" s="171"/>
      <c r="AS2" s="171"/>
      <c r="AT2" s="171"/>
      <c r="AU2" s="171"/>
    </row>
    <row r="3" spans="1:77" ht="12.75" customHeight="1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W3" s="180" t="s">
        <v>97</v>
      </c>
      <c r="X3" s="149"/>
      <c r="Y3" s="149"/>
      <c r="Z3" s="149"/>
      <c r="AA3" s="149"/>
      <c r="AB3" s="149"/>
      <c r="AC3" s="141"/>
      <c r="AD3" s="149" t="s">
        <v>62</v>
      </c>
      <c r="AE3" s="149"/>
      <c r="AF3" s="181"/>
      <c r="AG3" s="181"/>
      <c r="AH3" s="182"/>
      <c r="AI3" s="182"/>
      <c r="AJ3" s="182"/>
      <c r="AK3" s="182"/>
      <c r="AL3" s="144" t="s">
        <v>76</v>
      </c>
      <c r="AM3" s="144"/>
      <c r="AN3" s="144"/>
    </row>
    <row r="4" spans="1:77"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P4" s="20" t="s">
        <v>91</v>
      </c>
      <c r="AQ4" s="20"/>
      <c r="AR4" s="20"/>
      <c r="AS4" s="20"/>
      <c r="AT4" s="20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77" ht="14.25" customHeight="1">
      <c r="I5" s="173" t="s">
        <v>45</v>
      </c>
      <c r="J5" s="173"/>
      <c r="K5" s="173"/>
      <c r="L5" s="173"/>
      <c r="M5" s="173"/>
      <c r="N5" s="173"/>
      <c r="O5" s="173"/>
      <c r="P5" s="173"/>
      <c r="Q5" s="173"/>
      <c r="W5" s="164" t="s">
        <v>9</v>
      </c>
      <c r="X5" s="150"/>
      <c r="Y5" s="150"/>
      <c r="Z5" s="150"/>
      <c r="AA5" s="150"/>
      <c r="AB5" s="150"/>
      <c r="AC5" s="22"/>
      <c r="AD5" s="27"/>
      <c r="AE5" s="27"/>
      <c r="AF5" s="134"/>
      <c r="AG5" s="28"/>
      <c r="AH5" s="24">
        <v>17.3</v>
      </c>
      <c r="AI5" s="23">
        <v>23.7</v>
      </c>
      <c r="AJ5" s="24">
        <v>29.1</v>
      </c>
      <c r="AK5" s="25"/>
      <c r="AL5" s="26" t="s">
        <v>61</v>
      </c>
      <c r="AM5" s="1"/>
      <c r="AN5" s="1"/>
      <c r="AO5" s="3"/>
      <c r="AP5" s="73"/>
      <c r="AQ5" s="42"/>
      <c r="AR5" s="42"/>
      <c r="AS5" s="42"/>
      <c r="AT5" s="190" t="s">
        <v>13</v>
      </c>
      <c r="AU5" s="190"/>
      <c r="AV5" s="190" t="s">
        <v>12</v>
      </c>
      <c r="AW5" s="190"/>
      <c r="AX5" s="119"/>
      <c r="AY5" s="186" t="s">
        <v>33</v>
      </c>
      <c r="AZ5" s="186"/>
      <c r="BA5" s="186"/>
      <c r="BB5" s="186"/>
      <c r="BC5" s="186"/>
      <c r="BD5" s="186"/>
      <c r="BE5" s="42"/>
      <c r="BF5" s="185" t="s">
        <v>32</v>
      </c>
      <c r="BG5" s="186"/>
      <c r="BH5" s="187"/>
    </row>
    <row r="6" spans="1:77" ht="12.75" customHeight="1">
      <c r="I6" s="177" t="s">
        <v>47</v>
      </c>
      <c r="J6" s="177"/>
      <c r="K6" s="177"/>
      <c r="L6" s="177"/>
      <c r="M6" s="177"/>
      <c r="N6" s="177"/>
      <c r="O6" s="177"/>
      <c r="P6" s="177"/>
      <c r="Q6" s="177"/>
      <c r="R6" s="4" t="s">
        <v>48</v>
      </c>
      <c r="S6" s="4"/>
      <c r="AA6" s="30"/>
      <c r="AB6" s="30"/>
      <c r="AC6" s="30"/>
      <c r="AD6" s="34"/>
      <c r="AE6" s="34"/>
      <c r="AF6" s="29"/>
      <c r="AG6" s="20"/>
      <c r="AH6" s="35"/>
      <c r="AI6" s="36"/>
      <c r="AJ6" s="35"/>
      <c r="AL6" s="88"/>
      <c r="AO6" s="6"/>
      <c r="AP6" s="74"/>
      <c r="AQ6" s="1"/>
      <c r="AR6" s="1"/>
      <c r="AS6" s="1"/>
      <c r="AT6" s="190"/>
      <c r="AU6" s="190"/>
      <c r="AV6" s="190"/>
      <c r="AW6" s="190"/>
      <c r="AX6" s="121"/>
      <c r="AY6" s="189" t="s">
        <v>54</v>
      </c>
      <c r="AZ6" s="189"/>
      <c r="BA6" s="189" t="s">
        <v>51</v>
      </c>
      <c r="BB6" s="189"/>
      <c r="BC6" s="189" t="s">
        <v>83</v>
      </c>
      <c r="BD6" s="189"/>
      <c r="BE6" s="1"/>
      <c r="BF6" s="130">
        <v>140</v>
      </c>
      <c r="BG6" s="121">
        <v>160</v>
      </c>
      <c r="BH6" s="75">
        <v>200</v>
      </c>
    </row>
    <row r="7" spans="1:77" ht="12.75" customHeight="1" thickBot="1">
      <c r="I7" s="101"/>
      <c r="J7" s="100"/>
      <c r="K7" s="100"/>
      <c r="L7" s="100"/>
      <c r="M7" s="100"/>
      <c r="N7" s="100"/>
      <c r="O7" s="100"/>
      <c r="P7" s="100"/>
      <c r="Q7" s="100"/>
      <c r="AA7" s="30"/>
      <c r="AB7" s="30"/>
      <c r="AC7" s="30"/>
      <c r="AD7" s="34"/>
      <c r="AE7" s="34"/>
      <c r="AF7" s="29"/>
      <c r="AG7" s="20"/>
      <c r="AH7" s="35"/>
      <c r="AI7" s="36"/>
      <c r="AJ7" s="35"/>
      <c r="AL7" s="88"/>
      <c r="AP7" s="74"/>
      <c r="AQ7" s="1"/>
      <c r="AR7" s="1"/>
      <c r="AS7" s="1"/>
      <c r="AT7" s="190"/>
      <c r="AU7" s="190"/>
      <c r="AV7" s="190"/>
      <c r="AW7" s="190"/>
      <c r="AX7" s="1"/>
      <c r="AY7" s="1"/>
      <c r="AZ7" s="1"/>
      <c r="BA7" s="1"/>
      <c r="BB7" s="1"/>
      <c r="BC7" s="1"/>
      <c r="BD7" s="1"/>
      <c r="BE7" s="1"/>
      <c r="BF7" s="131"/>
      <c r="BG7" s="132"/>
      <c r="BH7" s="133"/>
    </row>
    <row r="8" spans="1:77" ht="12.75" customHeight="1" thickBot="1">
      <c r="I8" s="176" t="s">
        <v>46</v>
      </c>
      <c r="J8" s="176"/>
      <c r="K8" s="176"/>
      <c r="L8" s="176"/>
      <c r="M8" s="176"/>
      <c r="N8" s="176"/>
      <c r="O8" s="176"/>
      <c r="P8" s="174">
        <v>129</v>
      </c>
      <c r="Q8" s="175"/>
      <c r="R8" s="2">
        <f>P8</f>
        <v>129</v>
      </c>
      <c r="AA8" s="163"/>
      <c r="AB8" s="163"/>
      <c r="AC8" s="163"/>
      <c r="AD8" s="157"/>
      <c r="AE8" s="159"/>
      <c r="AF8" s="179"/>
      <c r="AG8" s="20"/>
      <c r="AH8" s="40"/>
      <c r="AI8" s="41"/>
      <c r="AJ8" s="40"/>
      <c r="AL8" s="96"/>
      <c r="AP8" s="188" t="s">
        <v>87</v>
      </c>
      <c r="AQ8" s="188"/>
      <c r="AR8" s="188"/>
      <c r="AS8" s="188"/>
      <c r="AT8" s="183">
        <v>38</v>
      </c>
      <c r="AU8" s="183"/>
      <c r="AV8" s="183">
        <v>45</v>
      </c>
      <c r="AW8" s="183"/>
      <c r="AX8" s="128"/>
      <c r="AY8" s="183">
        <v>42</v>
      </c>
      <c r="AZ8" s="183"/>
      <c r="BA8" s="183">
        <v>42</v>
      </c>
      <c r="BB8" s="183"/>
      <c r="BC8" s="183">
        <v>42</v>
      </c>
      <c r="BD8" s="183"/>
      <c r="BE8" s="127"/>
      <c r="BF8" s="125">
        <v>45</v>
      </c>
      <c r="BG8" s="125">
        <v>45</v>
      </c>
      <c r="BH8" s="125">
        <v>45</v>
      </c>
    </row>
    <row r="9" spans="1:77" ht="13.5" thickBot="1">
      <c r="E9" s="1"/>
      <c r="F9" s="1"/>
      <c r="I9" s="12"/>
      <c r="J9" s="100"/>
      <c r="K9" s="100"/>
      <c r="L9" s="100"/>
      <c r="M9" s="100"/>
      <c r="N9" s="100"/>
      <c r="O9" s="100"/>
      <c r="P9" s="100"/>
      <c r="Q9" s="100"/>
      <c r="AA9" s="195"/>
      <c r="AB9" s="196"/>
      <c r="AC9" s="196"/>
      <c r="AD9" s="159"/>
      <c r="AE9" s="159"/>
      <c r="AF9" s="179"/>
      <c r="AG9" s="20"/>
      <c r="AH9" s="40"/>
      <c r="AI9" s="41"/>
      <c r="AJ9" s="40"/>
      <c r="AL9" s="96"/>
      <c r="AP9" s="188" t="s">
        <v>86</v>
      </c>
      <c r="AQ9" s="188"/>
      <c r="AR9" s="188"/>
      <c r="AS9" s="188"/>
      <c r="AT9" s="183">
        <v>1.5</v>
      </c>
      <c r="AU9" s="183"/>
      <c r="AV9" s="183">
        <v>5</v>
      </c>
      <c r="AW9" s="183"/>
      <c r="AX9" s="128"/>
      <c r="AY9" s="183">
        <v>4.5</v>
      </c>
      <c r="AZ9" s="183"/>
      <c r="BA9" s="183">
        <v>6</v>
      </c>
      <c r="BB9" s="183"/>
      <c r="BC9" s="183">
        <v>6</v>
      </c>
      <c r="BD9" s="183"/>
      <c r="BE9" s="127"/>
      <c r="BF9" s="125">
        <v>13</v>
      </c>
      <c r="BG9" s="125">
        <v>15</v>
      </c>
      <c r="BH9" s="125">
        <v>16</v>
      </c>
    </row>
    <row r="10" spans="1:77" ht="12.75" customHeight="1" thickBot="1">
      <c r="D10" s="10" t="s">
        <v>58</v>
      </c>
      <c r="E10" s="11">
        <f>P8*E11/1000</f>
        <v>7.74</v>
      </c>
      <c r="F10" s="12" t="s">
        <v>61</v>
      </c>
      <c r="I10" s="176" t="s">
        <v>49</v>
      </c>
      <c r="J10" s="176"/>
      <c r="K10" s="176"/>
      <c r="L10" s="176"/>
      <c r="M10" s="176"/>
      <c r="N10" s="176"/>
      <c r="O10" s="176"/>
      <c r="P10" s="174">
        <v>2</v>
      </c>
      <c r="Q10" s="175"/>
      <c r="R10" s="89">
        <f>P10</f>
        <v>2</v>
      </c>
      <c r="Y10" s="13"/>
      <c r="AA10" s="48"/>
      <c r="AB10" s="46"/>
      <c r="AC10" s="46"/>
      <c r="AD10" s="49"/>
      <c r="AE10" s="50"/>
      <c r="AF10" s="51"/>
      <c r="AG10" s="20"/>
      <c r="AH10" s="52">
        <f>IF(AH12&gt;$K$71*0.9,IF(AH11&gt;$K$73*0.9,3,2),IF(AH11&gt;$K$73*0.9,1,0))</f>
        <v>3</v>
      </c>
      <c r="AI10" s="41"/>
      <c r="AJ10" s="40"/>
      <c r="AK10" s="81"/>
      <c r="AL10" s="96"/>
      <c r="AP10" s="188" t="s">
        <v>84</v>
      </c>
      <c r="AQ10" s="188"/>
      <c r="AR10" s="188"/>
      <c r="AS10" s="188"/>
      <c r="AT10" s="183">
        <v>9</v>
      </c>
      <c r="AU10" s="183"/>
      <c r="AV10" s="183">
        <v>30</v>
      </c>
      <c r="AW10" s="183"/>
      <c r="AX10" s="128"/>
      <c r="AY10" s="183">
        <v>40</v>
      </c>
      <c r="AZ10" s="183"/>
      <c r="BA10" s="183">
        <v>60</v>
      </c>
      <c r="BB10" s="183"/>
      <c r="BC10" s="183">
        <v>90</v>
      </c>
      <c r="BD10" s="183"/>
      <c r="BE10" s="127"/>
      <c r="BF10" s="125">
        <v>100</v>
      </c>
      <c r="BG10" s="125">
        <v>120</v>
      </c>
      <c r="BH10" s="125">
        <v>160</v>
      </c>
    </row>
    <row r="11" spans="1:77" ht="12.75" customHeight="1">
      <c r="D11" s="15"/>
      <c r="E11" s="14">
        <f>IF(I6="Nowe budownictwo szeregowe (60 W/m²)",60,IF(I6="Pasywny (10 W/m²)",10,IF(I6="Niskoenergetyczny (40 W/m²)",40,IF(I6="Nowe budownictwo (70 W/m²)",70,IF(I6="Izolowany, rok budowy &lt; 1995 (80 W/m²)",80,IF(I6="Starszy bez izolacji (120 W/m²)",120,0))))))</f>
        <v>60</v>
      </c>
      <c r="AA11" s="163" t="s">
        <v>26</v>
      </c>
      <c r="AB11" s="163"/>
      <c r="AC11" s="163"/>
      <c r="AD11" s="157">
        <f>$K$70</f>
        <v>0.54619185076092291</v>
      </c>
      <c r="AE11" s="157"/>
      <c r="AF11" s="9"/>
      <c r="AG11" s="20"/>
      <c r="AH11" s="83">
        <v>425</v>
      </c>
      <c r="AI11" s="41"/>
      <c r="AJ11" s="54"/>
      <c r="AK11" s="20"/>
      <c r="AL11" s="96" t="s">
        <v>60</v>
      </c>
      <c r="AP11" s="188" t="s">
        <v>85</v>
      </c>
      <c r="AQ11" s="188"/>
      <c r="AR11" s="188"/>
      <c r="AS11" s="188"/>
      <c r="AT11" s="184">
        <f>Admin!C34</f>
        <v>6</v>
      </c>
      <c r="AU11" s="184"/>
      <c r="AV11" s="184">
        <f>Admin!D34</f>
        <v>6</v>
      </c>
      <c r="AW11" s="184"/>
      <c r="AX11" s="129"/>
      <c r="AY11" s="184">
        <f>Admin!E34</f>
        <v>8.8888888888888893</v>
      </c>
      <c r="AZ11" s="184"/>
      <c r="BA11" s="184">
        <f>Admin!F34</f>
        <v>10</v>
      </c>
      <c r="BB11" s="184"/>
      <c r="BC11" s="184">
        <f>Admin!G34</f>
        <v>15</v>
      </c>
      <c r="BD11" s="184"/>
      <c r="BE11" s="127"/>
      <c r="BF11" s="126">
        <f>Admin!H34</f>
        <v>7.6923076923076925</v>
      </c>
      <c r="BG11" s="126">
        <f>Admin!I34</f>
        <v>8</v>
      </c>
      <c r="BH11" s="126">
        <f>Admin!J34</f>
        <v>10</v>
      </c>
    </row>
    <row r="12" spans="1:77">
      <c r="AA12" s="93" t="s">
        <v>56</v>
      </c>
      <c r="AB12" s="161">
        <v>2.1</v>
      </c>
      <c r="AC12" s="161"/>
      <c r="AD12" s="158"/>
      <c r="AE12" s="158"/>
      <c r="AF12" s="43"/>
      <c r="AG12" s="44"/>
      <c r="AH12" s="83">
        <v>192</v>
      </c>
      <c r="AI12" s="41"/>
      <c r="AJ12" s="54"/>
      <c r="AL12" s="96" t="s">
        <v>59</v>
      </c>
      <c r="AS12" s="1"/>
      <c r="AT12" s="17"/>
    </row>
    <row r="13" spans="1:77" ht="15" customHeight="1">
      <c r="B13" s="178" t="s">
        <v>75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AA13" s="48"/>
      <c r="AB13" s="46"/>
      <c r="AC13" s="46"/>
      <c r="AD13" s="55"/>
      <c r="AE13" s="55"/>
      <c r="AF13" s="9"/>
      <c r="AG13" s="20"/>
      <c r="AH13" s="9"/>
      <c r="AI13" s="37">
        <f>IF(AI15&gt;$K$71*0.9,IF(AI14&gt;$K$73*0.9,3,2),IF(AI14&gt;$K$73*0.9,1,0))</f>
        <v>3</v>
      </c>
      <c r="AJ13" s="52">
        <f>IF(AJ15&gt;$K$71*0.9,IF(AJ14&gt;$K$73*0.9,3,2),IF(AJ14&gt;$K$73*0.9,1,0))</f>
        <v>3</v>
      </c>
      <c r="AL13" s="96"/>
      <c r="AP13" s="123"/>
      <c r="AQ13" s="124"/>
      <c r="AR13" s="122" t="s">
        <v>94</v>
      </c>
      <c r="AS13" s="1"/>
      <c r="AT13" s="17"/>
    </row>
    <row r="14" spans="1:77" ht="12.75" customHeight="1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3"/>
      <c r="V14" s="85"/>
      <c r="W14" s="81"/>
      <c r="AA14" s="163" t="s">
        <v>102</v>
      </c>
      <c r="AB14" s="163"/>
      <c r="AC14" s="163"/>
      <c r="AD14" s="157">
        <f>$K$70</f>
        <v>0.54619185076092291</v>
      </c>
      <c r="AE14" s="157"/>
      <c r="AF14" s="9"/>
      <c r="AG14" s="9"/>
      <c r="AH14" s="9"/>
      <c r="AI14" s="83">
        <v>555</v>
      </c>
      <c r="AJ14" s="83">
        <v>638</v>
      </c>
      <c r="AL14" s="96" t="s">
        <v>60</v>
      </c>
    </row>
    <row r="15" spans="1:77">
      <c r="E15" s="1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93" t="s">
        <v>56</v>
      </c>
      <c r="AB15" s="161">
        <v>2.2000000000000002</v>
      </c>
      <c r="AC15" s="161"/>
      <c r="AD15" s="158"/>
      <c r="AE15" s="158"/>
      <c r="AF15" s="43"/>
      <c r="AG15" s="43"/>
      <c r="AH15" s="43"/>
      <c r="AI15" s="83">
        <v>199</v>
      </c>
      <c r="AJ15" s="83">
        <v>199</v>
      </c>
      <c r="AL15" s="96" t="s">
        <v>59</v>
      </c>
      <c r="AP15" s="115" t="s">
        <v>41</v>
      </c>
      <c r="AQ15" s="116"/>
      <c r="AR15" s="117"/>
      <c r="AS15" s="118">
        <f>Admin!G17</f>
        <v>0.54619185076092291</v>
      </c>
    </row>
    <row r="16" spans="1:77" s="25" customFormat="1" ht="19.5" customHeight="1">
      <c r="A16" s="6"/>
      <c r="B16" s="146" t="s">
        <v>13</v>
      </c>
      <c r="C16" s="146"/>
      <c r="E16" s="146" t="s">
        <v>12</v>
      </c>
      <c r="F16" s="146"/>
      <c r="G16" s="6"/>
      <c r="H16" s="146" t="s">
        <v>33</v>
      </c>
      <c r="I16" s="146"/>
      <c r="J16" s="146"/>
      <c r="K16" s="146"/>
      <c r="L16" s="146"/>
      <c r="M16" s="146"/>
      <c r="N16" s="6"/>
      <c r="O16" s="146" t="s">
        <v>32</v>
      </c>
      <c r="P16" s="146"/>
      <c r="Q16" s="146"/>
      <c r="R16" s="146"/>
      <c r="S16" s="146"/>
      <c r="T16" s="146"/>
      <c r="U16" s="6"/>
      <c r="AL16" s="97"/>
      <c r="AM16" s="29"/>
      <c r="AN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</row>
    <row r="17" spans="1:77" s="25" customFormat="1" ht="15" customHeight="1">
      <c r="A17" s="1"/>
      <c r="B17" s="1"/>
      <c r="C17" s="1"/>
      <c r="D17" s="1"/>
      <c r="E17" s="1"/>
      <c r="F17" s="1"/>
      <c r="G17" s="1"/>
      <c r="H17" s="5"/>
      <c r="I17" s="2"/>
      <c r="J17" s="2"/>
      <c r="K17" s="5"/>
      <c r="L17" s="2"/>
      <c r="M17" s="2"/>
      <c r="N17" s="5"/>
      <c r="O17" s="2"/>
      <c r="P17" s="2"/>
      <c r="Q17" s="5"/>
      <c r="R17" s="2"/>
      <c r="S17" s="2"/>
      <c r="T17" s="2"/>
      <c r="U17" s="2"/>
      <c r="W17" s="164" t="s">
        <v>10</v>
      </c>
      <c r="X17" s="150"/>
      <c r="Y17" s="150"/>
      <c r="Z17" s="150"/>
      <c r="AA17" s="150"/>
      <c r="AB17" s="150"/>
      <c r="AC17" s="58"/>
      <c r="AD17" s="150"/>
      <c r="AE17" s="150"/>
      <c r="AF17" s="120"/>
      <c r="AG17" s="28"/>
      <c r="AH17" s="24">
        <v>17.3</v>
      </c>
      <c r="AI17" s="23">
        <v>23.7</v>
      </c>
      <c r="AJ17" s="24">
        <v>29.1</v>
      </c>
      <c r="AL17" s="26" t="s">
        <v>61</v>
      </c>
      <c r="AM17" s="29"/>
      <c r="AN17" s="29"/>
      <c r="AO17" s="20"/>
      <c r="AP17" s="20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</row>
    <row r="18" spans="1:77" s="25" customFormat="1" ht="12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9"/>
      <c r="S18" s="9"/>
      <c r="T18" s="9"/>
      <c r="U18" s="9"/>
      <c r="W18" s="30"/>
      <c r="X18" s="30"/>
      <c r="Y18" s="30"/>
      <c r="Z18" s="30"/>
      <c r="AA18" s="30"/>
      <c r="AB18" s="30"/>
      <c r="AC18" s="30"/>
      <c r="AD18" s="30"/>
      <c r="AE18" s="30"/>
      <c r="AF18" s="59"/>
      <c r="AG18" s="20"/>
      <c r="AH18" s="32"/>
      <c r="AI18" s="31"/>
      <c r="AJ18" s="32"/>
      <c r="AL18" s="26"/>
      <c r="AM18" s="29"/>
      <c r="AN18" s="29"/>
      <c r="AO18" s="20"/>
      <c r="AP18" s="20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</row>
    <row r="19" spans="1:77" ht="12.75" customHeight="1" thickBot="1">
      <c r="A19" s="2"/>
      <c r="B19" s="2"/>
      <c r="C19" s="2"/>
      <c r="D19" s="2"/>
      <c r="H19" s="145" t="s">
        <v>54</v>
      </c>
      <c r="I19" s="145"/>
      <c r="J19" s="145" t="s">
        <v>51</v>
      </c>
      <c r="K19" s="145"/>
      <c r="L19" s="145" t="s">
        <v>53</v>
      </c>
      <c r="M19" s="145"/>
      <c r="N19" s="12"/>
      <c r="O19" s="145" t="s">
        <v>52</v>
      </c>
      <c r="P19" s="145"/>
      <c r="Q19" s="147" t="s">
        <v>9</v>
      </c>
      <c r="R19" s="147"/>
      <c r="S19" s="147" t="s">
        <v>10</v>
      </c>
      <c r="T19" s="147"/>
      <c r="U19" s="20"/>
      <c r="W19" s="166"/>
      <c r="X19" s="166"/>
      <c r="Y19" s="166"/>
      <c r="Z19" s="166"/>
      <c r="AA19" s="17"/>
      <c r="AB19" s="17"/>
      <c r="AC19" s="17"/>
      <c r="AD19" s="57"/>
      <c r="AE19" s="57"/>
      <c r="AF19" s="17"/>
      <c r="AG19" s="17"/>
      <c r="AH19" s="60"/>
      <c r="AI19" s="61"/>
      <c r="AJ19" s="60"/>
      <c r="AK19" s="56"/>
      <c r="AL19" s="87"/>
      <c r="AM19" s="81"/>
      <c r="AN19" s="9"/>
      <c r="AO19" s="20"/>
      <c r="AP19" s="20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</row>
    <row r="20" spans="1:77" ht="12.75" customHeight="1" thickBot="1">
      <c r="B20" s="153">
        <v>0</v>
      </c>
      <c r="C20" s="154"/>
      <c r="D20" s="12"/>
      <c r="E20" s="153">
        <v>0</v>
      </c>
      <c r="F20" s="154"/>
      <c r="G20" s="80"/>
      <c r="H20" s="153">
        <v>1</v>
      </c>
      <c r="I20" s="154"/>
      <c r="J20" s="153">
        <v>0</v>
      </c>
      <c r="K20" s="154"/>
      <c r="L20" s="153">
        <v>0</v>
      </c>
      <c r="M20" s="154"/>
      <c r="N20" s="80"/>
      <c r="O20" s="153">
        <v>1</v>
      </c>
      <c r="P20" s="154"/>
      <c r="Q20" s="153">
        <v>0</v>
      </c>
      <c r="R20" s="154"/>
      <c r="S20" s="153">
        <v>0</v>
      </c>
      <c r="T20" s="154"/>
      <c r="W20" s="38"/>
      <c r="X20" s="38"/>
      <c r="Y20" s="38"/>
      <c r="Z20" s="38"/>
      <c r="AA20" s="163"/>
      <c r="AB20" s="163"/>
      <c r="AC20" s="163"/>
      <c r="AD20" s="157"/>
      <c r="AE20" s="159"/>
      <c r="AF20" s="17"/>
      <c r="AG20" s="17"/>
      <c r="AH20" s="62"/>
      <c r="AI20" s="63"/>
      <c r="AJ20" s="62"/>
      <c r="AK20" s="56"/>
      <c r="AL20" s="96"/>
      <c r="AM20" s="81"/>
      <c r="AN20" s="9"/>
      <c r="AO20" s="20"/>
      <c r="AP20" s="20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</row>
    <row r="21" spans="1:77" ht="12.75" customHeight="1">
      <c r="W21" s="38"/>
      <c r="X21" s="38"/>
      <c r="Y21" s="38"/>
      <c r="Z21" s="38"/>
      <c r="AA21" s="195"/>
      <c r="AB21" s="196"/>
      <c r="AC21" s="196"/>
      <c r="AD21" s="159"/>
      <c r="AE21" s="159"/>
      <c r="AF21" s="17"/>
      <c r="AG21" s="17"/>
      <c r="AH21" s="62"/>
      <c r="AI21" s="63"/>
      <c r="AJ21" s="62"/>
      <c r="AK21" s="56"/>
      <c r="AL21" s="96"/>
      <c r="AM21" s="81"/>
      <c r="AN21" s="9"/>
      <c r="AO21" s="9"/>
      <c r="AP21" s="9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</row>
    <row r="22" spans="1:77" ht="12.75" customHeight="1">
      <c r="W22" s="165"/>
      <c r="X22" s="165"/>
      <c r="Y22" s="165"/>
      <c r="Z22" s="165"/>
      <c r="AA22" s="65"/>
      <c r="AB22" s="65"/>
      <c r="AC22" s="65"/>
      <c r="AD22" s="66"/>
      <c r="AE22" s="66"/>
      <c r="AF22" s="17"/>
      <c r="AG22" s="17"/>
      <c r="AH22" s="52">
        <f>IF(AH24&gt;$K$71*0.9,IF(AH23&gt;$K$73*0.9,3,2),IF(AH23&gt;$K$73*0.9,1,0))</f>
        <v>3</v>
      </c>
      <c r="AI22" s="63"/>
      <c r="AJ22" s="62"/>
      <c r="AK22" s="56"/>
      <c r="AL22" s="87"/>
      <c r="AM22" s="81"/>
      <c r="AN22" s="9"/>
      <c r="AO22" s="9"/>
      <c r="AP22" s="9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</row>
    <row r="23" spans="1:77" ht="12.75" customHeight="1">
      <c r="B23" s="149" t="s">
        <v>96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W23" s="165"/>
      <c r="X23" s="165"/>
      <c r="Y23" s="165"/>
      <c r="Z23" s="165"/>
      <c r="AA23" s="163" t="s">
        <v>26</v>
      </c>
      <c r="AB23" s="163"/>
      <c r="AC23" s="163"/>
      <c r="AD23" s="157">
        <f>$K$70</f>
        <v>0.54619185076092291</v>
      </c>
      <c r="AE23" s="157"/>
      <c r="AF23" s="17"/>
      <c r="AG23" s="17"/>
      <c r="AH23" s="83">
        <v>425</v>
      </c>
      <c r="AI23" s="63"/>
      <c r="AJ23" s="62"/>
      <c r="AK23" s="56"/>
      <c r="AL23" s="96" t="s">
        <v>60</v>
      </c>
      <c r="AM23" s="81"/>
      <c r="AN23" s="9"/>
      <c r="AO23" s="9"/>
      <c r="AP23" s="9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</row>
    <row r="24" spans="1:77" ht="14.25" customHeight="1">
      <c r="B24" s="149" t="s">
        <v>95</v>
      </c>
      <c r="C24" s="149"/>
      <c r="D24" s="149"/>
      <c r="E24" s="149"/>
      <c r="F24" s="149"/>
      <c r="G24" s="149"/>
      <c r="H24" s="149" t="s">
        <v>62</v>
      </c>
      <c r="I24" s="149"/>
      <c r="J24" s="144"/>
      <c r="K24" s="144"/>
      <c r="L24" s="148" t="s">
        <v>67</v>
      </c>
      <c r="M24" s="148"/>
      <c r="N24" s="148"/>
      <c r="O24" s="148"/>
      <c r="P24" s="148"/>
      <c r="Q24" s="148" t="s">
        <v>76</v>
      </c>
      <c r="R24" s="148"/>
      <c r="S24" s="148"/>
      <c r="T24" s="142"/>
      <c r="W24" s="165"/>
      <c r="X24" s="165"/>
      <c r="Y24" s="165"/>
      <c r="Z24" s="165"/>
      <c r="AA24" s="93" t="s">
        <v>56</v>
      </c>
      <c r="AB24" s="161">
        <v>3</v>
      </c>
      <c r="AC24" s="161"/>
      <c r="AD24" s="158"/>
      <c r="AE24" s="158"/>
      <c r="AF24" s="64"/>
      <c r="AG24" s="64"/>
      <c r="AH24" s="83">
        <v>233</v>
      </c>
      <c r="AI24" s="63"/>
      <c r="AJ24" s="60"/>
      <c r="AK24" s="56"/>
      <c r="AL24" s="96" t="s">
        <v>59</v>
      </c>
      <c r="AM24" s="81"/>
      <c r="AN24" s="9"/>
      <c r="AO24" s="9"/>
      <c r="AP24" s="9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</row>
    <row r="25" spans="1:77" ht="12.75" customHeight="1">
      <c r="W25" s="165"/>
      <c r="X25" s="165"/>
      <c r="Y25" s="165"/>
      <c r="Z25" s="165"/>
      <c r="AA25" s="65"/>
      <c r="AB25" s="65"/>
      <c r="AC25" s="65"/>
      <c r="AD25" s="67"/>
      <c r="AE25" s="67"/>
      <c r="AF25" s="17"/>
      <c r="AG25" s="17"/>
      <c r="AH25" s="17"/>
      <c r="AI25" s="37">
        <f>IF(AI27&gt;$K$71*0.9,IF(AI26&gt;$K$73*0.9,3,2),IF(AI26&gt;$K$73*0.9,1,0))</f>
        <v>3</v>
      </c>
      <c r="AJ25" s="52">
        <f>IF(AJ27&gt;$K$71*0.9,IF(AJ26&gt;$K$73*0.9,3,2),IF(AJ26&gt;$K$73*0.9,1,0))</f>
        <v>3</v>
      </c>
      <c r="AK25" s="56"/>
      <c r="AL25" s="87"/>
      <c r="AM25" s="81"/>
      <c r="AN25" s="9"/>
      <c r="AO25" s="9"/>
      <c r="AP25" s="9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</row>
    <row r="26" spans="1:77" ht="12.75" customHeight="1">
      <c r="B26" s="150" t="s">
        <v>25</v>
      </c>
      <c r="C26" s="150"/>
      <c r="D26" s="150"/>
      <c r="E26" s="150"/>
      <c r="F26" s="150"/>
      <c r="G26" s="150"/>
      <c r="H26" s="21"/>
      <c r="I26" s="21"/>
      <c r="J26" s="134"/>
      <c r="K26" s="22"/>
      <c r="L26" s="192"/>
      <c r="M26" s="24">
        <v>17.3</v>
      </c>
      <c r="N26" s="23">
        <v>22.7</v>
      </c>
      <c r="O26" s="24">
        <v>29.1</v>
      </c>
      <c r="P26" s="25"/>
      <c r="Q26" s="26" t="s">
        <v>61</v>
      </c>
      <c r="W26" s="165"/>
      <c r="X26" s="165"/>
      <c r="Y26" s="165"/>
      <c r="Z26" s="165"/>
      <c r="AA26" s="163" t="s">
        <v>102</v>
      </c>
      <c r="AB26" s="163"/>
      <c r="AC26" s="163"/>
      <c r="AD26" s="157">
        <f>$K$70</f>
        <v>0.54619185076092291</v>
      </c>
      <c r="AE26" s="157"/>
      <c r="AF26" s="17"/>
      <c r="AG26" s="17"/>
      <c r="AH26" s="17"/>
      <c r="AI26" s="83">
        <v>555</v>
      </c>
      <c r="AJ26" s="83">
        <v>638</v>
      </c>
      <c r="AK26" s="56"/>
      <c r="AL26" s="96" t="s">
        <v>60</v>
      </c>
      <c r="AM26" s="81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121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</row>
    <row r="27" spans="1:77" s="56" customFormat="1" ht="12.75" customHeight="1">
      <c r="D27" s="30"/>
      <c r="E27" s="29"/>
      <c r="F27" s="29"/>
      <c r="G27" s="29"/>
      <c r="H27" s="29"/>
      <c r="I27" s="29"/>
      <c r="J27" s="33"/>
      <c r="K27" s="25"/>
      <c r="L27" s="33"/>
      <c r="M27" s="32"/>
      <c r="N27" s="31"/>
      <c r="O27" s="32"/>
      <c r="P27" s="33"/>
      <c r="Q27" s="97"/>
      <c r="W27" s="165"/>
      <c r="X27" s="165"/>
      <c r="Y27" s="165"/>
      <c r="Z27" s="165"/>
      <c r="AA27" s="93" t="s">
        <v>56</v>
      </c>
      <c r="AB27" s="161">
        <v>3.2</v>
      </c>
      <c r="AC27" s="161"/>
      <c r="AD27" s="158"/>
      <c r="AE27" s="158"/>
      <c r="AF27" s="64"/>
      <c r="AG27" s="64"/>
      <c r="AH27" s="64"/>
      <c r="AI27" s="83">
        <v>236</v>
      </c>
      <c r="AJ27" s="83">
        <v>236</v>
      </c>
      <c r="AL27" s="96" t="s">
        <v>59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</row>
    <row r="28" spans="1:77" s="56" customFormat="1" ht="14.25" customHeight="1">
      <c r="D28" s="30"/>
      <c r="E28" s="29"/>
      <c r="F28" s="29"/>
      <c r="G28" s="29"/>
      <c r="H28" s="29"/>
      <c r="I28" s="29"/>
      <c r="J28" s="33"/>
      <c r="K28" s="25"/>
      <c r="L28" s="139"/>
      <c r="M28" s="52">
        <f>IF(M30&gt;$K$71*0.9,IF(M29&gt;$K$73*0.9,3,2),IF(M29&gt;$K$73*0.9,1,0))</f>
        <v>3</v>
      </c>
      <c r="N28" s="37">
        <f>IF(N30&gt;$K$71*0.9,IF(N29&gt;$K$73*0.9,3,2),IF(N29&gt;$K$73*0.9,1,0))</f>
        <v>3</v>
      </c>
      <c r="O28" s="52">
        <f>IF(O30&gt;$K$71*0.9,IF(O29&gt;$K$73*0.9,3,2),IF(O29&gt;$K$73*0.9,1,0))</f>
        <v>3</v>
      </c>
      <c r="P28" s="33"/>
      <c r="Q28" s="97"/>
      <c r="T28" s="20"/>
      <c r="AL28" s="98"/>
      <c r="AM28" s="17"/>
      <c r="AN28" s="17"/>
      <c r="AO28" s="17"/>
      <c r="AP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</row>
    <row r="29" spans="1:77" s="56" customFormat="1" ht="14.25" customHeight="1">
      <c r="D29" s="38"/>
      <c r="E29" s="90" t="s">
        <v>8</v>
      </c>
      <c r="F29" s="90"/>
      <c r="G29" s="77"/>
      <c r="H29" s="151">
        <f>$K$70</f>
        <v>0.54619185076092291</v>
      </c>
      <c r="I29" s="151"/>
      <c r="J29" s="135"/>
      <c r="K29" s="140"/>
      <c r="L29" s="191"/>
      <c r="M29" s="138">
        <v>440</v>
      </c>
      <c r="N29" s="83">
        <v>540</v>
      </c>
      <c r="O29" s="83">
        <v>540</v>
      </c>
      <c r="P29" s="1"/>
      <c r="Q29" s="96" t="s">
        <v>60</v>
      </c>
      <c r="W29" s="164" t="s">
        <v>74</v>
      </c>
      <c r="X29" s="150"/>
      <c r="Y29" s="150"/>
      <c r="Z29" s="150"/>
      <c r="AA29" s="150"/>
      <c r="AB29" s="150"/>
      <c r="AC29" s="58"/>
      <c r="AD29" s="150"/>
      <c r="AE29" s="150"/>
      <c r="AF29" s="120"/>
      <c r="AG29" s="28"/>
      <c r="AH29" s="24">
        <v>17.3</v>
      </c>
      <c r="AI29" s="23">
        <v>23.7</v>
      </c>
      <c r="AJ29" s="24">
        <v>29.1</v>
      </c>
      <c r="AK29" s="25"/>
      <c r="AL29" s="26" t="s">
        <v>61</v>
      </c>
      <c r="AM29" s="17"/>
      <c r="AN29" s="17"/>
      <c r="AO29" s="17"/>
      <c r="AP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</row>
    <row r="30" spans="1:77" s="56" customFormat="1" ht="14.25" customHeight="1">
      <c r="D30" s="38"/>
      <c r="E30" s="91" t="s">
        <v>56</v>
      </c>
      <c r="F30" s="92">
        <v>1</v>
      </c>
      <c r="G30" s="78"/>
      <c r="H30" s="152"/>
      <c r="I30" s="152"/>
      <c r="J30" s="136"/>
      <c r="K30" s="43"/>
      <c r="L30" s="193"/>
      <c r="M30" s="138">
        <v>143</v>
      </c>
      <c r="N30" s="83">
        <v>143</v>
      </c>
      <c r="O30" s="83">
        <v>143</v>
      </c>
      <c r="P30" s="1"/>
      <c r="Q30" s="96" t="s">
        <v>59</v>
      </c>
      <c r="W30" s="30"/>
      <c r="X30" s="30"/>
      <c r="Y30" s="30"/>
      <c r="Z30" s="30"/>
      <c r="AA30" s="30"/>
      <c r="AB30" s="30"/>
      <c r="AC30" s="30"/>
      <c r="AD30" s="30"/>
      <c r="AE30" s="30"/>
      <c r="AF30" s="59"/>
      <c r="AG30" s="20"/>
      <c r="AH30" s="32"/>
      <c r="AI30" s="31"/>
      <c r="AJ30" s="32"/>
      <c r="AL30" s="98"/>
      <c r="AM30" s="17"/>
      <c r="AN30" s="17"/>
      <c r="AO30" s="17"/>
      <c r="AP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</row>
    <row r="31" spans="1:77" s="56" customFormat="1" ht="14.25" customHeight="1">
      <c r="D31" s="79"/>
      <c r="E31" s="45"/>
      <c r="F31" s="46"/>
      <c r="G31" s="46"/>
      <c r="H31" s="47"/>
      <c r="I31" s="47"/>
      <c r="J31" s="135"/>
      <c r="K31" s="140"/>
      <c r="L31" s="68"/>
      <c r="M31" s="1"/>
      <c r="N31" s="1"/>
      <c r="O31" s="1"/>
      <c r="P31" s="1"/>
      <c r="Q31" s="12"/>
      <c r="R31" s="25"/>
      <c r="S31" s="25"/>
      <c r="W31" s="166"/>
      <c r="X31" s="166"/>
      <c r="Y31" s="166"/>
      <c r="Z31" s="166"/>
      <c r="AA31" s="17"/>
      <c r="AB31" s="17"/>
      <c r="AC31" s="17"/>
      <c r="AD31" s="57"/>
      <c r="AE31" s="57"/>
      <c r="AF31" s="17"/>
      <c r="AG31" s="17"/>
      <c r="AH31" s="52">
        <f>IF(AH33&gt;$K$71*0.9,IF(AH32&gt;$K$73*0.9,3,2),IF(AH32&gt;$K$73*0.9,1,0))</f>
        <v>3</v>
      </c>
      <c r="AI31" s="61"/>
      <c r="AJ31" s="60"/>
      <c r="AL31" s="98"/>
      <c r="AM31" s="17"/>
      <c r="AN31" s="17"/>
      <c r="AO31" s="17"/>
      <c r="AP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</row>
    <row r="32" spans="1:77" s="56" customFormat="1" ht="12.75" customHeight="1">
      <c r="B32" s="150" t="s">
        <v>7</v>
      </c>
      <c r="C32" s="150"/>
      <c r="D32" s="150"/>
      <c r="E32" s="150"/>
      <c r="F32" s="150"/>
      <c r="G32" s="150"/>
      <c r="H32" s="21"/>
      <c r="I32" s="21"/>
      <c r="J32" s="134"/>
      <c r="K32" s="22"/>
      <c r="L32" s="192"/>
      <c r="M32" s="24">
        <v>17.3</v>
      </c>
      <c r="N32" s="23">
        <v>22.7</v>
      </c>
      <c r="O32" s="24">
        <v>29.1</v>
      </c>
      <c r="P32" s="25"/>
      <c r="Q32" s="26" t="s">
        <v>61</v>
      </c>
      <c r="R32" s="25"/>
      <c r="S32" s="25"/>
      <c r="W32" s="38"/>
      <c r="X32" s="38"/>
      <c r="Y32" s="38"/>
      <c r="Z32" s="38"/>
      <c r="AA32" s="163" t="s">
        <v>26</v>
      </c>
      <c r="AB32" s="163"/>
      <c r="AC32" s="163"/>
      <c r="AD32" s="157">
        <f>$K$70</f>
        <v>0.54619185076092291</v>
      </c>
      <c r="AE32" s="159"/>
      <c r="AF32" s="17"/>
      <c r="AG32" s="17"/>
      <c r="AH32" s="83">
        <v>425</v>
      </c>
      <c r="AI32" s="63"/>
      <c r="AJ32" s="62"/>
      <c r="AL32" s="96" t="s">
        <v>60</v>
      </c>
      <c r="AM32" s="17"/>
      <c r="AN32" s="17"/>
      <c r="AO32" s="17"/>
      <c r="AP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</row>
    <row r="33" spans="2:77" s="56" customFormat="1" ht="12.75" customHeight="1">
      <c r="D33" s="53"/>
      <c r="J33" s="86"/>
      <c r="K33" s="65"/>
      <c r="L33" s="33"/>
      <c r="M33" s="32"/>
      <c r="N33" s="31"/>
      <c r="O33" s="32"/>
      <c r="P33" s="2"/>
      <c r="Q33" s="98"/>
      <c r="R33" s="25"/>
      <c r="S33" s="25"/>
      <c r="W33" s="38"/>
      <c r="X33" s="38"/>
      <c r="Y33" s="38"/>
      <c r="Z33" s="38"/>
      <c r="AA33" s="93" t="s">
        <v>56</v>
      </c>
      <c r="AB33" s="161">
        <v>7.5</v>
      </c>
      <c r="AC33" s="161"/>
      <c r="AD33" s="160"/>
      <c r="AE33" s="160"/>
      <c r="AF33" s="64"/>
      <c r="AG33" s="64"/>
      <c r="AH33" s="83">
        <v>360</v>
      </c>
      <c r="AI33" s="63"/>
      <c r="AJ33" s="62"/>
      <c r="AL33" s="96" t="s">
        <v>59</v>
      </c>
      <c r="AM33" s="17"/>
      <c r="AN33" s="17"/>
      <c r="AO33" s="17"/>
      <c r="AP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</row>
    <row r="34" spans="2:77" s="56" customFormat="1" ht="12.75" customHeight="1">
      <c r="D34" s="53"/>
      <c r="H34" s="17"/>
      <c r="I34" s="17"/>
      <c r="J34" s="139"/>
      <c r="K34" s="17"/>
      <c r="L34" s="139"/>
      <c r="M34" s="52">
        <f>IF(M36&gt;$K$71*0.9,IF(M35&gt;$K$73*0.9,3,2),IF(M35&gt;$K$73*0.9,1,0))</f>
        <v>3</v>
      </c>
      <c r="N34" s="37">
        <f>IF(N36&gt;$K$71*0.9,IF(N35&gt;$K$73*0.9,3,2),IF(N35&gt;$K$73*0.9,1,0))</f>
        <v>3</v>
      </c>
      <c r="O34" s="52">
        <f>IF(O36&gt;$K$71*0.9,IF(O35&gt;$K$73*0.9,3,2),IF(O35&gt;$K$73*0.9,1,0))</f>
        <v>3</v>
      </c>
      <c r="P34" s="2"/>
      <c r="Q34" s="98"/>
      <c r="R34" s="2"/>
      <c r="S34" s="2"/>
      <c r="W34" s="53"/>
      <c r="X34" s="53"/>
      <c r="Y34" s="53"/>
      <c r="Z34" s="53"/>
      <c r="AA34" s="65"/>
      <c r="AB34" s="65"/>
      <c r="AC34" s="65"/>
      <c r="AD34" s="66"/>
      <c r="AE34" s="66"/>
      <c r="AF34" s="17"/>
      <c r="AG34" s="17"/>
      <c r="AH34" s="17"/>
      <c r="AI34" s="37">
        <f>IF(AI36&gt;$K$71*0.9,IF(AI35&gt;$K$73*0.9,3,2),IF(AI35&gt;$K$73*0.9,1,0))</f>
        <v>3</v>
      </c>
      <c r="AJ34" s="52">
        <f>IF(AJ36&gt;$K$71*0.9,IF(AJ35&gt;$K$73*0.9,3,2),IF(AJ35&gt;$K$73*0.9,1,0))</f>
        <v>3</v>
      </c>
      <c r="AL34" s="87"/>
      <c r="AM34" s="17"/>
      <c r="AN34" s="17"/>
      <c r="AO34" s="17"/>
      <c r="AP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</row>
    <row r="35" spans="2:77" s="56" customFormat="1" ht="12.75" customHeight="1">
      <c r="D35" s="53"/>
      <c r="E35" s="90" t="s">
        <v>8</v>
      </c>
      <c r="F35" s="90"/>
      <c r="G35" s="77"/>
      <c r="H35" s="151">
        <f>$K$70</f>
        <v>0.54619185076092291</v>
      </c>
      <c r="I35" s="151"/>
      <c r="J35" s="139"/>
      <c r="K35" s="17"/>
      <c r="L35" s="140"/>
      <c r="M35" s="39">
        <v>440</v>
      </c>
      <c r="N35" s="39">
        <v>540</v>
      </c>
      <c r="O35" s="39">
        <v>590</v>
      </c>
      <c r="P35" s="2"/>
      <c r="Q35" s="96" t="s">
        <v>60</v>
      </c>
      <c r="R35" s="2"/>
      <c r="S35" s="2"/>
      <c r="W35" s="53"/>
      <c r="X35" s="53"/>
      <c r="Y35" s="53"/>
      <c r="Z35" s="53"/>
      <c r="AA35" s="163" t="s">
        <v>102</v>
      </c>
      <c r="AB35" s="163"/>
      <c r="AC35" s="163"/>
      <c r="AD35" s="157">
        <f>$K$70</f>
        <v>0.54619185076092291</v>
      </c>
      <c r="AE35" s="159"/>
      <c r="AF35" s="17"/>
      <c r="AG35" s="17"/>
      <c r="AH35" s="17"/>
      <c r="AI35" s="83">
        <v>555</v>
      </c>
      <c r="AJ35" s="83">
        <v>715</v>
      </c>
      <c r="AL35" s="96" t="s">
        <v>60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</row>
    <row r="36" spans="2:77" s="56" customFormat="1" ht="12.75" customHeight="1">
      <c r="D36" s="53"/>
      <c r="E36" s="93" t="s">
        <v>56</v>
      </c>
      <c r="F36" s="92">
        <v>1.2</v>
      </c>
      <c r="G36" s="78"/>
      <c r="H36" s="152"/>
      <c r="I36" s="152"/>
      <c r="J36" s="137"/>
      <c r="K36" s="64"/>
      <c r="L36" s="194"/>
      <c r="M36" s="39">
        <v>153</v>
      </c>
      <c r="N36" s="39">
        <v>153</v>
      </c>
      <c r="O36" s="39">
        <v>153</v>
      </c>
      <c r="P36" s="2"/>
      <c r="Q36" s="96" t="s">
        <v>59</v>
      </c>
      <c r="R36" s="2"/>
      <c r="S36" s="2"/>
      <c r="W36" s="53"/>
      <c r="X36" s="53"/>
      <c r="Y36" s="53"/>
      <c r="Z36" s="95"/>
      <c r="AA36" s="93" t="s">
        <v>56</v>
      </c>
      <c r="AB36" s="161">
        <v>8</v>
      </c>
      <c r="AC36" s="161"/>
      <c r="AD36" s="160"/>
      <c r="AE36" s="160"/>
      <c r="AF36" s="64"/>
      <c r="AG36" s="64"/>
      <c r="AH36" s="64"/>
      <c r="AI36" s="83">
        <v>368</v>
      </c>
      <c r="AJ36" s="83">
        <v>368</v>
      </c>
      <c r="AL36" s="96" t="s">
        <v>59</v>
      </c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</row>
    <row r="37" spans="2:77" s="56" customFormat="1" ht="12.75" customHeight="1">
      <c r="J37" s="86"/>
      <c r="K37" s="65"/>
      <c r="L37" s="65"/>
      <c r="Q37" s="98"/>
      <c r="R37" s="2"/>
      <c r="S37" s="2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</row>
    <row r="38" spans="2:77" s="56" customFormat="1" ht="12.75" customHeight="1">
      <c r="B38" s="150" t="s">
        <v>93</v>
      </c>
      <c r="C38" s="150"/>
      <c r="D38" s="150"/>
      <c r="E38" s="150"/>
      <c r="F38" s="150"/>
      <c r="G38" s="150"/>
      <c r="H38" s="21"/>
      <c r="I38" s="21"/>
      <c r="J38" s="134"/>
      <c r="K38" s="22"/>
      <c r="L38" s="192"/>
      <c r="M38" s="24">
        <v>17.3</v>
      </c>
      <c r="N38" s="23">
        <v>22.7</v>
      </c>
      <c r="O38" s="24">
        <v>29.1</v>
      </c>
      <c r="P38" s="25"/>
      <c r="Q38" s="26" t="s">
        <v>61</v>
      </c>
      <c r="R38" s="2"/>
      <c r="S38" s="2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</row>
    <row r="39" spans="2:77" s="56" customFormat="1" ht="12.75" customHeight="1">
      <c r="D39" s="38"/>
      <c r="J39" s="65"/>
      <c r="K39" s="65"/>
      <c r="L39" s="33"/>
      <c r="M39" s="32"/>
      <c r="N39" s="31"/>
      <c r="O39" s="32"/>
      <c r="P39" s="65"/>
      <c r="Q39" s="98"/>
      <c r="R39" s="2"/>
      <c r="S39" s="2"/>
      <c r="AC39" s="17"/>
      <c r="AD39" s="57"/>
      <c r="AE39" s="57"/>
      <c r="AF39" s="17"/>
      <c r="AG39" s="17"/>
      <c r="AH39" s="65"/>
      <c r="AI39" s="17"/>
      <c r="AJ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</row>
    <row r="40" spans="2:77" s="56" customFormat="1" ht="19.5" customHeight="1">
      <c r="B40" s="82"/>
      <c r="C40" s="82"/>
      <c r="D40" s="82"/>
      <c r="J40" s="65"/>
      <c r="K40" s="65"/>
      <c r="L40" s="139"/>
      <c r="M40" s="52">
        <f>IF(M42&gt;$K$71*0.9,IF(M41&gt;$K$73*0.9,3,2),IF(M41&gt;$K$73*0.9,1,0))</f>
        <v>3</v>
      </c>
      <c r="N40" s="37">
        <f>IF(N42&gt;$K$71*0.9,IF(N41&gt;$K$73*0.9,3,2),IF(N41&gt;$K$73*0.9,1,0))</f>
        <v>3</v>
      </c>
      <c r="O40" s="52">
        <f>IF(O42&gt;$K$71*0.9,IF(O41&gt;$K$73*0.9,3,2),IF(O41&gt;$K$73*0.9,1,0))</f>
        <v>3</v>
      </c>
      <c r="P40" s="82"/>
      <c r="Q40" s="98"/>
      <c r="R40" s="2"/>
      <c r="S40" s="2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</row>
    <row r="41" spans="2:77" s="56" customFormat="1" ht="12.75" customHeight="1">
      <c r="B41" s="82"/>
      <c r="C41" s="82"/>
      <c r="D41" s="82"/>
      <c r="E41" s="172" t="s">
        <v>8</v>
      </c>
      <c r="F41" s="172"/>
      <c r="G41" s="172"/>
      <c r="H41" s="151">
        <f>$K$70</f>
        <v>0.54619185076092291</v>
      </c>
      <c r="I41" s="151"/>
      <c r="J41" s="17"/>
      <c r="K41" s="17"/>
      <c r="L41" s="140"/>
      <c r="M41" s="39">
        <v>440</v>
      </c>
      <c r="N41" s="39">
        <v>540</v>
      </c>
      <c r="O41" s="39">
        <v>590</v>
      </c>
      <c r="P41" s="82"/>
      <c r="Q41" s="96" t="s">
        <v>60</v>
      </c>
      <c r="R41" s="2"/>
      <c r="S41" s="2"/>
      <c r="AK41" s="25"/>
      <c r="AL41" s="26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</row>
    <row r="42" spans="2:77" s="56" customFormat="1" ht="12.75" customHeight="1">
      <c r="B42" s="82"/>
      <c r="C42" s="82"/>
      <c r="D42" s="82"/>
      <c r="E42" s="93" t="s">
        <v>56</v>
      </c>
      <c r="F42" s="99">
        <v>1.6</v>
      </c>
      <c r="G42" s="94"/>
      <c r="H42" s="152"/>
      <c r="I42" s="152"/>
      <c r="J42" s="64"/>
      <c r="K42" s="64"/>
      <c r="L42" s="194"/>
      <c r="M42" s="39">
        <v>173</v>
      </c>
      <c r="N42" s="39">
        <v>173</v>
      </c>
      <c r="O42" s="39">
        <v>173</v>
      </c>
      <c r="P42" s="82"/>
      <c r="Q42" s="96" t="s">
        <v>59</v>
      </c>
      <c r="W42" s="170" t="s">
        <v>78</v>
      </c>
      <c r="X42" s="171"/>
      <c r="Y42" s="171"/>
      <c r="Z42" s="171"/>
      <c r="AA42" s="171"/>
      <c r="AB42" s="171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</row>
    <row r="43" spans="2:77" s="56" customFormat="1" ht="12.75" customHeight="1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</row>
    <row r="44" spans="2:77" s="56" customFormat="1" ht="12.75" customHeight="1">
      <c r="R44" s="65"/>
      <c r="W44" s="7">
        <v>3</v>
      </c>
      <c r="X44" s="8" t="s">
        <v>63</v>
      </c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</row>
    <row r="45" spans="2:77" s="56" customFormat="1" ht="12.75" customHeight="1">
      <c r="R45" s="82"/>
      <c r="S45" s="82"/>
      <c r="T45" s="82"/>
      <c r="W45" s="7">
        <v>2</v>
      </c>
      <c r="X45" s="8" t="s">
        <v>66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</row>
    <row r="46" spans="2:77" s="56" customFormat="1" ht="12.75" customHeight="1">
      <c r="R46" s="82"/>
      <c r="S46" s="82"/>
      <c r="T46" s="82"/>
      <c r="W46" s="7">
        <v>1</v>
      </c>
      <c r="X46" s="8" t="s">
        <v>65</v>
      </c>
      <c r="AM46" s="17"/>
      <c r="AN46" s="17"/>
      <c r="AO46" s="17"/>
      <c r="AP46" s="17"/>
      <c r="AQ46" s="17"/>
      <c r="AR46" s="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</row>
    <row r="47" spans="2:77" s="56" customFormat="1" ht="12.75" customHeight="1">
      <c r="B47" s="170" t="s">
        <v>92</v>
      </c>
      <c r="C47" s="171"/>
      <c r="D47" s="171"/>
      <c r="E47" s="171"/>
      <c r="F47" s="171"/>
      <c r="G47" s="171"/>
      <c r="R47" s="82"/>
      <c r="S47" s="82"/>
      <c r="T47" s="82"/>
      <c r="W47" s="7">
        <v>0</v>
      </c>
      <c r="X47" s="8" t="s">
        <v>64</v>
      </c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</row>
    <row r="48" spans="2:77" s="56" customFormat="1" ht="12.75" customHeight="1">
      <c r="R48" s="82"/>
      <c r="S48" s="82"/>
      <c r="T48" s="82"/>
      <c r="W48" s="17">
        <v>0</v>
      </c>
      <c r="X48" s="8" t="s">
        <v>89</v>
      </c>
      <c r="Y48" s="53"/>
      <c r="Z48" s="53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</row>
    <row r="49" spans="2:77" ht="12.75" customHeight="1">
      <c r="B49" s="84" t="s">
        <v>98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W49" s="17">
        <v>-1</v>
      </c>
      <c r="X49" s="8" t="s">
        <v>90</v>
      </c>
      <c r="Y49" s="53"/>
      <c r="Z49" s="53"/>
      <c r="AA49" s="76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121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</row>
    <row r="50" spans="2:77" ht="12.75" customHeight="1">
      <c r="B50" s="84" t="s">
        <v>99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W50" s="16">
        <v>590</v>
      </c>
      <c r="X50" s="1" t="s">
        <v>79</v>
      </c>
      <c r="Y50" s="86"/>
      <c r="Z50" s="8"/>
      <c r="AA50" s="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121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</row>
    <row r="51" spans="2:77" s="68" customFormat="1" ht="12.75" customHeight="1">
      <c r="B51" s="84" t="s">
        <v>100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9"/>
      <c r="V51" s="81"/>
      <c r="W51" s="18">
        <v>590</v>
      </c>
      <c r="X51" s="1" t="s">
        <v>80</v>
      </c>
      <c r="Y51" s="86"/>
      <c r="Z51" s="8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9"/>
      <c r="AO51" s="9"/>
      <c r="AP51" s="9"/>
      <c r="AR51" s="9"/>
      <c r="AS51" s="9"/>
      <c r="AT51" s="9"/>
      <c r="AU51" s="9"/>
      <c r="AV51" s="9"/>
      <c r="AW51" s="9"/>
      <c r="AX51" s="121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</row>
    <row r="52" spans="2:77" ht="14.25" customHeight="1">
      <c r="B52" s="84" t="s">
        <v>101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W52" s="19">
        <v>199</v>
      </c>
      <c r="X52" s="1" t="s">
        <v>81</v>
      </c>
      <c r="Y52" s="86"/>
      <c r="Z52" s="8"/>
      <c r="AA52" s="1"/>
    </row>
    <row r="53" spans="2:77" ht="14.25" customHeight="1">
      <c r="D53" s="7"/>
      <c r="E53" s="1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168"/>
      <c r="X53" s="168"/>
      <c r="Y53" s="168"/>
      <c r="Z53" s="8"/>
      <c r="AA53" s="1"/>
      <c r="AB53" s="17"/>
      <c r="AC53" s="17"/>
      <c r="AD53" s="17"/>
      <c r="AE53" s="17"/>
      <c r="AF53" s="17"/>
      <c r="AG53" s="17"/>
      <c r="AH53" s="17"/>
      <c r="AI53" s="17"/>
      <c r="AJ53" s="65"/>
      <c r="AP53" s="48" t="s">
        <v>88</v>
      </c>
    </row>
    <row r="54" spans="2:77">
      <c r="E54" s="1"/>
      <c r="F54" s="1"/>
      <c r="G54" s="1"/>
      <c r="H54" s="1"/>
      <c r="I54" s="1"/>
      <c r="J54" s="1"/>
      <c r="K54" s="1"/>
      <c r="L54" s="1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65"/>
    </row>
    <row r="55" spans="2:77">
      <c r="E55" s="1"/>
      <c r="F55" s="1"/>
      <c r="G55" s="1"/>
      <c r="H55" s="1"/>
      <c r="I55" s="1"/>
      <c r="J55" s="1"/>
      <c r="K55" s="14">
        <f>B20+E20+H20+J20+L20+O20+Q20+S20</f>
        <v>2</v>
      </c>
      <c r="L55" s="1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17"/>
      <c r="X55" s="17"/>
      <c r="Y55" s="1"/>
      <c r="Z55" s="1"/>
      <c r="AA55" s="17"/>
      <c r="AB55" s="17"/>
      <c r="AC55" s="17"/>
      <c r="AD55" s="17"/>
      <c r="AE55" s="17"/>
      <c r="AF55" s="17"/>
      <c r="AG55" s="17"/>
      <c r="AH55" s="17"/>
      <c r="AI55" s="17"/>
      <c r="AJ55" s="65"/>
    </row>
    <row r="56" spans="2:77">
      <c r="E56" s="1"/>
      <c r="F56" s="1"/>
      <c r="G56" s="1"/>
      <c r="H56" s="1"/>
      <c r="I56" s="1"/>
      <c r="J56" s="1"/>
      <c r="K56" s="1"/>
      <c r="L56" s="1"/>
      <c r="M56" s="17"/>
      <c r="N56" s="65"/>
      <c r="O56" s="65"/>
      <c r="P56" s="65"/>
      <c r="Q56" s="65"/>
      <c r="R56" s="65"/>
      <c r="S56" s="65"/>
      <c r="T56" s="65"/>
      <c r="U56" s="65"/>
      <c r="V56" s="65"/>
      <c r="W56" s="17"/>
      <c r="X56" s="1"/>
      <c r="Y56" s="1"/>
      <c r="Z56" s="1"/>
      <c r="AA56" s="1"/>
      <c r="AB56" s="17"/>
      <c r="AC56" s="17"/>
      <c r="AD56" s="17"/>
      <c r="AE56" s="17"/>
      <c r="AF56" s="17"/>
      <c r="AG56" s="17"/>
      <c r="AH56" s="17"/>
      <c r="AI56" s="17"/>
      <c r="AJ56" s="65"/>
    </row>
    <row r="57" spans="2:77">
      <c r="E57" s="1"/>
      <c r="F57" s="1"/>
      <c r="G57" s="1"/>
      <c r="H57" s="1"/>
      <c r="I57" s="1"/>
      <c r="J57" s="1"/>
      <c r="K57" s="1"/>
      <c r="L57" s="1"/>
      <c r="M57" s="17"/>
      <c r="N57" s="65"/>
      <c r="O57" s="65"/>
      <c r="P57" s="65"/>
      <c r="Q57" s="65"/>
      <c r="R57" s="65"/>
      <c r="S57" s="65"/>
      <c r="T57" s="65"/>
      <c r="U57" s="65"/>
      <c r="V57" s="65"/>
      <c r="W57" s="17"/>
      <c r="X57" s="1"/>
      <c r="Y57" s="1"/>
      <c r="Z57" s="1"/>
      <c r="AA57" s="1"/>
      <c r="AB57" s="17"/>
      <c r="AC57" s="17"/>
      <c r="AD57" s="17"/>
      <c r="AE57" s="17"/>
      <c r="AF57" s="17"/>
      <c r="AG57" s="17"/>
      <c r="AH57" s="17"/>
      <c r="AI57" s="17"/>
      <c r="AJ57" s="65"/>
    </row>
    <row r="58" spans="2:77">
      <c r="E58" s="1"/>
      <c r="F58" s="1"/>
      <c r="G58" s="1"/>
      <c r="H58" s="1"/>
      <c r="I58" s="1"/>
      <c r="J58" s="1"/>
      <c r="K58" s="1"/>
      <c r="L58" s="1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17"/>
      <c r="X58" s="1"/>
      <c r="Y58" s="1"/>
      <c r="Z58" s="1"/>
      <c r="AA58" s="1"/>
      <c r="AB58" s="17"/>
      <c r="AC58" s="17"/>
      <c r="AD58" s="17"/>
      <c r="AE58" s="17"/>
      <c r="AF58" s="17"/>
      <c r="AG58" s="17"/>
      <c r="AH58" s="17"/>
      <c r="AI58" s="17"/>
      <c r="AJ58" s="65"/>
    </row>
    <row r="59" spans="2:77">
      <c r="E59" s="1"/>
      <c r="F59" s="1"/>
      <c r="G59" s="1"/>
      <c r="H59" s="1"/>
      <c r="I59" s="1"/>
      <c r="J59" s="1"/>
      <c r="K59" s="1"/>
      <c r="L59" s="1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65"/>
    </row>
    <row r="60" spans="2:77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77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45"/>
      <c r="R61" s="145"/>
      <c r="S61" s="145"/>
      <c r="T61" s="145"/>
      <c r="U61" s="5"/>
      <c r="V61" s="5"/>
    </row>
    <row r="62" spans="2:77">
      <c r="D62" s="69" t="s">
        <v>68</v>
      </c>
      <c r="E62" s="70"/>
      <c r="F62" s="70"/>
      <c r="G62" s="70"/>
      <c r="H62" s="70"/>
      <c r="I62" s="70"/>
      <c r="J62" s="70"/>
      <c r="K62" s="70"/>
      <c r="L62" s="70"/>
      <c r="M62" s="1"/>
      <c r="N62" s="1"/>
      <c r="O62" s="1"/>
      <c r="P62" s="1"/>
      <c r="Q62" s="145"/>
      <c r="R62" s="145"/>
      <c r="S62" s="145"/>
      <c r="T62" s="145"/>
      <c r="U62" s="5"/>
      <c r="V62" s="5"/>
    </row>
    <row r="63" spans="2:77">
      <c r="D63" s="70" t="s">
        <v>69</v>
      </c>
      <c r="E63" s="70"/>
      <c r="F63" s="70"/>
      <c r="G63" s="70"/>
      <c r="H63" s="70"/>
      <c r="I63" s="70"/>
      <c r="J63" s="70"/>
      <c r="K63" s="70"/>
      <c r="L63" s="70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77">
      <c r="D64" s="70" t="s">
        <v>70</v>
      </c>
      <c r="E64" s="70"/>
      <c r="F64" s="70"/>
      <c r="G64" s="70"/>
      <c r="H64" s="70"/>
      <c r="I64" s="70"/>
      <c r="J64" s="70"/>
      <c r="K64" s="70"/>
      <c r="L64" s="70"/>
      <c r="M64" s="1"/>
      <c r="N64" s="1"/>
      <c r="O64" s="1"/>
      <c r="P64" s="1"/>
      <c r="Q64" s="167"/>
      <c r="R64" s="167"/>
      <c r="S64" s="167"/>
      <c r="T64" s="167"/>
      <c r="U64" s="71"/>
      <c r="V64" s="71"/>
    </row>
    <row r="65" spans="4:22">
      <c r="D65" s="70" t="s">
        <v>47</v>
      </c>
      <c r="E65" s="70"/>
      <c r="F65" s="70"/>
      <c r="G65" s="70"/>
      <c r="H65" s="70"/>
      <c r="I65" s="70"/>
      <c r="J65" s="70"/>
      <c r="K65" s="70"/>
      <c r="L65" s="70"/>
      <c r="M65" s="1"/>
      <c r="N65" s="1"/>
      <c r="O65" s="1"/>
      <c r="P65" s="1"/>
      <c r="Q65" s="167"/>
      <c r="R65" s="167"/>
      <c r="S65" s="167"/>
      <c r="T65" s="167"/>
      <c r="U65" s="71"/>
      <c r="V65" s="71"/>
    </row>
    <row r="66" spans="4:22">
      <c r="D66" s="70" t="s">
        <v>71</v>
      </c>
      <c r="E66" s="70"/>
      <c r="F66" s="70"/>
      <c r="G66" s="70"/>
      <c r="H66" s="70"/>
      <c r="I66" s="70"/>
      <c r="J66" s="70"/>
      <c r="K66" s="70"/>
      <c r="L66" s="70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4:22">
      <c r="D67" s="70" t="s">
        <v>72</v>
      </c>
      <c r="E67" s="14"/>
      <c r="F67" s="14"/>
      <c r="G67" s="14"/>
      <c r="H67" s="14"/>
      <c r="I67" s="14"/>
      <c r="J67" s="14"/>
      <c r="K67" s="14"/>
      <c r="L67" s="14"/>
    </row>
    <row r="68" spans="4:22">
      <c r="D68" s="70" t="s">
        <v>73</v>
      </c>
      <c r="E68" s="14"/>
      <c r="F68" s="14"/>
      <c r="G68" s="14"/>
      <c r="H68" s="14"/>
      <c r="I68" s="14"/>
      <c r="J68" s="14"/>
      <c r="K68" s="14"/>
      <c r="L68" s="14"/>
      <c r="N68" s="145"/>
      <c r="O68" s="145"/>
      <c r="P68" s="145"/>
      <c r="Q68" s="145"/>
    </row>
    <row r="69" spans="4:22">
      <c r="D69" s="70"/>
      <c r="E69" s="14"/>
      <c r="F69" s="14"/>
      <c r="G69" s="14"/>
      <c r="H69" s="14"/>
      <c r="I69" s="14"/>
      <c r="J69" s="14"/>
      <c r="K69" s="14"/>
      <c r="L69" s="14"/>
      <c r="N69" s="145"/>
      <c r="O69" s="145"/>
      <c r="P69" s="145"/>
      <c r="Q69" s="145"/>
    </row>
    <row r="70" spans="4:22">
      <c r="D70" s="72" t="s">
        <v>41</v>
      </c>
      <c r="E70" s="14"/>
      <c r="F70" s="14"/>
      <c r="G70" s="14"/>
      <c r="H70" s="14"/>
      <c r="I70" s="14"/>
      <c r="J70" s="14"/>
      <c r="K70" s="162">
        <f>Admin!G17</f>
        <v>0.54619185076092291</v>
      </c>
      <c r="L70" s="162"/>
    </row>
    <row r="71" spans="4:22">
      <c r="D71" s="72" t="s">
        <v>55</v>
      </c>
      <c r="E71" s="14"/>
      <c r="F71" s="14"/>
      <c r="G71" s="14"/>
      <c r="H71" s="14"/>
      <c r="I71" s="14"/>
      <c r="J71" s="14"/>
      <c r="K71" s="155">
        <f>INT(Admin!O19)</f>
        <v>116</v>
      </c>
      <c r="L71" s="155"/>
    </row>
    <row r="72" spans="4:22">
      <c r="D72" s="72" t="s">
        <v>43</v>
      </c>
      <c r="E72" s="14"/>
      <c r="F72" s="14"/>
      <c r="G72" s="14"/>
      <c r="H72" s="14"/>
      <c r="I72" s="14"/>
      <c r="J72" s="14"/>
      <c r="K72" s="156">
        <f>INT(Admin!R17)</f>
        <v>17</v>
      </c>
      <c r="L72" s="156"/>
    </row>
    <row r="73" spans="4:22">
      <c r="D73" s="72" t="s">
        <v>42</v>
      </c>
      <c r="E73" s="14"/>
      <c r="F73" s="14"/>
      <c r="G73" s="14"/>
      <c r="H73" s="14"/>
      <c r="I73" s="14"/>
      <c r="J73" s="14"/>
      <c r="K73" s="155">
        <f>INT(Admin!P17*60)</f>
        <v>420</v>
      </c>
      <c r="L73" s="155"/>
    </row>
    <row r="74" spans="4:22">
      <c r="D74" s="70" t="s">
        <v>44</v>
      </c>
      <c r="E74" s="14"/>
      <c r="F74" s="14"/>
      <c r="G74" s="14"/>
      <c r="H74" s="14"/>
      <c r="I74" s="14"/>
      <c r="J74" s="14"/>
      <c r="K74" s="155">
        <f>INT(Admin!I17)</f>
        <v>140</v>
      </c>
      <c r="L74" s="155"/>
    </row>
    <row r="75" spans="4:22">
      <c r="D75" s="70" t="s">
        <v>50</v>
      </c>
      <c r="E75" s="14"/>
      <c r="F75" s="14"/>
      <c r="G75" s="14"/>
      <c r="H75" s="14"/>
      <c r="I75" s="14"/>
      <c r="J75" s="14"/>
      <c r="K75" s="155">
        <f>K74-K71</f>
        <v>24</v>
      </c>
      <c r="L75" s="155"/>
    </row>
  </sheetData>
  <sheetProtection algorithmName="SHA-512" hashValue="fsuFbxizldXNtuMyfBGR+ixh5yBJV5DeEvzXsppY+DKqrN2/4ORlBI5uOqYdUmLHZ4PKvubN+ueE9Xyshf6IeQ==" saltValue="7AWs+8luBP6xVt6KjDSjcw==" spinCount="100000" sheet="1" objects="1" scenarios="1"/>
  <protectedRanges>
    <protectedRange sqref="S20" name="Wanna 200"/>
    <protectedRange sqref="Q20" name="Wanna 160"/>
    <protectedRange sqref="O20" name="Wanna 140"/>
    <protectedRange sqref="L20" name="Natrysk komfortowy"/>
    <protectedRange sqref="J20" name="Natrysk normalny"/>
    <protectedRange sqref="H20" name="Natrysk oszczędny"/>
    <protectedRange sqref="E20" name="Zlew"/>
    <protectedRange sqref="B20" name="Umywalka"/>
    <protectedRange sqref="P10" name="Ilość mieszkańców"/>
    <protectedRange sqref="P8" name="Powierzchnia"/>
    <protectedRange sqref="I6" name="Rodzaj budynku"/>
  </protectedRanges>
  <mergeCells count="128">
    <mergeCell ref="AH2:AK2"/>
    <mergeCell ref="L24:P24"/>
    <mergeCell ref="AF2:AG2"/>
    <mergeCell ref="BC6:BD6"/>
    <mergeCell ref="BA6:BB6"/>
    <mergeCell ref="BC10:BD10"/>
    <mergeCell ref="BC9:BD9"/>
    <mergeCell ref="BC8:BD8"/>
    <mergeCell ref="BA10:BB10"/>
    <mergeCell ref="BA9:BB9"/>
    <mergeCell ref="AT8:AU8"/>
    <mergeCell ref="AV8:AW8"/>
    <mergeCell ref="AV9:AW9"/>
    <mergeCell ref="AT9:AU9"/>
    <mergeCell ref="BA8:BB8"/>
    <mergeCell ref="AY8:AZ8"/>
    <mergeCell ref="AT5:AU7"/>
    <mergeCell ref="AV5:AW7"/>
    <mergeCell ref="BC11:BD11"/>
    <mergeCell ref="AP9:AS9"/>
    <mergeCell ref="AP10:AS10"/>
    <mergeCell ref="AP11:AS11"/>
    <mergeCell ref="AT10:AU10"/>
    <mergeCell ref="AT11:AU11"/>
    <mergeCell ref="AV10:AW10"/>
    <mergeCell ref="AV11:AW11"/>
    <mergeCell ref="AY9:AZ9"/>
    <mergeCell ref="AY10:AZ10"/>
    <mergeCell ref="AY11:AZ11"/>
    <mergeCell ref="BF5:BH5"/>
    <mergeCell ref="AY5:BD5"/>
    <mergeCell ref="AP8:AS8"/>
    <mergeCell ref="AY6:AZ6"/>
    <mergeCell ref="BA11:BB11"/>
    <mergeCell ref="W42:AB42"/>
    <mergeCell ref="AP2:AU2"/>
    <mergeCell ref="AB33:AC33"/>
    <mergeCell ref="AA14:AC14"/>
    <mergeCell ref="AB15:AC15"/>
    <mergeCell ref="AA20:AC20"/>
    <mergeCell ref="AD20:AE21"/>
    <mergeCell ref="AB21:AC21"/>
    <mergeCell ref="AD14:AE15"/>
    <mergeCell ref="W17:AB17"/>
    <mergeCell ref="AD17:AE17"/>
    <mergeCell ref="W19:Z19"/>
    <mergeCell ref="AD8:AE9"/>
    <mergeCell ref="AF8:AF9"/>
    <mergeCell ref="AB9:AC9"/>
    <mergeCell ref="AD2:AE2"/>
    <mergeCell ref="W5:AB5"/>
    <mergeCell ref="AD32:AE33"/>
    <mergeCell ref="W2:AB2"/>
    <mergeCell ref="AL2:AN2"/>
    <mergeCell ref="W3:AB3"/>
    <mergeCell ref="AD3:AE3"/>
    <mergeCell ref="AF3:AG3"/>
    <mergeCell ref="AH3:AK3"/>
    <mergeCell ref="N68:Q69"/>
    <mergeCell ref="W53:Y53"/>
    <mergeCell ref="H24:I24"/>
    <mergeCell ref="AA8:AC8"/>
    <mergeCell ref="AA11:AC11"/>
    <mergeCell ref="AD11:AE12"/>
    <mergeCell ref="AB12:AC12"/>
    <mergeCell ref="AA32:AC32"/>
    <mergeCell ref="B2:Q3"/>
    <mergeCell ref="B47:G47"/>
    <mergeCell ref="E41:G41"/>
    <mergeCell ref="I5:Q5"/>
    <mergeCell ref="P8:Q8"/>
    <mergeCell ref="I8:O8"/>
    <mergeCell ref="I10:O10"/>
    <mergeCell ref="P10:Q10"/>
    <mergeCell ref="I6:Q6"/>
    <mergeCell ref="J20:K20"/>
    <mergeCell ref="L20:M20"/>
    <mergeCell ref="O20:P20"/>
    <mergeCell ref="Q20:R20"/>
    <mergeCell ref="S20:T20"/>
    <mergeCell ref="B13:T14"/>
    <mergeCell ref="H41:I42"/>
    <mergeCell ref="E16:F16"/>
    <mergeCell ref="B16:C16"/>
    <mergeCell ref="H19:I19"/>
    <mergeCell ref="K75:L75"/>
    <mergeCell ref="K74:L74"/>
    <mergeCell ref="K73:L73"/>
    <mergeCell ref="K72:L72"/>
    <mergeCell ref="AD23:AE24"/>
    <mergeCell ref="AD35:AE36"/>
    <mergeCell ref="AB36:AC36"/>
    <mergeCell ref="K70:L70"/>
    <mergeCell ref="K71:L71"/>
    <mergeCell ref="AB24:AC24"/>
    <mergeCell ref="AA35:AC35"/>
    <mergeCell ref="W29:AB29"/>
    <mergeCell ref="W22:Z27"/>
    <mergeCell ref="AD29:AE29"/>
    <mergeCell ref="W31:Z31"/>
    <mergeCell ref="AA23:AC23"/>
    <mergeCell ref="AA26:AC26"/>
    <mergeCell ref="AD26:AE27"/>
    <mergeCell ref="AB27:AC27"/>
    <mergeCell ref="Q61:T62"/>
    <mergeCell ref="Q64:T65"/>
    <mergeCell ref="B23:G23"/>
    <mergeCell ref="H23:M23"/>
    <mergeCell ref="N23:S23"/>
    <mergeCell ref="B38:G38"/>
    <mergeCell ref="H35:I36"/>
    <mergeCell ref="H29:I30"/>
    <mergeCell ref="B26:G26"/>
    <mergeCell ref="B20:C20"/>
    <mergeCell ref="E20:F20"/>
    <mergeCell ref="H20:I20"/>
    <mergeCell ref="B24:G24"/>
    <mergeCell ref="B32:G32"/>
    <mergeCell ref="AL3:AN3"/>
    <mergeCell ref="J19:K19"/>
    <mergeCell ref="L19:M19"/>
    <mergeCell ref="H16:M16"/>
    <mergeCell ref="O16:T16"/>
    <mergeCell ref="O19:P19"/>
    <mergeCell ref="Q19:R19"/>
    <mergeCell ref="S19:T19"/>
    <mergeCell ref="J24:K24"/>
    <mergeCell ref="Q24:S24"/>
  </mergeCells>
  <conditionalFormatting sqref="H29">
    <cfRule type="iconSet" priority="355">
      <iconSet showValue="0" reverse="1">
        <cfvo type="percent" val="0"/>
        <cfvo type="num" val="$F$30" gte="0"/>
        <cfvo type="num" val="$F$30"/>
      </iconSet>
    </cfRule>
  </conditionalFormatting>
  <conditionalFormatting sqref="H41">
    <cfRule type="iconSet" priority="351">
      <iconSet showValue="0" reverse="1">
        <cfvo type="percent" val="0"/>
        <cfvo type="num" val="$F$42" gte="0"/>
        <cfvo type="num" val="$F$42"/>
      </iconSet>
    </cfRule>
  </conditionalFormatting>
  <conditionalFormatting sqref="AD8">
    <cfRule type="iconSet" priority="336">
      <iconSet showValue="0" reverse="1">
        <cfvo type="percent" val="0"/>
        <cfvo type="num" val="$AB$9" gte="0"/>
        <cfvo type="num" val="$AB$9"/>
      </iconSet>
    </cfRule>
  </conditionalFormatting>
  <conditionalFormatting sqref="AD11">
    <cfRule type="iconSet" priority="335">
      <iconSet showValue="0" reverse="1">
        <cfvo type="percent" val="0"/>
        <cfvo type="num" val="$AB$12" gte="0"/>
        <cfvo type="num" val="$AB$12"/>
      </iconSet>
    </cfRule>
  </conditionalFormatting>
  <conditionalFormatting sqref="AD32">
    <cfRule type="iconSet" priority="334">
      <iconSet showValue="0" reverse="1">
        <cfvo type="percent" val="0"/>
        <cfvo type="num" val="$AB$33" gte="0"/>
        <cfvo type="num" val="$AB$33"/>
      </iconSet>
    </cfRule>
  </conditionalFormatting>
  <conditionalFormatting sqref="AD14">
    <cfRule type="iconSet" priority="333">
      <iconSet showValue="0" reverse="1">
        <cfvo type="percent" val="0"/>
        <cfvo type="num" val="$AB$15" gte="0"/>
        <cfvo type="num" val="$AB$15"/>
      </iconSet>
    </cfRule>
  </conditionalFormatting>
  <conditionalFormatting sqref="AD20">
    <cfRule type="iconSet" priority="331">
      <iconSet showValue="0" reverse="1">
        <cfvo type="percent" val="0"/>
        <cfvo type="num" val="$AB$21" gte="0"/>
        <cfvo type="num" val="$AB$21"/>
      </iconSet>
    </cfRule>
  </conditionalFormatting>
  <conditionalFormatting sqref="AD26">
    <cfRule type="iconSet" priority="329">
      <iconSet showValue="0" reverse="1">
        <cfvo type="percent" val="0"/>
        <cfvo type="num" val="$AB$27" gte="0"/>
        <cfvo type="num" val="$AB$27"/>
      </iconSet>
    </cfRule>
  </conditionalFormatting>
  <conditionalFormatting sqref="AD22">
    <cfRule type="iconSet" priority="697">
      <iconSet showValue="0" reverse="1">
        <cfvo type="percent" val="0"/>
        <cfvo type="num" val="$AB$24" gte="0"/>
        <cfvo type="num" val="$AB$24"/>
      </iconSet>
    </cfRule>
  </conditionalFormatting>
  <conditionalFormatting sqref="AD23">
    <cfRule type="iconSet" priority="301">
      <iconSet showValue="0" reverse="1">
        <cfvo type="percent" val="0"/>
        <cfvo type="num" val="$AB$24" gte="0"/>
        <cfvo type="num" val="$AB$24"/>
      </iconSet>
    </cfRule>
  </conditionalFormatting>
  <conditionalFormatting sqref="AD34">
    <cfRule type="iconSet" priority="936">
      <iconSet showValue="0" reverse="1">
        <cfvo type="percent" val="0"/>
        <cfvo type="num" val="$AB$36" gte="0"/>
        <cfvo type="num" val="$AB$36"/>
      </iconSet>
    </cfRule>
  </conditionalFormatting>
  <conditionalFormatting sqref="AD35">
    <cfRule type="iconSet" priority="300">
      <iconSet showValue="0" reverse="1">
        <cfvo type="percent" val="0"/>
        <cfvo type="num" val="$AB$36" gte="0"/>
        <cfvo type="num" val="$AB$36"/>
      </iconSet>
    </cfRule>
  </conditionalFormatting>
  <conditionalFormatting sqref="R8:S8">
    <cfRule type="iconSet" priority="287">
      <iconSet iconSet="3Symbols2" showValue="0">
        <cfvo type="percent" val="0"/>
        <cfvo type="num" val="40"/>
        <cfvo type="num" val="40"/>
      </iconSet>
    </cfRule>
  </conditionalFormatting>
  <conditionalFormatting sqref="AJ34">
    <cfRule type="iconSet" priority="26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J25">
    <cfRule type="iconSet" priority="25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I34">
    <cfRule type="iconSet" priority="25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H31">
    <cfRule type="iconSet" priority="25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I25">
    <cfRule type="iconSet" priority="24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H22">
    <cfRule type="iconSet" priority="24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J13">
    <cfRule type="iconSet" priority="24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I13">
    <cfRule type="iconSet" priority="23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H10">
    <cfRule type="iconSet" priority="23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L40">
    <cfRule type="iconSet" priority="23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M40">
    <cfRule type="iconSet" priority="23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N40">
    <cfRule type="iconSet" priority="22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O40">
    <cfRule type="iconSet" priority="22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O34">
    <cfRule type="iconSet" priority="22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N34">
    <cfRule type="iconSet" priority="22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L34">
    <cfRule type="iconSet" priority="21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L40:O40">
    <cfRule type="iconSet" priority="1239">
      <iconSet iconSet="3Symbols2" showValue="0">
        <cfvo type="percent" val="0"/>
        <cfvo type="num" val="$K$73" gte="0"/>
        <cfvo type="num" val="$K$73*0.9"/>
      </iconSet>
    </cfRule>
  </conditionalFormatting>
  <conditionalFormatting sqref="AH31">
    <cfRule type="iconSet" priority="1242">
      <iconSet iconSet="3Symbols2" showValue="0">
        <cfvo type="percent" val="0"/>
        <cfvo type="num" val="$K$74" gte="0"/>
        <cfvo type="num" val="$K$74" gte="0"/>
      </iconSet>
    </cfRule>
  </conditionalFormatting>
  <conditionalFormatting sqref="AI34">
    <cfRule type="iconSet" priority="1243">
      <iconSet iconSet="3Symbols2" showValue="0">
        <cfvo type="percent" val="0"/>
        <cfvo type="num" val="$K$74" gte="0"/>
        <cfvo type="num" val="$K$74" gte="0"/>
      </iconSet>
    </cfRule>
  </conditionalFormatting>
  <conditionalFormatting sqref="AH22">
    <cfRule type="iconSet" priority="1246">
      <iconSet iconSet="3Symbols2" showValue="0">
        <cfvo type="percent" val="0"/>
        <cfvo type="num" val="$K$74" gte="0"/>
        <cfvo type="num" val="$K$74" gte="0"/>
      </iconSet>
    </cfRule>
  </conditionalFormatting>
  <conditionalFormatting sqref="AI25">
    <cfRule type="iconSet" priority="1247">
      <iconSet iconSet="3Symbols2" showValue="0">
        <cfvo type="percent" val="0"/>
        <cfvo type="num" val="$K$74" gte="0"/>
        <cfvo type="num" val="$K$74" gte="0"/>
      </iconSet>
    </cfRule>
  </conditionalFormatting>
  <conditionalFormatting sqref="AJ25">
    <cfRule type="iconSet" priority="1248">
      <iconSet iconSet="3Symbols2" showValue="0">
        <cfvo type="percent" val="0"/>
        <cfvo type="num" val="$K$74" gte="0"/>
        <cfvo type="num" val="$K$74" gte="0"/>
      </iconSet>
    </cfRule>
  </conditionalFormatting>
  <conditionalFormatting sqref="AI13">
    <cfRule type="iconSet" priority="1250">
      <iconSet iconSet="3Symbols2" showValue="0">
        <cfvo type="percent" val="0"/>
        <cfvo type="num" val="$K$74" gte="0"/>
        <cfvo type="num" val="$K$74" gte="0"/>
      </iconSet>
    </cfRule>
  </conditionalFormatting>
  <conditionalFormatting sqref="AH10">
    <cfRule type="iconSet" priority="1251">
      <iconSet iconSet="3Symbols2" showValue="0">
        <cfvo type="percent" val="0"/>
        <cfvo type="num" val="$K$74" gte="0"/>
        <cfvo type="num" val="$K$74" gte="0"/>
      </iconSet>
    </cfRule>
  </conditionalFormatting>
  <conditionalFormatting sqref="AJ13">
    <cfRule type="iconSet" priority="1252">
      <iconSet iconSet="3Symbols2" showValue="0">
        <cfvo type="percent" val="0"/>
        <cfvo type="num" val="$K$74" gte="0"/>
        <cfvo type="num" val="$K$74" gte="0"/>
      </iconSet>
    </cfRule>
  </conditionalFormatting>
  <conditionalFormatting sqref="L40">
    <cfRule type="iconSet" priority="1268">
      <iconSet iconSet="3Symbols2" showValue="0">
        <cfvo type="percent" val="0"/>
        <cfvo type="num" val="$K$74" gte="0"/>
        <cfvo type="num" val="$K$74" gte="0"/>
      </iconSet>
    </cfRule>
  </conditionalFormatting>
  <conditionalFormatting sqref="M40">
    <cfRule type="iconSet" priority="1270">
      <iconSet iconSet="3Symbols2" showValue="0">
        <cfvo type="percent" val="0"/>
        <cfvo type="num" val="$K$74" gte="0"/>
        <cfvo type="num" val="$K$74" gte="0"/>
      </iconSet>
    </cfRule>
  </conditionalFormatting>
  <conditionalFormatting sqref="N40">
    <cfRule type="iconSet" priority="1272">
      <iconSet iconSet="3Symbols2" showValue="0">
        <cfvo type="percent" val="0"/>
        <cfvo type="num" val="$K$74" gte="0"/>
        <cfvo type="num" val="$K$74" gte="0"/>
      </iconSet>
    </cfRule>
  </conditionalFormatting>
  <conditionalFormatting sqref="O40">
    <cfRule type="iconSet" priority="1274">
      <iconSet iconSet="3Symbols2" showValue="0">
        <cfvo type="percent" val="0"/>
        <cfvo type="num" val="$K$74" gte="0"/>
        <cfvo type="num" val="$K$74" gte="0"/>
      </iconSet>
    </cfRule>
  </conditionalFormatting>
  <conditionalFormatting sqref="O34">
    <cfRule type="iconSet" priority="1276">
      <iconSet iconSet="3Symbols2" showValue="0">
        <cfvo type="percent" val="0"/>
        <cfvo type="num" val="$K$74" gte="0"/>
        <cfvo type="num" val="$K$74" gte="0"/>
      </iconSet>
    </cfRule>
  </conditionalFormatting>
  <conditionalFormatting sqref="N34">
    <cfRule type="iconSet" priority="1278">
      <iconSet iconSet="3Symbols2" showValue="0">
        <cfvo type="percent" val="0"/>
        <cfvo type="num" val="$K$74" gte="0"/>
        <cfvo type="num" val="$K$74" gte="0"/>
      </iconSet>
    </cfRule>
  </conditionalFormatting>
  <conditionalFormatting sqref="L34">
    <cfRule type="iconSet" priority="1282">
      <iconSet iconSet="3Symbols2" showValue="0">
        <cfvo type="percent" val="0"/>
        <cfvo type="num" val="$K$74" gte="0"/>
        <cfvo type="num" val="$K$74" gte="0"/>
      </iconSet>
    </cfRule>
  </conditionalFormatting>
  <conditionalFormatting sqref="D53">
    <cfRule type="iconSet" priority="21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Y50">
    <cfRule type="iconSet" priority="213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Y51">
    <cfRule type="iconSet" priority="21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Y52">
    <cfRule type="iconSet" priority="211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53:Y53">
    <cfRule type="iconSet" priority="21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44">
    <cfRule type="iconSet" priority="20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45">
    <cfRule type="iconSet" priority="20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46">
    <cfRule type="iconSet" priority="20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47">
    <cfRule type="iconSet" priority="20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W48:W49">
    <cfRule type="iconSet" priority="205">
      <iconSet iconSet="3Symbols2" showValue="0">
        <cfvo type="percent" val="0"/>
        <cfvo type="num" val="0" gte="0"/>
        <cfvo type="num" val="0"/>
      </iconSet>
    </cfRule>
  </conditionalFormatting>
  <conditionalFormatting sqref="R10:S10">
    <cfRule type="iconSet" priority="1317">
      <iconSet iconSet="3Symbols2" showValue="0">
        <cfvo type="percent" val="0"/>
        <cfvo type="num" val="$K$55" gte="0"/>
        <cfvo type="num" val="$K$55"/>
      </iconSet>
    </cfRule>
  </conditionalFormatting>
  <conditionalFormatting sqref="L28">
    <cfRule type="iconSet" priority="19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M28">
    <cfRule type="iconSet" priority="18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N28">
    <cfRule type="iconSet" priority="18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O28">
    <cfRule type="iconSet" priority="17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M34">
    <cfRule type="iconSet" priority="173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H35">
    <cfRule type="iconSet" priority="171">
      <iconSet showValue="0" reverse="1">
        <cfvo type="percent" val="0"/>
        <cfvo type="num" val="$F$30" gte="0"/>
        <cfvo type="num" val="$F$30"/>
      </iconSet>
    </cfRule>
  </conditionalFormatting>
  <conditionalFormatting sqref="L30:O30 L36:O36 L42:O42 AH12 AI15:AJ15 AI27:AJ27 AH24 AI35:AJ36 AH33">
    <cfRule type="cellIs" dxfId="3" priority="93" stopIfTrue="1" operator="greaterThanOrEqual">
      <formula>$K$71</formula>
    </cfRule>
    <cfRule type="cellIs" dxfId="2" priority="94" operator="greaterThanOrEqual">
      <formula>$K$71*0.9</formula>
    </cfRule>
  </conditionalFormatting>
  <conditionalFormatting sqref="L29:O29 L35:O35 L41:O41 AH11 AI14:AJ14 AI26:AJ26 AH23 AH32">
    <cfRule type="cellIs" dxfId="1" priority="85" stopIfTrue="1" operator="greaterThanOrEqual">
      <formula>$K$73</formula>
    </cfRule>
    <cfRule type="cellIs" dxfId="0" priority="86" operator="greaterThanOrEqual">
      <formula>$K$73*0.9</formula>
    </cfRule>
  </conditionalFormatting>
  <dataValidations count="3">
    <dataValidation type="whole" allowBlank="1" showInputMessage="1" showErrorMessage="1" errorTitle="Powierzchnia ogrzewana" error="Proszę podać wartość pomiędzy 40 a 350" prompt="Proszę wprowadzić wartości z zakresu od 40 do 350" sqref="P8" xr:uid="{00000000-0002-0000-0100-000000000000}">
      <formula1>40</formula1>
      <formula2>350</formula2>
    </dataValidation>
    <dataValidation type="list" allowBlank="1" showInputMessage="1" showErrorMessage="1" error="Należy określić rodzaj budynku" prompt="Proszę wybrać..." sqref="I6" xr:uid="{00000000-0002-0000-0100-000001000000}">
      <formula1>dane_bud</formula1>
    </dataValidation>
    <dataValidation type="whole" allowBlank="1" showInputMessage="1" showErrorMessage="1" errorTitle="Powierzchnia ogrzewana" error="Proszę podać wartość pomiędzy 1 a 8" prompt="Proszę wprowadzić wartości z zakresu od 1 do 8" sqref="P10:Q10" xr:uid="{00000000-0002-0000-0100-000002000000}">
      <formula1>1</formula1>
      <formula2>8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Admin</vt:lpstr>
      <vt:lpstr>Wyniki</vt:lpstr>
      <vt:lpstr>dane_bud</vt:lpstr>
      <vt:lpstr>Wyniki!Obszar_wydruku</vt:lpstr>
    </vt:vector>
  </TitlesOfParts>
  <Company>Viessmann Werke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Pantera</dc:creator>
  <cp:lastModifiedBy>Marcin_Ponarski</cp:lastModifiedBy>
  <cp:lastPrinted>2017-03-31T11:49:53Z</cp:lastPrinted>
  <dcterms:created xsi:type="dcterms:W3CDTF">2012-01-10T17:38:48Z</dcterms:created>
  <dcterms:modified xsi:type="dcterms:W3CDTF">2020-01-15T11:30:17Z</dcterms:modified>
</cp:coreProperties>
</file>